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30458fce23b847f9" /><Relationship Type="http://schemas.openxmlformats.org/package/2006/relationships/metadata/core-properties" Target="docProps/core.xml" Id="R7a876cbea9cc47d0" /><Relationship Type="http://schemas.openxmlformats.org/officeDocument/2006/relationships/extended-properties" Target="docProps/app.xml" Id="R255cb67d282f4ecc" /><Relationship Type="http://schemas.openxmlformats.org/officeDocument/2006/relationships/custom-properties" Target="docProps/custom.xml" Id="R9facef11455d44f7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ingerieOpt.ru - 29.01.2019" sheetId="1" r:id="R0cd1d7181af94620"/>
  </sheets>
</workbook>
</file>

<file path=xl/sharedStrings.xml><?xml version="1.0" encoding="utf-8"?>
<sst xmlns="http://schemas.openxmlformats.org/spreadsheetml/2006/main" count="10446" uniqueCount="10446">
  <si>
    <t>www.LingerieOpt.ru - Прайс-лист</t>
  </si>
  <si>
    <t>Телефоны: +7 (499) 391-37-01</t>
  </si>
  <si>
    <t>Прайс от 29.01.2019</t>
  </si>
  <si>
    <t>Артикул</t>
  </si>
  <si>
    <t>Наименование</t>
  </si>
  <si>
    <t>Цена</t>
  </si>
  <si>
    <t>Кол-во</t>
  </si>
  <si>
    <t xml:space="preserve">  Женская одежда и белье</t>
  </si>
  <si>
    <t xml:space="preserve">    Бикини, купальники</t>
  </si>
  <si>
    <t xml:space="preserve"> Купальник-бикини из трёх предметов «Cherry Taste» черный M-L</t>
  </si>
  <si>
    <t xml:space="preserve"> Купальник-бикини из трёх предметов «Cherry Taste» черный S-M</t>
  </si>
  <si>
    <t xml:space="preserve"> Белое монокини в горошек белый с черным One Size</t>
  </si>
  <si>
    <t xml:space="preserve"> Красно-голубой купальник с открытой спиной «Candy Dream» голубой One Size</t>
  </si>
  <si>
    <t xml:space="preserve"> Купальник с открытой спиной «Dots Stripes» красный с белым One Size</t>
  </si>
  <si>
    <t xml:space="preserve"> Купальник-монокини с вишенками на черном фоне черный One Size</t>
  </si>
  <si>
    <t xml:space="preserve">    Боди</t>
  </si>
  <si>
    <t xml:space="preserve"> Боди медсестры «Леа» белый S-M</t>
  </si>
  <si>
    <t xml:space="preserve"> Боди медсестры «Леа» черный S-M</t>
  </si>
  <si>
    <t xml:space="preserve"> Боди медсестры «Леа» белый M-L</t>
  </si>
  <si>
    <t xml:space="preserve"> Боди медсестры «Леа» черный M-L</t>
  </si>
  <si>
    <t xml:space="preserve"> Игровое боди «Николь» черный с белым M-L</t>
  </si>
  <si>
    <t xml:space="preserve"> Игровое боди «Николь» черный с белым XL</t>
  </si>
  <si>
    <t xml:space="preserve"> Игровое боди «Николь» черный с белым S-M</t>
  </si>
  <si>
    <t xml:space="preserve"> Боди «ЛЕНА» белый S-M</t>
  </si>
  <si>
    <t xml:space="preserve"> Боди «ЛЕНА» красный S-M</t>
  </si>
  <si>
    <t xml:space="preserve"> Боди «ЛЕНА» черный S-M</t>
  </si>
  <si>
    <t xml:space="preserve"> Боди «ЛЕНА» белый M-L</t>
  </si>
  <si>
    <t xml:space="preserve"> Боди «ЛЕНА» красный M-L</t>
  </si>
  <si>
    <t xml:space="preserve"> Боди «ЛЕНА» черный M-L</t>
  </si>
  <si>
    <t xml:space="preserve"> Кружевное боди с чулкодержателями и перчатки белый M-L</t>
  </si>
  <si>
    <t xml:space="preserve"> Кружевное боди с чулкодержателями и перчатки черный M-L</t>
  </si>
  <si>
    <t xml:space="preserve"> Кружевное боди с чулкодержателями и перчатки черный S-M</t>
  </si>
  <si>
    <t xml:space="preserve"> Кружевное боди с чулкодержателями и перчатки белый S-M</t>
  </si>
  <si>
    <t xml:space="preserve"> Кружевное боди «KELLY» с разрезами на груди и трусиках белый S-M</t>
  </si>
  <si>
    <t xml:space="preserve"> Кружевное боди «KELLY» с разрезами на груди и трусиках черный S-M</t>
  </si>
  <si>
    <t xml:space="preserve"> Кружевное боди «KELLY» с разрезами на груди и трусиках черный M-L</t>
  </si>
  <si>
    <t xml:space="preserve"> Кружевное боди «KELLY» с разрезами на груди и трусиках белый M-L</t>
  </si>
  <si>
    <t xml:space="preserve"> Кружевное боди «BETH» с бантиком сзади белый M-L</t>
  </si>
  <si>
    <t xml:space="preserve"> Кружевное боди «BETH» с бантиком сзади красный M-L</t>
  </si>
  <si>
    <t xml:space="preserve"> Кружевное боди «BETH» с бантиком сзади черный M-L</t>
  </si>
  <si>
    <t xml:space="preserve"> Кружевное боди «BETH» с бантиком сзади черный S-M</t>
  </si>
  <si>
    <t xml:space="preserve"> Кружевное боди «BETH» с бантиком сзади белый S-M</t>
  </si>
  <si>
    <t xml:space="preserve"> Кружевное боди «BETH» с бантиком сзади красный S-M</t>
  </si>
  <si>
    <t xml:space="preserve"> Кружевное боди с бантом на попе черный One Size</t>
  </si>
  <si>
    <t xml:space="preserve"> Кружевное боди с бантом на попе белый One Size</t>
  </si>
  <si>
    <t xml:space="preserve"> Боди с бантиками по всей длине «Alessia» белый S-M</t>
  </si>
  <si>
    <t xml:space="preserve"> Боди с бантиками по всей длине «Alessia» черный S-M</t>
  </si>
  <si>
    <t xml:space="preserve"> Боди с бантиками по всей длине «Alessia» черный M-L</t>
  </si>
  <si>
    <t xml:space="preserve"> Боди с бантиками по всей длине «Alessia» белый M-L</t>
  </si>
  <si>
    <t xml:space="preserve"> Боди с длинными рукавами и открытой спиной белый M-L</t>
  </si>
  <si>
    <t xml:space="preserve"> Боди с длинными рукавами и открытой спиной черный M-L</t>
  </si>
  <si>
    <t xml:space="preserve"> Боди с длинными рукавами и открытой спиной черный S-M</t>
  </si>
  <si>
    <t xml:space="preserve"> Боди с длинными рукавами и открытой спиной белый S-M</t>
  </si>
  <si>
    <t xml:space="preserve"> Боди «Orsola» с полуоткрытой грудью и прорезью на трусиках белый S-M</t>
  </si>
  <si>
    <t xml:space="preserve"> Боди «Orsola» с полуоткрытой грудью и прорезью на трусиках красный S-M</t>
  </si>
  <si>
    <t xml:space="preserve"> Боди «Orsola» с полуоткрытой грудью и прорезью на трусиках черный S-M</t>
  </si>
  <si>
    <t xml:space="preserve"> Боди «Orsola» с полуоткрытой грудью и прорезью на трусиках белый M-L</t>
  </si>
  <si>
    <t xml:space="preserve"> Боди «Orsola» с полуоткрытой грудью и прорезью на трусиках красный M-L</t>
  </si>
  <si>
    <t xml:space="preserve"> Боди «Orsola» с полуоткрытой грудью и прорезью на трусиках черный M-L</t>
  </si>
  <si>
    <t xml:space="preserve"> Кружевное боди «Nell» с золотистой шнуровкой голубой L-XL</t>
  </si>
  <si>
    <t xml:space="preserve"> Кружевное боди «Nell» с золотистой шнуровкой голубой S-M</t>
  </si>
  <si>
    <t xml:space="preserve"> Боди «Julia» с брошью и тоненькими бретелями черный S-M</t>
  </si>
  <si>
    <t xml:space="preserve"> Боди «Julia» с брошью и тоненькими бретелями черный L-XL</t>
  </si>
  <si>
    <t xml:space="preserve"> Боди «Julia» с брошью и тоненькими бретелями черный XXL-XXXL</t>
  </si>
  <si>
    <t xml:space="preserve"> Кружевное боди «Anna» красный XXXL</t>
  </si>
  <si>
    <t xml:space="preserve"> Кружевное боди «Anna» красный XL</t>
  </si>
  <si>
    <t xml:space="preserve"> Кружевное боди «Anna» черный XL</t>
  </si>
  <si>
    <t xml:space="preserve"> Кружевное боди «Anna» красный XXL</t>
  </si>
  <si>
    <t xml:space="preserve"> Кружевное боди «Anna» черный XXL</t>
  </si>
  <si>
    <t xml:space="preserve"> Кружевное боди «Anna» черный XXXL</t>
  </si>
  <si>
    <t xml:space="preserve"> Боди с испанским кружевом «Mayah» черный S-M</t>
  </si>
  <si>
    <t xml:space="preserve"> Боди с испанским кружевом «Mayah» черный L-XL</t>
  </si>
  <si>
    <t xml:space="preserve"> Полупрозрачное боди «Devi» черный L-XL</t>
  </si>
  <si>
    <t xml:space="preserve"> Полупрозрачное боди «Devi» черный S-M</t>
  </si>
  <si>
    <t xml:space="preserve"> Полупрозрачное боди «Devi» черный с красным S-M</t>
  </si>
  <si>
    <t xml:space="preserve"> Полупрозрачное боди «Devi» черный с красным L-XL</t>
  </si>
  <si>
    <t xml:space="preserve"> Кружевное боди со стразами и пажами для чулок черный M-L</t>
  </si>
  <si>
    <t xml:space="preserve"> Кружевное боди со стразами и пажами для чулок черный S-M</t>
  </si>
  <si>
    <t xml:space="preserve"> Боди с непрозрачным лифом черный с розовым One Size</t>
  </si>
  <si>
    <t xml:space="preserve"> Ажурное боди с цветочным узором и вырезом-сердечком на попе белый S-M</t>
  </si>
  <si>
    <t xml:space="preserve"> Ажурное боди с цветочным узором и вырезом-сердечком на попе белый M-L</t>
  </si>
  <si>
    <t xml:space="preserve"> Боди-сетка с глубоким декольте черный One Size</t>
  </si>
  <si>
    <t xml:space="preserve"> Кружевное боди с открытой спиной черный One Size</t>
  </si>
  <si>
    <t xml:space="preserve"> Откровенное боди с контрастным кружевом красный One Size</t>
  </si>
  <si>
    <t xml:space="preserve"> Тедди со звериным принтом «Wild Passion» леопард One Size</t>
  </si>
  <si>
    <t xml:space="preserve"> Боди с принтом под зебру с открытой спиной зебра One Size</t>
  </si>
  <si>
    <t xml:space="preserve"> Тедди в полупрозрачную полоску черный One Size</t>
  </si>
  <si>
    <t xml:space="preserve"> Боди из цветочного кружева черный One Size</t>
  </si>
  <si>
    <t xml:space="preserve"> Боди из цветочного кружева красный One Size</t>
  </si>
  <si>
    <t xml:space="preserve"> Боди из цветочного кружева розовый One Size</t>
  </si>
  <si>
    <t xml:space="preserve"> Боди из цветочного кружева синий One Size</t>
  </si>
  <si>
    <t xml:space="preserve"> Леопардовое боди с хвостиком и ушками леопард One Size</t>
  </si>
  <si>
    <t xml:space="preserve"> Комплект-трансформер «STRAP ME» черный One Size</t>
  </si>
  <si>
    <t xml:space="preserve"> Тедди с разрезом в области бикини черный One Size</t>
  </si>
  <si>
    <t xml:space="preserve"> Нежное тедди «Carmelove» с доступом телесный S-M</t>
  </si>
  <si>
    <t xml:space="preserve"> Нежное тедди «Carmelove» с доступом телесный L-XL</t>
  </si>
  <si>
    <t xml:space="preserve"> Воздушный ромпер-комбинезон из шифона черный M</t>
  </si>
  <si>
    <t xml:space="preserve"> Воздушный ромпер-комбинезон из шифона красный M</t>
  </si>
  <si>
    <t xml:space="preserve"> Воздушный ромпер-комбинезон из шифона черный S</t>
  </si>
  <si>
    <t xml:space="preserve"> Воздушный ромпер-комбинезон из шифона красный S</t>
  </si>
  <si>
    <t xml:space="preserve"> Воздушный ромпер-комбинезон из шифона красный L</t>
  </si>
  <si>
    <t xml:space="preserve"> Воздушный ромпер-комбинезон из шифона черный L</t>
  </si>
  <si>
    <t xml:space="preserve"> Открытое боди «Athena» белый L-XL</t>
  </si>
  <si>
    <t xml:space="preserve"> Открытое боди «Athena» черный S-M</t>
  </si>
  <si>
    <t xml:space="preserve"> Открытое боди «Athena» белый S-M</t>
  </si>
  <si>
    <t xml:space="preserve"> Открытое боди «Athena» черный L-XL</t>
  </si>
  <si>
    <t xml:space="preserve"> Боди «Virgin» с кружевной оторочкой по лифу черный L-XL</t>
  </si>
  <si>
    <t xml:space="preserve"> Боди «Virgin» с кружевной оторочкой по лифу черный S-M</t>
  </si>
  <si>
    <t xml:space="preserve"> Боди «Aura» из широкой полупрозрачной ленты черный L</t>
  </si>
  <si>
    <t xml:space="preserve"> Боди «Aura» из широкой полупрозрачной ленты черный S</t>
  </si>
  <si>
    <t xml:space="preserve"> Боди «Aura» из широкой полупрозрачной ленты черный M</t>
  </si>
  <si>
    <t xml:space="preserve"> Боди «Danae» с рюшевой отделкой и открытыми чашечками лифа черный S</t>
  </si>
  <si>
    <t xml:space="preserve"> Боди «Danae» с рюшевой отделкой и открытыми чашечками лифа черный L</t>
  </si>
  <si>
    <t xml:space="preserve"> Боди «Danae» с рюшевой отделкой и открытыми чашечками лифа черный M</t>
  </si>
  <si>
    <t xml:space="preserve"> Кружевное боди с леопардовым кружевом фиолетовый One Size</t>
  </si>
  <si>
    <t xml:space="preserve"> Боди с переплетением лент на груди черный One Size</t>
  </si>
  <si>
    <t xml:space="preserve"> Боди-стрэп Lisa с кольцом черный One Size</t>
  </si>
  <si>
    <t xml:space="preserve"> Эффектное боди «Шарм» с кольцами черный One Size</t>
  </si>
  <si>
    <t xml:space="preserve"> Открытое боди Prinzess-2 с кольцами черный One Size</t>
  </si>
  <si>
    <t xml:space="preserve"> Боди «Наоми» из лент черный One Size</t>
  </si>
  <si>
    <t xml:space="preserve"> Боди Ella из лент с кольцами черный One Size</t>
  </si>
  <si>
    <t xml:space="preserve"> Комплект «Бурлеск» черный One Size</t>
  </si>
  <si>
    <t xml:space="preserve"> Кружевное боди «Rayen» с глубоким декольте черный L-XL</t>
  </si>
  <si>
    <t xml:space="preserve"> Кружевное боди «Rayen» с глубоким декольте черный S-M</t>
  </si>
  <si>
    <t xml:space="preserve"> Кружевное боди «Rayen» с глубоким декольте красный S-M</t>
  </si>
  <si>
    <t xml:space="preserve"> Кружевное боди «Rayen» с глубоким декольте красный L-XL</t>
  </si>
  <si>
    <t xml:space="preserve"> Кружевное боди «Linda» с доступом красный S-M</t>
  </si>
  <si>
    <t xml:space="preserve"> Кружевное боди «Linda» с доступом черный S-M</t>
  </si>
  <si>
    <t xml:space="preserve"> Кружевное боди «Linda» с доступом черный M-L</t>
  </si>
  <si>
    <t xml:space="preserve"> Кружевное боди «Linda» с доступом красный M-L</t>
  </si>
  <si>
    <t xml:space="preserve"> Соблазнительное боди Jovita с открытой попой черный L-XL</t>
  </si>
  <si>
    <t xml:space="preserve"> Соблазнительное боди Jovita с открытой попой черный S-M</t>
  </si>
  <si>
    <t xml:space="preserve"> Соблазнительное боди Jovita с открытой попой белый S-M</t>
  </si>
  <si>
    <t xml:space="preserve"> Соблазнительное боди Jovita с открытой попой белый L-XL</t>
  </si>
  <si>
    <t xml:space="preserve"> Боди «Harriet» с вырезом на спине черный S-M</t>
  </si>
  <si>
    <t xml:space="preserve"> Боди «Harriet» с вырезом на спине черный L-XL</t>
  </si>
  <si>
    <t xml:space="preserve"> Кружевное боди «Tina» с пажами и доступом белый M-L</t>
  </si>
  <si>
    <t xml:space="preserve"> Кружевное боди «Tina» с пажами и доступом черный M-L</t>
  </si>
  <si>
    <t xml:space="preserve"> Кружевное боди «Tina» с пажами и доступом черный S-M</t>
  </si>
  <si>
    <t xml:space="preserve"> Кружевное боди «Tina» с пажами и доступом белый S-M</t>
  </si>
  <si>
    <t xml:space="preserve"> Эффектное боди Olivia с открытым животом черный M-L</t>
  </si>
  <si>
    <t xml:space="preserve"> Эффектное боди Olivia с открытым животом черный S-M</t>
  </si>
  <si>
    <t xml:space="preserve"> Элегантное боди Kalia с кружевом черный S-M</t>
  </si>
  <si>
    <t xml:space="preserve"> Боди Creda со шнуровкой и кружевным лифом кремовый S-M</t>
  </si>
  <si>
    <t xml:space="preserve"> Кружевной тедди с полуоткрытой грудью черный L-XL</t>
  </si>
  <si>
    <t xml:space="preserve"> Кружевной тедди с полуоткрытой грудью белый L-XL</t>
  </si>
  <si>
    <t xml:space="preserve"> Кружевной тедди с полуоткрытой грудью белый M-L</t>
  </si>
  <si>
    <t xml:space="preserve"> Кружевной тедди с полуоткрытой грудью черный M-L</t>
  </si>
  <si>
    <t xml:space="preserve"> Кружевной тедди с полуоткрытой грудью белый S-M</t>
  </si>
  <si>
    <t xml:space="preserve"> Кружевной тедди с полуоткрытой грудью черный S-M</t>
  </si>
  <si>
    <t xml:space="preserve"> Кружевной тедди с переплетением бретелей на животе черный S-M</t>
  </si>
  <si>
    <t xml:space="preserve"> Кружевной тедди с переплетением бретелей на животе белый S-M</t>
  </si>
  <si>
    <t xml:space="preserve"> Кружевной тедди с переплетением бретелей на животе черный M-L</t>
  </si>
  <si>
    <t xml:space="preserve"> Кружевной тедди с переплетением бретелей на животе белый M-L</t>
  </si>
  <si>
    <t xml:space="preserve"> Кружевной тедди с переплетением бретелей на животе белый L-XL</t>
  </si>
  <si>
    <t xml:space="preserve"> Кружевной тедди с переплетением бретелей на животе черный L-XL</t>
  </si>
  <si>
    <t xml:space="preserve"> Боди Blanche на молнии черный L-XL</t>
  </si>
  <si>
    <t xml:space="preserve"> Боди Blanche на молнии черный S-M</t>
  </si>
  <si>
    <t xml:space="preserve"> Нежный кружевной тедди бирюзовый M</t>
  </si>
  <si>
    <t xml:space="preserve"> Нежный кружевной тедди бирюзовый L</t>
  </si>
  <si>
    <t xml:space="preserve"> Атласный ромпер со шнуровкой на спине голубой M</t>
  </si>
  <si>
    <t xml:space="preserve"> Атласный ромпер со шнуровкой на спине голубой S</t>
  </si>
  <si>
    <t xml:space="preserve"> Атласный ромпер со шнуровкой на спине голубой L</t>
  </si>
  <si>
    <t xml:space="preserve"> Полупрозрачный свободный тедди черный One Size</t>
  </si>
  <si>
    <t xml:space="preserve"> Шифоновый тедди с лифом из кружева черный с розовым One Size</t>
  </si>
  <si>
    <t xml:space="preserve"> Боди на тонких бретелях с доступом черный One Size-XL-XXL</t>
  </si>
  <si>
    <t xml:space="preserve"> Боди на тонких бретелях с доступом красный One Size-XL-XXL</t>
  </si>
  <si>
    <t xml:space="preserve"> Боди на тонких бретелях с доступом розовый One Size-XL-XXL</t>
  </si>
  <si>
    <t xml:space="preserve"> Боди на тонких бретелях с доступом белый One Size-XL-XXL</t>
  </si>
  <si>
    <t xml:space="preserve"> Боди «Claudia» со шнуровкой на груди и сетчатыми вставками черный S-M</t>
  </si>
  <si>
    <t xml:space="preserve"> Боди «Claudia» со шнуровкой на груди и сетчатыми вставками черный L-XL</t>
  </si>
  <si>
    <t xml:space="preserve"> Тедди «Esther» с открытой попой черный S</t>
  </si>
  <si>
    <t xml:space="preserve"> Тедди «Esther» с открытой попой черный M</t>
  </si>
  <si>
    <t xml:space="preserve"> Боди «Evelyne» с контрастной шнуровкой и перчатками черный S-M</t>
  </si>
  <si>
    <t xml:space="preserve"> Боди «Evelyne» с контрастной шнуровкой и перчатками черный L-XL</t>
  </si>
  <si>
    <t xml:space="preserve"> Боди «Inez» с эффектом мокрой ткани черный S-M</t>
  </si>
  <si>
    <t xml:space="preserve"> Боди «Inez» с эффектом мокрой ткани черный L-XL</t>
  </si>
  <si>
    <t xml:space="preserve"> Боди «Zoe» с ажурным лифом и открытой спиной черный S-M</t>
  </si>
  <si>
    <t xml:space="preserve"> Боди «Zoe» с ажурным лифом и открытой спиной черный L-XL</t>
  </si>
  <si>
    <t xml:space="preserve"> Полупрозрачное боди «Simone» с ажурной маской для глаз черный M</t>
  </si>
  <si>
    <t xml:space="preserve"> Полупрозрачное боди «Simone» с ажурной маской для глаз красный M</t>
  </si>
  <si>
    <t xml:space="preserve"> Полупрозрачное боди «Simone» с ажурной маской для глаз черный S</t>
  </si>
  <si>
    <t xml:space="preserve"> Полупрозрачное боди «Simone» с ажурной маской для глаз красный S</t>
  </si>
  <si>
    <t xml:space="preserve"> Полупрозрачное боди «Simone» с ажурной маской для глаз белый S</t>
  </si>
  <si>
    <t xml:space="preserve"> Боди «Isabelle» с прозрачной вставкой на лицевой части черный S-M</t>
  </si>
  <si>
    <t xml:space="preserve"> Боди «Isabelle» с прозрачной вставкой на лицевой части черный L-XL</t>
  </si>
  <si>
    <t xml:space="preserve"> Эффектное боди «Огонь» с открытой грудью черный One Size</t>
  </si>
  <si>
    <t xml:space="preserve"> Боди «Розовая кокетка» с полупрозрачным лифом черный с розовым One Size</t>
  </si>
  <si>
    <t xml:space="preserve"> Очаровательное боди «Нежность» с полупрозрачной вставкой на животе черный One Size</t>
  </si>
  <si>
    <t xml:space="preserve"> Ультрапривлекательное боди «Соблазн» с прозрачными вставками черный One Size</t>
  </si>
  <si>
    <t xml:space="preserve"> Откровенное боди «Страсть» с открытой грудью черный One Size</t>
  </si>
  <si>
    <t xml:space="preserve"> Откровенное боди с наручниками черный One Size</t>
  </si>
  <si>
    <t xml:space="preserve"> Эффектное боди Claudia Premium со шнуровкой на груди, сетчатыми вставками и чулками в комплекте черный S-M</t>
  </si>
  <si>
    <t xml:space="preserve"> Эффектное боди Claudia Premium со шнуровкой на груди, сетчатыми вставками и чулками в комплекте черный L-XL</t>
  </si>
  <si>
    <t xml:space="preserve"> Соблазнительное боди Hannah с красными шнуровками и перчатками черный S-M</t>
  </si>
  <si>
    <t xml:space="preserve"> Оригинальное боди V-образной формы красный One Size</t>
  </si>
  <si>
    <t xml:space="preserve"> Кружевное боди с длинными рукавчиками черный One Size</t>
  </si>
  <si>
    <t xml:space="preserve"> Очаровательный тедди с кружевными рукавчиками и стразами черный S-M</t>
  </si>
  <si>
    <t xml:space="preserve"> Очаровательный тедди с кружевными рукавчиками и стразами черный L-XL</t>
  </si>
  <si>
    <t xml:space="preserve"> Кружевное боди «Alexandra» с маской на глаза черный S</t>
  </si>
  <si>
    <t xml:space="preserve"> Кружевное боди «Alexandra» с маской на глаза черный M</t>
  </si>
  <si>
    <t xml:space="preserve"> Кружевное боди «Alexandra» с маской на глаза черный L</t>
  </si>
  <si>
    <t xml:space="preserve"> Кружевное боди «Alexandra» с маской на глаза черный XL</t>
  </si>
  <si>
    <t xml:space="preserve"> Боди Aurea с открытым бюстом и вырезами красный с черным M</t>
  </si>
  <si>
    <t xml:space="preserve"> Боди Aurea с открытым бюстом и вырезами красный с черным S</t>
  </si>
  <si>
    <t xml:space="preserve"> Боди Aurea с открытым бюстом и вырезами красный с черным L</t>
  </si>
  <si>
    <t xml:space="preserve"> Игривое боди «Cassandra» с застёжками-молниями черный S-M</t>
  </si>
  <si>
    <t xml:space="preserve"> Игривое боди «Cassandra» с застёжками-молниями черный L-XL</t>
  </si>
  <si>
    <t xml:space="preserve"> Тедди Slevika с интимным доступом черный S-M</t>
  </si>
  <si>
    <t xml:space="preserve"> Тедди Slevika с интимным доступом черный L-XL</t>
  </si>
  <si>
    <t xml:space="preserve"> Полупрозрачный тедди Amanta с кружевным узором по бокам черный S-M</t>
  </si>
  <si>
    <t xml:space="preserve"> Полупрозрачный тедди Amanta с кружевным узором по бокам черный L-XL</t>
  </si>
  <si>
    <t xml:space="preserve"> Кружевной тедди «Imperia» с переплетением лент черный S-M</t>
  </si>
  <si>
    <t xml:space="preserve"> Полупрозрачный тедди Bondy с широкими лентами черный L-XL</t>
  </si>
  <si>
    <t xml:space="preserve"> Полупрозрачный тедди Bondy с широкими лентами черный S-M</t>
  </si>
  <si>
    <t xml:space="preserve"> Тедди «Luiza» с кружевными узорами красный S-M</t>
  </si>
  <si>
    <t xml:space="preserve"> Тедди «Luiza» с кружевными узорами черный S-M</t>
  </si>
  <si>
    <t xml:space="preserve"> Боди Miss Whiplash на молнии во всю длину черный M</t>
  </si>
  <si>
    <t xml:space="preserve"> Боди Miss Whiplash на молнии во всю длину черный S</t>
  </si>
  <si>
    <t xml:space="preserve"> Боди Miss Whiplash на молнии во всю длину черный L</t>
  </si>
  <si>
    <t xml:space="preserve"> Полупрозрачное боди «Cloe» со шнуровкой черный L-XL</t>
  </si>
  <si>
    <t xml:space="preserve"> Полупрозрачное боди «Cloe» со шнуровкой черный S-M</t>
  </si>
  <si>
    <t xml:space="preserve"> Откровенное эластичное боди «Чары» черный One Size</t>
  </si>
  <si>
    <t xml:space="preserve"> V-образное боди Blink из оборочек черный S</t>
  </si>
  <si>
    <t xml:space="preserve"> V-образное боди Blink из оборочек черный L</t>
  </si>
  <si>
    <t xml:space="preserve"> V-образное боди Blink из оборочек черный M</t>
  </si>
  <si>
    <t xml:space="preserve"> Оригинальное боди «Naked Shadow» с доступом и открытой попой черный M</t>
  </si>
  <si>
    <t xml:space="preserve"> Оригинальное боди «Naked Shadow» с доступом и открытой попой черный S</t>
  </si>
  <si>
    <t xml:space="preserve"> Оригинальное боди «Naked Shadow» с доступом и открытой попой черный L</t>
  </si>
  <si>
    <t xml:space="preserve"> Открытое боди Monique черный XL</t>
  </si>
  <si>
    <t xml:space="preserve"> Открытое боди Monique черный S</t>
  </si>
  <si>
    <t xml:space="preserve"> Открытое боди Monique черный L</t>
  </si>
  <si>
    <t xml:space="preserve"> Открытое боди Monique черный M</t>
  </si>
  <si>
    <t xml:space="preserve"> Открытое боди Inez с атласными бантиками черный M</t>
  </si>
  <si>
    <t xml:space="preserve"> Открытое боди Inez с атласными бантиками черный L</t>
  </si>
  <si>
    <t xml:space="preserve"> Открытое боди Inez с атласными бантиками черный S</t>
  </si>
  <si>
    <t xml:space="preserve"> Открытое боди Inez с атласными бантиками черный XL</t>
  </si>
  <si>
    <t xml:space="preserve"> Соблазнительное боди «Amelia» с доступом красный XXXL</t>
  </si>
  <si>
    <t xml:space="preserve"> Соблазнительное боди «Amelia» с доступом красный XXL</t>
  </si>
  <si>
    <t xml:space="preserve"> Соблазнительное боди «Amelia» с доступом черный XXXL</t>
  </si>
  <si>
    <t xml:space="preserve"> Соблазнительное боди «Amelia» с доступом черный XXL</t>
  </si>
  <si>
    <t xml:space="preserve"> Соблазнительное боди «Amelia» с доступом красный XL</t>
  </si>
  <si>
    <t xml:space="preserve"> Соблазнительное боди «Amelia» с доступом черный XL</t>
  </si>
  <si>
    <t xml:space="preserve"> Боди «Aimi» с длинными рукавами и веревками для связывания черный с красным M</t>
  </si>
  <si>
    <t xml:space="preserve"> Боди Agnes с сетчатыми вставками, пажами для чулок и алой шнуровкой на спинке черный S-M</t>
  </si>
  <si>
    <t xml:space="preserve"> Боди «Anita» из стреп-лент белый L-XL</t>
  </si>
  <si>
    <t xml:space="preserve"> Боди «Anita» из стреп-лент красный L-XL</t>
  </si>
  <si>
    <t xml:space="preserve"> Боди «Anita» из стреп-лент черный S-M</t>
  </si>
  <si>
    <t xml:space="preserve"> Боди «Anita» из стреп-лент красный S-M</t>
  </si>
  <si>
    <t xml:space="preserve"> Боди «Anita» из стреп-лент белый S-M</t>
  </si>
  <si>
    <t xml:space="preserve"> Боди «Anita» из стреп-лент черный L-XL</t>
  </si>
  <si>
    <t xml:space="preserve"> Кружевной тедди с открытыми боками и спиной черный L-XL</t>
  </si>
  <si>
    <t xml:space="preserve"> Кружевной тедди с открытыми боками и спиной черный S-M</t>
  </si>
  <si>
    <t xml:space="preserve"> Кружевной тедди с открытыми боками и спиной белый S-M</t>
  </si>
  <si>
    <t xml:space="preserve"> Кружевной тедди с открытыми боками и спиной белый L-XL</t>
  </si>
  <si>
    <t xml:space="preserve"> Кружевной тедди с открытыми боками и спиной черный M-L</t>
  </si>
  <si>
    <t xml:space="preserve"> Кружевной тедди с открытыми боками и спиной белый M-L</t>
  </si>
  <si>
    <t xml:space="preserve"> Кружевной V-образный тедди Merossa с пояском и доступом черный L-XL</t>
  </si>
  <si>
    <t xml:space="preserve"> Кружевной V-образный тедди Merossa с пояском и доступом черный S-M</t>
  </si>
  <si>
    <t xml:space="preserve"> Чарующее боди с доступом «Ashley» и аксессуарами красный с черным XL</t>
  </si>
  <si>
    <t xml:space="preserve"> Чарующее боди с доступом «Ashley» и аксессуарами красный с черным S</t>
  </si>
  <si>
    <t xml:space="preserve"> Чарующее боди с доступом «Ashley» и аксессуарами красный с черным L</t>
  </si>
  <si>
    <t xml:space="preserve"> Чарующее боди с доступом «Ashley» и аксессуарами красный с черным M</t>
  </si>
  <si>
    <t xml:space="preserve"> Боди «Fumi» в комплекте с веревками для связывания черный с красным S</t>
  </si>
  <si>
    <t xml:space="preserve"> Боди «Fumi» в комплекте с веревками для связывания черный с красным M</t>
  </si>
  <si>
    <t xml:space="preserve"> Боди из лент «Lola» красный L-XL</t>
  </si>
  <si>
    <t xml:space="preserve"> Боди из лент «Lola» белый L-XL</t>
  </si>
  <si>
    <t xml:space="preserve"> Боди из лент «Lola» черный S-M</t>
  </si>
  <si>
    <t xml:space="preserve"> Боди из лент «Lola» белый S-M</t>
  </si>
  <si>
    <t xml:space="preserve"> Боди из лент «Lola» красный S-M</t>
  </si>
  <si>
    <t xml:space="preserve"> Боди из лент «Lola» черный L-XL</t>
  </si>
  <si>
    <t xml:space="preserve"> Эластичное боди Venus с пажами для чулок черный L-XL</t>
  </si>
  <si>
    <t xml:space="preserve"> Эластичное боди Venus с пажами для чулок черный S-M</t>
  </si>
  <si>
    <t xml:space="preserve"> Нежное боди Bianca с аксессуарами белый S-M</t>
  </si>
  <si>
    <t xml:space="preserve"> Нежное боди Bianca с аксессуарами белый L-XL</t>
  </si>
  <si>
    <t xml:space="preserve"> Боди Nathalie с глубоким вырезом и цветочной вышивкой черный M</t>
  </si>
  <si>
    <t xml:space="preserve"> Боди Nathalie с глубоким вырезом и цветочной вышивкой черный L</t>
  </si>
  <si>
    <t xml:space="preserve"> Боди Nathalie с глубоким вырезом и цветочной вышивкой черный S</t>
  </si>
  <si>
    <t xml:space="preserve"> Эффектное боди Gill с маленькой шнуровкой на лифе красный L-XL</t>
  </si>
  <si>
    <t xml:space="preserve"> Эффектное боди Gill с маленькой шнуровкой на лифе красный S-M</t>
  </si>
  <si>
    <t xml:space="preserve"> Боди «Connie» с кружевными вставками на лифе и спине кремовый S-M</t>
  </si>
  <si>
    <t xml:space="preserve"> Боди «Connie» с кружевными вставками на лифе и спине черный S-M</t>
  </si>
  <si>
    <t xml:space="preserve"> Боди Dallas с полупрозрачной центральной частью черный S-M</t>
  </si>
  <si>
    <t xml:space="preserve"> Боди Dallas с полупрозрачной центральной частью черный L-XL</t>
  </si>
  <si>
    <t xml:space="preserve"> Боди «Giorgia» с оригинально оформленным лифом черный S-M</t>
  </si>
  <si>
    <t xml:space="preserve"> Шикарное полупрозрачное боди Keith с блестящим кружевом черный S-M</t>
  </si>
  <si>
    <t xml:space="preserve"> Шикарное полупрозрачное боди Keith с блестящим кружевом черный L-XL</t>
  </si>
  <si>
    <t xml:space="preserve"> Шикарное полупрозрачное боди Keith с блестящим кружевом черный XXL-XXXL</t>
  </si>
  <si>
    <t xml:space="preserve"> Боди Sissey с полупрозрачными вставками черный S-M</t>
  </si>
  <si>
    <t xml:space="preserve"> Эффектное боди Lanka с контрастным кружевом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</si>
  <si>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Кружевное боди Nell Plus Size с золотистой шнуровкой на животике </d:t>
    </d:r>
    <d:r xmlns:d="http://schemas.openxmlformats.org/spreadsheetml/2006/main">
      <d:rPr>
        <d:sz val="11"/>
        <d:color rgb="FF000000"/>
        <d:rFont val="Calibri"/>
      </d:rPr>
      <d:t>серый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</si>
  <si>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t xml:space="preserve"> Боди Moketta с сетчатыми вставками и коротенькими рукавчиками черный L-XL</t>
  </si>
  <si>
    <t xml:space="preserve"> Боди Moketta с сетчатыми вставками и коротенькими рукавчиками черный S-M</t>
  </si>
  <si>
    <t xml:space="preserve"> Боди Lago с перемычками по бокам черный S-M</t>
  </si>
  <si>
    <t xml:space="preserve"> Боди Lago с перемычками по бокам черный L-XL</t>
  </si>
  <si>
    <t xml:space="preserve"> Кружевное боди Frivolla с декоративными перемычками черный S-M</t>
  </si>
  <si>
    <t xml:space="preserve"> Тедди Scandalia из материала с wet-эффектом черный S-M</t>
  </si>
  <si>
    <t xml:space="preserve"> Тедди Scandalia из материала с wet-эффектом черный L-XL</t>
  </si>
  <si>
    <t xml:space="preserve"> Кружевное боди в комплекте с манжетами розовый One Size</t>
  </si>
  <si>
    <t xml:space="preserve"> Оригинальный тедди с открытым животом и спинкой черный One Size</t>
  </si>
  <si>
    <t xml:space="preserve"> Ажурное боди с имитацией шнуровки черный S</t>
  </si>
  <si>
    <t xml:space="preserve"> Боди-комбинезон с чулками черный S</t>
  </si>
  <si>
    <t xml:space="preserve"> Боди-комбинезон с чулочками черный S</t>
  </si>
  <si>
    <t xml:space="preserve"> Оригинальный тедди в виде подарочных лент красный One Size</t>
  </si>
  <si>
    <t xml:space="preserve"> Сетчатое боди Musca с кружевными вставками и доступом черный S-M</t>
  </si>
  <si>
    <t xml:space="preserve"> Сетчатое боди Musca с кружевными вставками и доступом черный L-XL</t>
  </si>
  <si>
    <t xml:space="preserve"> Боди Charms из цветочного кружева с интимным доступом черный L-XL</t>
  </si>
  <si>
    <t xml:space="preserve"> Боди Charms из цветочного кружева с интимным доступом черный S-M</t>
  </si>
  <si>
    <t xml:space="preserve"> Боди Charms из цветочного кружева с интимным доступом белый S-M</t>
  </si>
  <si>
    <t xml:space="preserve"> Боди Charms из цветочного кружева с интимным доступом белый L-XL</t>
  </si>
  <si>
    <t xml:space="preserve"> Кружевное боди Fiorenta с интимным доступом черный S-M</t>
  </si>
  <si>
    <t xml:space="preserve"> Роскошный кружевной тедди Alluria черный S-M</t>
  </si>
  <si>
    <t xml:space="preserve"> Роскошный кружевной тедди Alluria черный L-XL</t>
  </si>
  <si>
    <t xml:space="preserve"> Полупрозрачное боди Julitta с кружевной отделкой белый S-M</t>
  </si>
  <si>
    <t xml:space="preserve"> Полупрозрачное боди Julitta с кружевной отделкой белый L-XL</t>
  </si>
  <si>
    <t xml:space="preserve"> Эффектное боди Suella с украшением на лифе фиолетовый L-XL</t>
  </si>
  <si>
    <t xml:space="preserve"> Эффектное боди Suella с украшением на лифе фиолетовый S-M</t>
  </si>
  <si>
    <t xml:space="preserve"> Тедди с кружевным лифом и пажами для чулок черный с розовым One Size</t>
  </si>
  <si>
    <t xml:space="preserve"> Фиолетовое кружевное боди фиолетовый One Size</t>
  </si>
  <si>
    <t xml:space="preserve"> Мягкое боди-монокини черный One Size</t>
  </si>
  <si>
    <t xml:space="preserve"> Боди с продольными регуляторами и чулками красный One Size</t>
  </si>
  <si>
    <t xml:space="preserve"> Боди с кружевным лифом на косточках красный One Size</t>
  </si>
  <si>
    <t xml:space="preserve"> Боди с кружевным лифом на косточках красный XL</t>
  </si>
  <si>
    <t xml:space="preserve"> Ажурное боди с открытой спиной черный XL</t>
  </si>
  <si>
    <t xml:space="preserve"> Ажурное боди с открытой спиной черный One Size</t>
  </si>
  <si>
    <t xml:space="preserve"> Чёрное боди-портупея Naomi черный One Size</t>
  </si>
  <si>
    <t xml:space="preserve"> Эффектное боди Jean из ткани с мокрым блеском черный S-M</t>
  </si>
  <si>
    <t xml:space="preserve"> Эффектное боди Jean из ткани с мокрым блеском черный L-XL</t>
  </si>
  <si>
    <t xml:space="preserve"> Боди Will с бантами и подвязками черный с белым S-M</t>
  </si>
  <si>
    <t xml:space="preserve"> Боди Will с бантами и подвязками черный с белым L-XL</t>
  </si>
  <si>
    <t xml:space="preserve"> Боди из кружевного полотна черный M-L</t>
  </si>
  <si>
    <t xml:space="preserve"> Боди из кружевного полотна черный S-M</t>
  </si>
  <si>
    <t xml:space="preserve"> Боди из кружевного полотна черный L-XL</t>
  </si>
  <si>
    <t xml:space="preserve"> Боди с кружевным жабо черный L-XL</t>
  </si>
  <si>
    <t xml:space="preserve"> Боди с кружевным жабо черный S-M</t>
  </si>
  <si>
    <t xml:space="preserve"> Боди с кружевным жабо черный M-L</t>
  </si>
  <si>
    <t xml:space="preserve"> Кружевное эластичное боди с глубоким декольте черный M-L</t>
  </si>
  <si>
    <t xml:space="preserve"> Кружевное эластичное боди с глубоким декольте черный S-M</t>
  </si>
  <si>
    <t xml:space="preserve"> Кружевное эластичное боди с глубоким декольте черный L-XL</t>
  </si>
  <si>
    <t xml:space="preserve"> Соблазнительное боди Clover с эффектом wetlook черный L-XL</t>
  </si>
  <si>
    <t xml:space="preserve"> Соблазнительное боди Clover с эффектом wetlook черный S-M</t>
  </si>
  <si>
    <t xml:space="preserve"> Боди Eltero с аксессуарами красный с черным M</t>
  </si>
  <si>
    <t xml:space="preserve"> Боди Eltero с аксессуарами красный с черным S</t>
  </si>
  <si>
    <t xml:space="preserve"> Боди Eltero с аксессуарами красный с черным L</t>
  </si>
  <si>
    <t xml:space="preserve"> Боди Eltero с аксессуарами красный с черным XL</t>
  </si>
  <si>
    <t xml:space="preserve"> Прозрачное боди Aisha с вышивкой черный XL</t>
  </si>
  <si>
    <t xml:space="preserve"> Прозрачное боди Aisha с вышивкой черный L</t>
  </si>
  <si>
    <t xml:space="preserve"> Прозрачное боди Aisha с вышивкой черный S</t>
  </si>
  <si>
    <t xml:space="preserve"> Прозрачное боди Aisha с вышивкой черный M</t>
  </si>
  <si>
    <t xml:space="preserve"> Элегантное боди Inspiration черный L</t>
  </si>
  <si>
    <t xml:space="preserve"> Боди Wonderia с маленькими бантами черный S-M</t>
  </si>
  <si>
    <t xml:space="preserve"> Открытое боди Antara черный L</t>
  </si>
  <si>
    <t xml:space="preserve"> Открытое боди Antara черный S</t>
  </si>
  <si>
    <t xml:space="preserve"> Открытое боди Antara черный M</t>
  </si>
  <si>
    <t xml:space="preserve"> Открытое боди Antara черный XL</t>
  </si>
  <si>
    <t xml:space="preserve"> Прозрачное боди с бусинками на декольте черный S-M</t>
  </si>
  <si>
    <t xml:space="preserve"> Прозрачное боди с бусинками на декольте черный L-XL</t>
  </si>
  <si>
    <t xml:space="preserve"> Боди Dagoma с аксессуарами для любовной игры черный XL</t>
  </si>
  <si>
    <t xml:space="preserve"> Боди Dagoma с аксессуарами для любовной игры красный M</t>
  </si>
  <si>
    <t xml:space="preserve"> Боди Dagoma с аксессуарами для любовной игры красный L</t>
  </si>
  <si>
    <t xml:space="preserve"> Боди Dagoma с аксессуарами для любовной игры красный S</t>
  </si>
  <si>
    <t xml:space="preserve"> Кружевное боди Penny белый L</t>
  </si>
  <si>
    <t xml:space="preserve"> Кружевное боди Penny белый S</t>
  </si>
  <si>
    <t xml:space="preserve"> Кружевное боди Penny белый M</t>
  </si>
  <si>
    <t xml:space="preserve"> Кружевное боди Penny белый XL</t>
  </si>
  <si>
    <t xml:space="preserve"> Боди Brida с открытой спиной красный с черным L-XL</t>
  </si>
  <si>
    <t xml:space="preserve"> Боди Brida с открытой спиной черный S-M</t>
  </si>
  <si>
    <t xml:space="preserve"> Боди Brida с открытой спиной красный с черным S-M</t>
  </si>
  <si>
    <t xml:space="preserve"> Боди Brida с открытой спиной черный L-XL</t>
  </si>
  <si>
    <t xml:space="preserve"> Боди Nadya с небольшими вырезами на лифе черный L-XL</t>
  </si>
  <si>
    <t xml:space="preserve"> Боди Nadya с небольшими вырезами на лифе черный S-M</t>
  </si>
  <si>
    <t xml:space="preserve"> Кружевное боди Otavia с оборками черный S-M</t>
  </si>
  <si>
    <t xml:space="preserve"> Кружевное боди Otavia с оборками черный L-XL</t>
  </si>
  <si>
    <t xml:space="preserve"> Полупрозрачное боди Lumia черный L-XL</t>
  </si>
  <si>
    <t xml:space="preserve"> Полупрозрачное боди Lumia черный S-M</t>
  </si>
  <si>
    <t xml:space="preserve"> Кружевное боди Adara с полуоткрытой грудью черный S-M</t>
  </si>
  <si>
    <t xml:space="preserve"> Кружевное боди Adara с полуоткрытой грудью красный S-M</t>
  </si>
  <si>
    <t xml:space="preserve"> Кружевное боди Adara с полуоткрытой грудью красный L-XL</t>
  </si>
  <si>
    <t xml:space="preserve"> Эффектное боди Daryl с материалом под кожу черный S-M</t>
  </si>
  <si>
    <t xml:space="preserve"> Эффектное боди Daryl с материалом под кожу черный L-XL</t>
  </si>
  <si>
    <t xml:space="preserve"> Боди Fabiana со скрещёнными бретелями на спине красный S-M</t>
  </si>
  <si>
    <t xml:space="preserve"> Боди Fabiana со скрещёнными бретелями на спине красный L-XL</t>
  </si>
  <si>
    <t xml:space="preserve"> Полупрозрачное боди Joana черный S-M</t>
  </si>
  <si>
    <t xml:space="preserve"> Полупрозрачное боди Joana черный L-XL</t>
  </si>
  <si>
    <t xml:space="preserve"> Откровенное боди Justina черный L-XL</t>
  </si>
  <si>
    <t xml:space="preserve"> Откровенное боди Justina черный S-M</t>
  </si>
  <si>
    <t xml:space="preserve"> Боди Samantha из нитей черный S-M</t>
  </si>
  <si>
    <t xml:space="preserve"> Боди Samantha из нитей красный S-M</t>
  </si>
  <si>
    <t xml:space="preserve"> Боди Samantha из нитей белый S-M</t>
  </si>
  <si>
    <t xml:space="preserve"> Боди Samantha из нитей красный L-XL</t>
  </si>
  <si>
    <t xml:space="preserve"> Боди Samantha из нитей белый L-XL</t>
  </si>
  <si>
    <t xml:space="preserve"> Боди Samantha из нитей черный L-XL</t>
  </si>
  <si>
    <t xml:space="preserve"> Боди Sandra с бахромой черный L-XL</t>
  </si>
  <si>
    <t xml:space="preserve"> Боди Sandra с бахромой белый L-XL</t>
  </si>
  <si>
    <t xml:space="preserve"> Боди Sandra с бахромой красный L-XL</t>
  </si>
  <si>
    <t xml:space="preserve"> Боди Sandra с бахромой белый S-M</t>
  </si>
  <si>
    <t xml:space="preserve"> Боди Sandra с бахромой красный S-M</t>
  </si>
  <si>
    <t xml:space="preserve"> Боди Sandra с бахромой черный S-M</t>
  </si>
  <si>
    <t xml:space="preserve"> Боди с бахромой на лифе черный S-M</t>
  </si>
  <si>
    <t xml:space="preserve"> Боди с бахромой на лифе черный M-L</t>
  </si>
  <si>
    <t xml:space="preserve"> Боди с открытой грудью и лентами по ногам черный M-L</t>
  </si>
  <si>
    <t xml:space="preserve"> Боди с открытой грудью и лентами по ногам черный S-M</t>
  </si>
  <si>
    <t xml:space="preserve"> Белое боди Catalina с интимным доступом белый S-M</t>
  </si>
  <si>
    <t xml:space="preserve"> Белое боди Catalina с интимным доступом белый L-XL</t>
  </si>
  <si>
    <t xml:space="preserve"> Боди Fabien с открытой спинкой черный S-M</t>
  </si>
  <si>
    <t xml:space="preserve"> Боди Fabien с открытой спинкой черный L-XL</t>
  </si>
  <si>
    <t xml:space="preserve"> Боди Lovia с прозрачными элементами черный L-XL</t>
  </si>
  <si>
    <t xml:space="preserve"> Боди Lovia с прозрачными элементами черный S-M</t>
  </si>
  <si>
    <t xml:space="preserve"> Боди Lovia с прозрачными элементами красный с черным S-M</t>
  </si>
  <si>
    <t xml:space="preserve"> Боди Lovia с прозрачными элементами красный с черным L-XL</t>
  </si>
  <si>
    <t xml:space="preserve"> Тедди Arlette с полупрозрачными деталями и изысканным кружевом черный M</t>
  </si>
  <si>
    <t xml:space="preserve"> Игривое боди с имитацией шнуровки красный S-M</t>
  </si>
  <si>
    <t xml:space="preserve"> Тедди с кружевом и оригинальным дизайном спинки черный M</t>
  </si>
  <si>
    <t xml:space="preserve"> Тедди с кружевом и оригинальным дизайном спинки черный L</t>
  </si>
  <si>
    <t xml:space="preserve"> Тедди с кружевом и оригинальным дизайном спинки черный S</t>
  </si>
  <si>
    <t xml:space="preserve"> Изумительное тедди Chilirose черный S</t>
  </si>
  <si>
    <t xml:space="preserve"> Изумительное тедди Chilirose черный M</t>
  </si>
  <si>
    <t xml:space="preserve"> Боди «Ella» с пажами для чулок черный XXXL</t>
  </si>
  <si>
    <t xml:space="preserve"> Боди «Ella» с пажами для чулок черный XL</t>
  </si>
  <si>
    <t xml:space="preserve"> Боди «Ella» с пажами для чулок черный XXL</t>
  </si>
  <si>
    <t xml:space="preserve"> Боди с кружевной лицевой частью и ромбовидным вырезом на груди белый L-XL</t>
  </si>
  <si>
    <t xml:space="preserve"> Боди с кружевной лицевой частью и ромбовидным вырезом на груди белый S-M</t>
  </si>
  <si>
    <t xml:space="preserve"> Кружевное боди с ромбовидным вырезом на груди и интимным доступом белый S-M</t>
  </si>
  <si>
    <t xml:space="preserve"> Кружевное боди с ромбовидным вырезом на груди и интимным доступом белый M-L</t>
  </si>
  <si>
    <t xml:space="preserve"> Боди с кружевами и красивой зоной декольте белый M-L</t>
  </si>
  <si>
    <t xml:space="preserve"> Боди с кружевами и красивой зоной декольте белый S-M</t>
  </si>
  <si>
    <t xml:space="preserve"> Эффектное боди с кружевами и вырезом на лифе черный S-M</t>
  </si>
  <si>
    <t xml:space="preserve"> Эффектное боди с кружевами и вырезом на лифе черный M-L</t>
  </si>
  <si>
    <t xml:space="preserve"> Кружевное боди с открытой спинкой и интимным доступом черный M-L</t>
  </si>
  <si>
    <t xml:space="preserve"> Кружевное боди с открытой спинкой и интимным доступом черный S-M</t>
  </si>
  <si>
    <t xml:space="preserve"> Кружевное боди с открытой спинкой и интимным доступом черный L-XL</t>
  </si>
  <si>
    <t xml:space="preserve"> Соблазнительное боди Gigi из прозрачной сетки и кружев черный L-XL</t>
  </si>
  <si>
    <t xml:space="preserve"> Соблазнительное боди Gigi из прозрачной сетки и кружев черный S-M</t>
  </si>
  <si>
    <t xml:space="preserve"> Боди Exility с глубоким декольте и пажами для чулок черный S-M</t>
  </si>
  <si>
    <t xml:space="preserve"> Боди Exility с глубоким декольте и пажами для чулок черный M-L</t>
  </si>
  <si>
    <t xml:space="preserve"> Боди Exility с глубоким декольте и пажами для чулок черный L-XL</t>
  </si>
  <si>
    <t xml:space="preserve"> Боди Grace с длинными рукавами черный L-XL</t>
  </si>
  <si>
    <t xml:space="preserve"> Боди Grace с длинными рукавами черный M-L</t>
  </si>
  <si>
    <t xml:space="preserve"> Боди Grace с длинными рукавами черный S-M</t>
  </si>
  <si>
    <t xml:space="preserve"> Полупрозрачное боди Ginette с открытой грудью черный S-M</t>
  </si>
  <si>
    <t xml:space="preserve"> Полупрозрачное боди Ginette с открытой грудью красный S-M</t>
  </si>
  <si>
    <t xml:space="preserve"> Полупрозрачное боди Ginette с открытой грудью белый S-M</t>
  </si>
  <si>
    <t xml:space="preserve"> Соблазнительное боди Amarillea черный M</t>
  </si>
  <si>
    <t xml:space="preserve"> Соблазнительное боди Amarillea черный S</t>
  </si>
  <si>
    <t xml:space="preserve"> Соблазнительное боди Amarillea черный L</t>
  </si>
  <si>
    <t xml:space="preserve"> Соблазнительное боди Amarillea черный XL</t>
  </si>
  <si>
    <t xml:space="preserve"> Боди размера Plus Size из сетки с рисунком в виде крыльев на спинке черный XL-XXL</t>
  </si>
  <si>
    <t xml:space="preserve"> Оригинальное тедди с интимным доступом и металлическими декоративными элементами черный S-M</t>
  </si>
  <si>
    <t xml:space="preserve"> Сексапильное боди из сетки и нежных кружев черный S-M</t>
  </si>
  <si>
    <t xml:space="preserve"> Сексапильное боди из сетки и нежных кружев черный L-XL</t>
  </si>
  <si>
    <t xml:space="preserve"> Ажурное боди с переплетением бретелей на животике и интимным доступом черный L-XL</t>
  </si>
  <si>
    <t xml:space="preserve"> Ажурное боди с переплетением бретелей на животике и интимным доступом черный S-M</t>
  </si>
  <si>
    <t xml:space="preserve"> Соблазнительное боди с узором в виде розочек черный S-M</t>
  </si>
  <si>
    <t xml:space="preserve"> Соблазнительное боди с узором в виде розочек черный L-XL</t>
  </si>
  <si>
    <t xml:space="preserve"> Боди из полупрозрачного материала черный L-XL</t>
  </si>
  <si>
    <t xml:space="preserve"> Боди из полупрозрачного материала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</si>
  <si>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Moketta Plus Size с сетчатыми вставками и коротенькими рукавами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</si>
  <si>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t xml:space="preserve"> Полупрозрачное боди с открытой спиной черный S-M</t>
  </si>
  <si>
    <t xml:space="preserve"> Полупрозрачное боди с открытой спиной черный L-XL</t>
  </si>
  <si>
    <t xml:space="preserve"> Эффектное боди с кружевом и красивым декольте черный S-M</t>
  </si>
  <si>
    <t xml:space="preserve"> Эффектное боди с кружевом и красивым декольте черный M-L</t>
  </si>
  <si>
    <t xml:space="preserve"> Очаровательное полупрозрачное боди с кружевным лифом и интимным доступом черный S-M</t>
  </si>
  <si>
    <t xml:space="preserve"> Очаровательное полупрозрачное боди с кружевным лифом и интимным доступом черный L-XL</t>
  </si>
  <si>
    <t xml:space="preserve"> Прозрачное боди с кружевной оторочкой и интимным доступом черный L-XL</t>
  </si>
  <si>
    <t xml:space="preserve"> Прозрачное боди с кружевной оторочкой и интимным доступом черный S-M</t>
  </si>
  <si>
    <t xml:space="preserve"> Роскошное кружевное тедди с украшением на животике в виде сердца красный S-M</t>
  </si>
  <si>
    <t xml:space="preserve"> Роскошное кружевное тедди с украшением на животике в виде сердца красный L-XL</t>
  </si>
  <si>
    <t xml:space="preserve"> Очаровательное боди из сетки с кружевной отделкой и открытой спиной черный S-M</t>
  </si>
  <si>
    <t xml:space="preserve"> Очаровательное боди из сетки с кружевной отделкой и открытой спиной черный L-XL</t>
  </si>
  <si>
    <t xml:space="preserve"> Оригинальное боди с пажами и открытой спиной черный L-XL</t>
  </si>
  <si>
    <t xml:space="preserve"> Оригинальное боди с пажами и открытой спиной черный S-M</t>
  </si>
  <si>
    <t xml:space="preserve"> Боди Avilia Plus Size с доступом черный XXXL</t>
  </si>
  <si>
    <t xml:space="preserve"> Боди Avilia Plus Size с доступом черный XXL</t>
  </si>
  <si>
    <t xml:space="preserve"> Оригинальное боди Avilia с интимным доступом черный XL</t>
  </si>
  <si>
    <t xml:space="preserve"> Оригинальное боди Avilia с интимным доступом черный M</t>
  </si>
  <si>
    <t xml:space="preserve"> Оригинальное боди Avilia с интимным доступом черный L</t>
  </si>
  <si>
    <t xml:space="preserve"> Оригинальное боди Avilia с интимным доступом черный S</t>
  </si>
  <si>
    <t xml:space="preserve"> Открытое боди Monique Plus Size с бантами черный XXXL</t>
  </si>
  <si>
    <t xml:space="preserve"> Открытое боди Monique Plus Size с бантами черный XXL</t>
  </si>
  <si>
    <t xml:space="preserve"> Кружевное боди Alexandra Plus Size в комплекте с маской на глаза черный XXL</t>
  </si>
  <si>
    <t xml:space="preserve"> Кружевное боди Alexandra Plus Size в комплекте с маской на глаза черный XXXL</t>
  </si>
  <si>
    <t xml:space="preserve"> Изысканное боди Amarillea Plus Size черный XXXL</t>
  </si>
  <si>
    <t xml:space="preserve"> Изысканное боди Amarillea Plus Size черный XXL</t>
  </si>
  <si>
    <t xml:space="preserve"> Пикантное боди Antara Plus Size черный XXL</t>
  </si>
  <si>
    <t xml:space="preserve"> Пикантное боди Antara Plus Size черный XXXL</t>
  </si>
  <si>
    <t xml:space="preserve"> Боди в крапинку Eltero Plus Size с аксессуарами красный с черным XXL</t>
  </si>
  <si>
    <t xml:space="preserve"> Боди в крапинку Eltero Plus Size с аксессуарами красный с черным XXXL</t>
  </si>
  <si>
    <t xml:space="preserve"> Полупрозрачное боди Nicca Plus Size с бретелями, похожими на цепи черный XXL</t>
  </si>
  <si>
    <t xml:space="preserve"> Полупрозрачное боди Nicca Plus Size с бретелями, похожими на цепи черный XXXL</t>
  </si>
  <si>
    <t xml:space="preserve"> Полупрозрачное боди Nicca с бретелями, похожими на цепочки черный XL</t>
  </si>
  <si>
    <t xml:space="preserve"> Полупрозрачное боди Nicca с бретелями, похожими на цепочки черный S</t>
  </si>
  <si>
    <t xml:space="preserve"> Полупрозрачное боди Nicca с бретелями, похожими на цепочки черный L</t>
  </si>
  <si>
    <t xml:space="preserve"> Полупрозрачное боди Nicca с бретелями, похожими на цепочки черный M</t>
  </si>
  <si>
    <t xml:space="preserve"> Кружевной тедди Sallena Plus Size с декоративной мини-шнуровкой черный XXXL</t>
  </si>
  <si>
    <t xml:space="preserve"> Кружевной тедди Sallena Plus Size с декоративной мини-шнуровкой черный XXL</t>
  </si>
  <si>
    <t xml:space="preserve"> Кружевное боди Sallena с декоративной мини-шнуровкой черный XL</t>
  </si>
  <si>
    <t xml:space="preserve"> Кружевное боди Sallena с декоративной мини-шнуровкой черный M</t>
  </si>
  <si>
    <t xml:space="preserve"> Кружевное боди Sallena с декоративной мини-шнуровкой черный L</t>
  </si>
  <si>
    <t xml:space="preserve"> Кружевное боди Sallena с декоративной мини-шнуровкой черный S</t>
  </si>
  <si>
    <t xml:space="preserve"> Боди Dagoma Plus Size с аксессуарами для любовных игр красный XXL</t>
  </si>
  <si>
    <t xml:space="preserve"> Боди Dagoma Plus Size с аксессуарами для любовных игр красный XXXL</t>
  </si>
  <si>
    <t xml:space="preserve"> Ажурное боди Penny Plus Size белый XXXL</t>
  </si>
  <si>
    <t xml:space="preserve"> Ажурное боди Penny Plus Size белый XXL</t>
  </si>
  <si>
    <t xml:space="preserve"> Элегантное боди Inspiration Plus Size с вырезом на груди черный XXXL</t>
  </si>
  <si>
    <t xml:space="preserve"> Контактное боди Helike Plus Size с кружевом черный XXXL</t>
  </si>
  <si>
    <t xml:space="preserve"> Контактное боди Helike Plus Size с кружевом черный XXL</t>
  </si>
  <si>
    <t xml:space="preserve"> Кружевное контактное боди Helike черный XL</t>
  </si>
  <si>
    <t xml:space="preserve"> Кружевное контактное боди Helike черный S</t>
  </si>
  <si>
    <t xml:space="preserve"> Кружевное контактное боди Helike черный L</t>
  </si>
  <si>
    <t xml:space="preserve"> Кружевное контактное боди Helike черный M</t>
  </si>
  <si>
    <t xml:space="preserve"> Чарующее боди Salmakis Plus Size с оборками черный XXL</t>
  </si>
  <si>
    <t xml:space="preserve"> Чарующее боди Salmakis Plus Size с оборками черный XXXL</t>
  </si>
  <si>
    <t xml:space="preserve"> Соблазнительное боди Salmakis с оборками и доступом черный XL</t>
  </si>
  <si>
    <t xml:space="preserve"> Соблазнительное боди Salmakis с оборками и доступом черный M</t>
  </si>
  <si>
    <t xml:space="preserve"> Соблазнительное боди Salmakis с оборками и доступом черный L</t>
  </si>
  <si>
    <t xml:space="preserve"> Соблазнительное боди Salmakis с оборками и доступом черный S</t>
  </si>
  <si>
    <t xml:space="preserve"> Кружевное боди Fosco с тюлевым лифом черный с красным 1X-2X</t>
  </si>
  <si>
    <t xml:space="preserve"> Кружевное боди Fosco с тюлевым лифом черный с красным 3X-4X</t>
  </si>
  <si>
    <t xml:space="preserve"> Кружевное боди Fosco с тюлевым лифом черный с красным 5X-6X</t>
  </si>
  <si>
    <t xml:space="preserve"> Соблазнительное боди Divina Plus Size из прозрачной вуали и кружев черный с красным XXL</t>
  </si>
  <si>
    <t xml:space="preserve"> Соблазнительное боди Divina Plus Size из прозрачной вуали и кружев черный с красным XXXL</t>
  </si>
  <si>
    <t xml:space="preserve"> Боди Divina из прозрачной вуали и кружев черный с красным XL</t>
  </si>
  <si>
    <t xml:space="preserve"> Боди Divina из прозрачной вуали и кружев черный с красным L</t>
  </si>
  <si>
    <t xml:space="preserve"> Боди Divina из прозрачной вуали и кружев черный с красным S</t>
  </si>
  <si>
    <t xml:space="preserve"> Боди Divina из прозрачной вуали и кружев черный с красным M</t>
  </si>
  <si>
    <t xml:space="preserve"> Оригинальное боди Love Plus Size с сердечком черный с красным XXL</t>
  </si>
  <si>
    <t xml:space="preserve"> Оригинальное боди Love Plus Size с сердечком черный с красным XXXL</t>
  </si>
  <si>
    <t xml:space="preserve"> Оригинальное боди Love с нижней частью в форме сердца черный с красным XL</t>
  </si>
  <si>
    <t xml:space="preserve"> Оригинальное боди Love с нижней частью в форме сердца черный M</t>
  </si>
  <si>
    <t xml:space="preserve"> Оригинальное боди Love с нижней частью в форме сердца черный с красным S</t>
  </si>
  <si>
    <t xml:space="preserve"> Оригинальное боди Love с нижней частью в форме сердца черный с красным L</t>
  </si>
  <si>
    <t xml:space="preserve"> Двухцветное боди Ashley Plus Size с аксессуарами красный с черным XXL</t>
  </si>
  <si>
    <t xml:space="preserve"> Двухцветное боди Ashley Plus Size с аксессуарами красный с черным XXXL</t>
  </si>
  <si>
    <t xml:space="preserve"> Полупрозрачное боди Muriel с имитацией шнуровки по бокам красный L-XL</t>
  </si>
  <si>
    <t xml:space="preserve"> Полупрозрачное боди Muriel с имитацией шнуровки по бокам черный S-M</t>
  </si>
  <si>
    <t xml:space="preserve"> Полупрозрачное боди Muriel с имитацией шнуровки по бокам красный S-M</t>
  </si>
  <si>
    <t xml:space="preserve"> Полупрозрачное боди Muriel с имитацией шнуровки по бокам черный L-XL</t>
  </si>
  <si>
    <t xml:space="preserve"> Полупрозрачное боди Bianca Plus Size с аксессуарами белый XXL-XXXL</t>
  </si>
  <si>
    <t xml:space="preserve"> Кружевное боди Elza с интимным доступом и митенками черный L-XL</t>
  </si>
  <si>
    <t xml:space="preserve"> Кружевное боди Elza с интимным доступом и митенками красный S-M</t>
  </si>
  <si>
    <t xml:space="preserve"> Кружевное боди Elza с интимным доступом и митенками белый S-M</t>
  </si>
  <si>
    <t xml:space="preserve"> Кружевное боди Elza с интимным доступом и митенками черный S-M</t>
  </si>
  <si>
    <t xml:space="preserve"> Кружевное боди Elza с интимным доступом и митенками красный L-XL</t>
  </si>
  <si>
    <t xml:space="preserve"> Кружевное боди Elza с интимным доступом и митенками белый L-XL</t>
  </si>
  <si>
    <t xml:space="preserve"> Кружевное боди Elza Plus Size с доступом и митенками красный XXL-XXXL</t>
  </si>
  <si>
    <t xml:space="preserve"> Кружевное боди Elza Plus Size с доступом и митенками белый XXL-XXXL</t>
  </si>
  <si>
    <t xml:space="preserve"> Кружевное боди Elza Plus Size с доступом и митенками черный XXL-XXXL</t>
  </si>
  <si>
    <t xml:space="preserve"> Игривое боди Helena с бантиками красный L-XL</t>
  </si>
  <si>
    <t xml:space="preserve"> Игривое боди Helena с бантиками красный S-M</t>
  </si>
  <si>
    <t xml:space="preserve"> Оригинальное боди Ida с лифом из сердечек черный с красным S-M</t>
  </si>
  <si>
    <t xml:space="preserve"> Оригинальное боди Ida с лифом из сердечек черный с красным L-XL</t>
  </si>
  <si>
    <t xml:space="preserve"> Оригинальное боди Ida Plus Size с лифом из сердечек черный с красным XXL-XXXL</t>
  </si>
  <si>
    <t xml:space="preserve"> Волнующее боди Athena Plus Size из тюля черный XXL-XXXL</t>
  </si>
  <si>
    <t xml:space="preserve"> Волнующее боди Athena Plus Size из тюля белый XXL-XXXL</t>
  </si>
  <si>
    <t xml:space="preserve"> Полупрозрачное боди Emma с вставкой из wet-look материала черный L-XL</t>
  </si>
  <si>
    <t xml:space="preserve"> Полупрозрачное боди Emma с вставкой из wet-look материала белый L-XL</t>
  </si>
  <si>
    <t xml:space="preserve"> Полупрозрачное боди Emma с вставкой из wet-look материала красный L-XL</t>
  </si>
  <si>
    <t xml:space="preserve"> Полупрозрачное боди Emma с вставкой из wet-look материала белый S-M</t>
  </si>
  <si>
    <t xml:space="preserve"> Полупрозрачное боди Emma с вставкой из wet-look материала черный S-M</t>
  </si>
  <si>
    <t xml:space="preserve"> Полупрозрачное боди Emma с вставкой из wet-look материала красный S-M</t>
  </si>
  <si>
    <t xml:space="preserve"> Нежное кружевное тедди Bisquitta бежевый S-M</t>
  </si>
  <si>
    <t xml:space="preserve"> Нежное кружевное тедди Bisquitta бежевый L-XL</t>
  </si>
  <si>
    <t xml:space="preserve"> Соблазнительное боди Fanny с молниями красный L-XL</t>
  </si>
  <si>
    <t xml:space="preserve"> Соблазнительное боди Fanny с молниями белый L-XL</t>
  </si>
  <si>
    <t xml:space="preserve"> Соблазнительное боди Fanny с молниями белый S-M</t>
  </si>
  <si>
    <t xml:space="preserve"> Соблазнительное боди Fanny с молниями красный S-M</t>
  </si>
  <si>
    <t xml:space="preserve"> Соблазнительное боди Fanny с молниями черный S-M</t>
  </si>
  <si>
    <t xml:space="preserve"> Соблазнительное боди Fanny с молниями черный L-XL</t>
  </si>
  <si>
    <t xml:space="preserve"> Соблазнительное боди Fanny Plus Size с молниями белый XXL-XXXL</t>
  </si>
  <si>
    <t xml:space="preserve"> Соблазнительное боди Fanny Plus Size с молниями черный XXL-XXXL</t>
  </si>
  <si>
    <t xml:space="preserve"> Соблазнительное боди Fanny Plus Size с молниями красный XXL-XXXL</t>
  </si>
  <si>
    <t xml:space="preserve"> Соблазнительное боди с клетчатыми деталями и узором из цветочков черный L-XL</t>
  </si>
  <si>
    <t xml:space="preserve"> Соблазнительное боди с клетчатыми деталями и узором из цветочков черный S-M</t>
  </si>
  <si>
    <t xml:space="preserve"> Полупрозрачное боди Avril со шнуровкой черный S-M</t>
  </si>
  <si>
    <t xml:space="preserve"> Полупрозрачное боди Avril со шнуровкой черный L-XL</t>
  </si>
  <si>
    <t xml:space="preserve"> Полупрозрачное боди Avril Plus Size со шнуровкой черный XXL-XXXL</t>
  </si>
  <si>
    <t xml:space="preserve"> Кружевное боди Yolanda с длинными рукавами и открытой спинкой черный L-XL</t>
  </si>
  <si>
    <t xml:space="preserve"> Кружевное боди Yolanda с длинными рукавами и открытой спинкой черный S-M</t>
  </si>
  <si>
    <t xml:space="preserve"> Кружевное боди Yolanda Plus Size с длинными рукавами и открытой спинкой черный XXL-XXXL</t>
  </si>
  <si>
    <t xml:space="preserve"> Вызывающее боди Blanche на молнии черный XXL-XXXL</t>
  </si>
  <si>
    <t xml:space="preserve"> Игривое боди Cassandra Plus Size с застёжками-молниями черный XXL-XXXL</t>
  </si>
  <si>
    <t xml:space="preserve"> Боди Anita Plus Size из стреп-лент черный XXL-XXXL</t>
  </si>
  <si>
    <t xml:space="preserve"> Боди Anita Plus Size из стреп-лент белый XXL-XXXL</t>
  </si>
  <si>
    <t xml:space="preserve"> Боди Anita Plus Size из стреп-лент красный XXL-XXXL</t>
  </si>
  <si>
    <t xml:space="preserve"> Соблазнительное боди Jovita Plus Size с открытой попой белый XXL-XXXL</t>
  </si>
  <si>
    <t xml:space="preserve"> Соблазнительное боди Jovita Plus Size с открытой попой черный XXL-XXXL</t>
  </si>
  <si>
    <t xml:space="preserve"> Кружевное боди Rayen Plus Size с глубоким декольте черный XXL-XXXL</t>
  </si>
  <si>
    <t xml:space="preserve"> Кружевное боди Rayen Plus Size с глубоким декольте красный XXL-XXXL</t>
  </si>
  <si>
    <t xml:space="preserve"> Боди Josslyn из цветочного кружева с открытой спинкой черный L-XL</t>
  </si>
  <si>
    <t xml:space="preserve"> Боди Josslyn из цветочного кружева с открытой спинкой черный S-M</t>
  </si>
  <si>
    <t xml:space="preserve"> Соблазнительное боди Rika с ярким лифом на завязках черный с красным S-M</t>
  </si>
  <si>
    <t xml:space="preserve"> Соблазнительное боди Rika с ярким лифом на завязках черный с красным L-XL</t>
  </si>
  <si>
    <t xml:space="preserve"> Полупрозрачное боди Joana Plus Size с регулируемыми бретелями черный XXL-XXXL</t>
  </si>
  <si>
    <t xml:space="preserve"> Пикантное боди Leila из эластичных лент с оборками черный L-XL</t>
  </si>
  <si>
    <t xml:space="preserve"> Пикантное боди Leila из эластичных лент с оборками кремовый L-XL</t>
  </si>
  <si>
    <t xml:space="preserve"> Пикантное боди Leila из эластичных лент с оборками кремовый S-M</t>
  </si>
  <si>
    <t xml:space="preserve"> Пикантное боди Leila из эластичных лент с оборками черный S-M</t>
  </si>
  <si>
    <t xml:space="preserve"> Откровенное боди Leila Plus Size из эластичных лент с оборками черный XXL-XXXL</t>
  </si>
  <si>
    <t xml:space="preserve"> Откровенное боди Leila Plus Size из эластичных лент с оборками кремовый XXL-XXXL</t>
  </si>
  <si>
    <t xml:space="preserve"> Боди Nadya Plus Size с каплевидными вырезами на лифе черный XXL-XXXL</t>
  </si>
  <si>
    <t xml:space="preserve"> Белое боди Catalina Plus Size с интимным доступом белый XXL-XXXL</t>
  </si>
  <si>
    <t xml:space="preserve"> Боди Fabien Plus Size с открытой спинкой черный XXL-XXXL</t>
  </si>
  <si>
    <t xml:space="preserve"> Чарующее кружевное боди Kossa с пикантным разрезом черный L-XL</t>
  </si>
  <si>
    <t xml:space="preserve"> Чарующее кружевное боди Kossa с пикантным разрезом черный S-M</t>
  </si>
  <si>
    <t xml:space="preserve"> Боди Lovia Plus Size с прозрачными элементами черный XXL-XXXL</t>
  </si>
  <si>
    <t xml:space="preserve"> Боди Lovia Plus Size с прозрачными элементами красный с черным XXL-XXXL</t>
  </si>
  <si>
    <t xml:space="preserve"> Пикантное боди Gloria с двухцветным кружевом черный с малиновым S-M</t>
  </si>
  <si>
    <t xml:space="preserve"> Пикантное боди Gloria с двухцветным кружевом черный с малиновым L-XL</t>
  </si>
  <si>
    <t xml:space="preserve"> Пикантное боди Gloria Plus Size с двухцветным кружевом черный с малиновым XXL-XXXL</t>
  </si>
  <si>
    <t xml:space="preserve"> Соблазнительное боди Gigi Plus Size из прозрачной сетки и кружев черный XXL-XXXL</t>
  </si>
  <si>
    <t xml:space="preserve"> Комбинезон-ромпер Shannon с кружевом черный L-XL</t>
  </si>
  <si>
    <t xml:space="preserve"> Комбинезон-ромпер Shannon с кружевом кремовый L-XL</t>
  </si>
  <si>
    <t xml:space="preserve"> Комбинезон-ромпер Shannon с кружевом кремовый S-M</t>
  </si>
  <si>
    <t xml:space="preserve"> Комбинезон-ромпер Shannon с кружевом черный S-M</t>
  </si>
  <si>
    <t xml:space="preserve"> Боди Zoja в тонкую полоску с кружевным лифом и шнуровкой черный XXL-XXXL</t>
  </si>
  <si>
    <t xml:space="preserve"> Боди Zoja в тонкую полоску с кружевным лифом и шнуровкой черный 6X-7X</t>
  </si>
  <si>
    <t xml:space="preserve"> Боди Zoja в тонкую полоску с кружевным лифом и шнуровкой черный 4X-5X</t>
  </si>
  <si>
    <t xml:space="preserve"> Боди в тонкую полоску Zoja с кружевным лифом и шнуровкой черный L-XL</t>
  </si>
  <si>
    <t xml:space="preserve"> Боди в тонкую полоску Zoja с кружевным лифом и шнуровкой черный S-M</t>
  </si>
  <si>
    <t xml:space="preserve"> Эффектное боди Mariolle со вставками из сетки черный с красным S-M</t>
  </si>
  <si>
    <t xml:space="preserve"> Эффектное боди Mariolle со вставками из сетки черный с красным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</si>
  <si>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тедди Denver с открытой спиной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</si>
  <si>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тедди Denver с открытой спиной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</si>
  <si>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тедди Denver с открытой спиной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</si>
  <si>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тедди Denver с открытой спиной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</si>
  <si>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тедди Denver с открытой спиной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</si>
  <si>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тедди Denver с открытой спиной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</si>
  <si>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Чарующее кружевное боди Adelaide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</si>
  <si>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Чарующее кружевное боди Adelaide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</si>
  <si>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Чарующее кружевное боди Adelaide </d:t>
    </d:r>
    <d:r xmlns:d="http://schemas.openxmlformats.org/spreadsheetml/2006/main">
      <d:rPr>
        <d:sz val="11"/>
        <d:color rgb="FF000000"/>
        <d:rFont val="Calibri"/>
      </d:rPr>
      <d:t>лиловый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</si>
  <si>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Чарующее кружевное боди Adelaide </d:t>
    </d:r>
    <d:r xmlns:d="http://schemas.openxmlformats.org/spreadsheetml/2006/main">
      <d:rPr>
        <d:sz val="11"/>
        <d:color rgb="FF000000"/>
        <d:rFont val="Calibri"/>
      </d:rPr>
      <d:t>лиловый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</si>
  <si>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t xml:space="preserve"> Полупрозрачное боди Beryl из тюля черный S-M</t>
  </si>
  <si>
    <t xml:space="preserve"> Полупрозрачное боди Beryl из тюля черный L-XL</t>
  </si>
  <si>
    <t xml:space="preserve"> Полупрозрачное боди из тюля Beryl Plus Size черный XXL-XXXL</t>
  </si>
  <si>
    <t xml:space="preserve"> Полупрозрачное боди Obsydian с глубоким декольте черный L-XL</t>
  </si>
  <si>
    <t xml:space="preserve"> Полупрозрачное боди Obsydian с глубоким декольте черный S-M</t>
  </si>
  <si>
    <t xml:space="preserve"> Чувственное боди Carolyn с полуоткрытым лифом черный S-M</t>
  </si>
  <si>
    <t xml:space="preserve"> Чувственное боди Carolyn с полуоткрытым лифом черный L-XL</t>
  </si>
  <si>
    <t xml:space="preserve"> Провокационное боди Gisele со шнуровками черный L-XL</t>
  </si>
  <si>
    <t xml:space="preserve"> Провокационное боди Gisele со шнуровками черный S-M</t>
  </si>
  <si>
    <t xml:space="preserve"> Боди Brida Plus Size с открытой спинкой черный XXL-XXXL</t>
  </si>
  <si>
    <t xml:space="preserve"> Боди Brida Plus Size с открытой спинкой красный XXL-XXXL</t>
  </si>
  <si>
    <t xml:space="preserve"> Изысканное боди Haya с крупным цветочным узором черный L-XL</t>
  </si>
  <si>
    <t xml:space="preserve"> Изысканное боди Haya с крупным цветочным узором черный S-M</t>
  </si>
  <si>
    <t xml:space="preserve"> Изысканное боди Haya Plus Size с крупным цветочным рисунком черный XXL-XXXL</t>
  </si>
  <si>
    <t xml:space="preserve"> Шикарное боди Loraine с кружевным лифом красный S-M</t>
  </si>
  <si>
    <t xml:space="preserve"> Шикарное боди Loraine с кружевным лифом красный L-XL</t>
  </si>
  <si>
    <t xml:space="preserve"> Роскошное боди Loraine Plus Size с кружевным лифом красный XXL-XXXL</t>
  </si>
  <si>
    <t xml:space="preserve"> Боди Lotus с V-образной кружевной вставкой кремовый L-XL</t>
  </si>
  <si>
    <t xml:space="preserve"> Боди Lotus с V-образной кружевной вставкой черный с бежевым L-XL</t>
  </si>
  <si>
    <t xml:space="preserve"> Боди Lotus с V-образной кружевной вставкой черный с бежевым S-M</t>
  </si>
  <si>
    <t xml:space="preserve"> Боди Lotus с V-образной кружевной вставкой кремовый S-M</t>
  </si>
  <si>
    <t xml:space="preserve"> Боди Lotus Plus Size с V-образной ажурной вставкой черный с бежевым XXL-XXXL</t>
  </si>
  <si>
    <t xml:space="preserve"> Боди Lotus Plus Size с V-образной ажурной вставкой кремовый XXL-XXXL</t>
  </si>
  <si>
    <t xml:space="preserve"> Соблазнительное боди Montana с цветочным кружевом и прозрачной вставкой по центру черный L-XL</t>
  </si>
  <si>
    <t xml:space="preserve"> Соблазнительное боди Montana с цветочным кружевом и прозрачной вставкой по центру черный S-M</t>
  </si>
  <si>
    <t xml:space="preserve"> Соблазнительное боди Montana Plus Size с цветочным кружевом и прозрачной вставкой черный XXL-XXXL</t>
  </si>
  <si>
    <t xml:space="preserve"> Очаровательное боди Petra с вырезом сбоку черный L-XL</t>
  </si>
  <si>
    <t xml:space="preserve"> Очаровательное боди Petra с вырезом сбоку черный S-M</t>
  </si>
  <si>
    <t xml:space="preserve"> Очаровательное боди Petra Plus Size с большим вырезом сбоку черный XXL-XXXL</t>
  </si>
  <si>
    <t xml:space="preserve"> Боди Suelo Plus Size со шнуровкой и пикантными разрезами сзади белый с черным XXL-XXXL</t>
  </si>
  <si>
    <t xml:space="preserve"> Игривое боди Helena Plus Size с бантиками красный XXL-XXXL</t>
  </si>
  <si>
    <t xml:space="preserve"> Соблазнительное боди Carmen со шнуровками черный S</t>
  </si>
  <si>
    <t xml:space="preserve"> Соблазнительное боди Carmen со шнуровками черный M</t>
  </si>
  <si>
    <t xml:space="preserve"> Кружевное боди Otavia Plus Size с оборками черный XXL-XXXL</t>
  </si>
  <si>
    <t xml:space="preserve"> Боди Clover Plus Size с прозрачными элементами черный XXL-XXXL</t>
  </si>
  <si>
    <t xml:space="preserve"> Смелое боди Slave из эластичных лент черный S-M</t>
  </si>
  <si>
    <t xml:space="preserve"> Боди из сеточки с рисунком в виде крыльев на спине черный One Size</t>
  </si>
  <si>
    <t xml:space="preserve"> Прозрачное боди Livia с кружевом в области груди черный S-M</t>
  </si>
  <si>
    <t xml:space="preserve"> Прозрачное боди Livia с кружевом в области груди черный L-XL</t>
  </si>
  <si>
    <t xml:space="preserve"> Эффектное боди Odette с полупрозрачными вставками по боками белый S-M</t>
  </si>
  <si>
    <t xml:space="preserve"> Эффектное боди Odette с полупрозрачными вставками по боками красный с белым S-M</t>
  </si>
  <si>
    <t xml:space="preserve"> Эффектное боди Odette с полупрозрачными вставками по боками черный с белым S-M</t>
  </si>
  <si>
    <t xml:space="preserve"> Эффектное боди Odette с полупрозрачными вставками по боками красный с белым L-XL</t>
  </si>
  <si>
    <t xml:space="preserve"> Эффектное боди Odette с полупрозрачными вставками по боками белый L-XL</t>
  </si>
  <si>
    <t xml:space="preserve"> Эффектное боди Odette с полупрозрачными вставками по боками черный с белым L-XL</t>
  </si>
  <si>
    <t xml:space="preserve"> Эффектное боди Odette Plus Size с полупрозрачными вставками по боками красный с белым XXL-XXXL</t>
  </si>
  <si>
    <t xml:space="preserve"> Эффектное боди Odette Plus Size с полупрозрачными вставками по боками черный с белым XXL-XXXL</t>
  </si>
  <si>
    <t xml:space="preserve"> Эффектное боди Odette Plus Size с полупрозрачными вставками по боками белый XXL-XXXL</t>
  </si>
  <si>
    <t xml:space="preserve"> Стреп-боди Vilte с поводком черный L-XL</t>
  </si>
  <si>
    <t xml:space="preserve"> Стреп-боди Vilte с поводком черный S-M</t>
  </si>
  <si>
    <t xml:space="preserve"> Стреп-боди с поводком Vilte Plus Size черный XXL-XXXL</t>
  </si>
  <si>
    <t xml:space="preserve"> Стреп-боди Valessa Plus Size с манжетами на руки черный XXL-XXXL</t>
  </si>
  <si>
    <t xml:space="preserve"> Стреп-боди Venus Plus Size  с пажами для чулок черный XXL-XXXL</t>
  </si>
  <si>
    <t xml:space="preserve"> Боди-портупея Lola красный XXL-XXXL</t>
  </si>
  <si>
    <t xml:space="preserve"> Боди-портупея Lola черный XXL-XXXL</t>
  </si>
  <si>
    <t xml:space="preserve"> Боди-портупея Lola белый XXL-XXXL</t>
  </si>
  <si>
    <t xml:space="preserve"> Боди с бахромой Sandra белый XXL-XXXL</t>
  </si>
  <si>
    <t xml:space="preserve"> Боди с бахромой Sandra черный XXL-XXXL</t>
  </si>
  <si>
    <t xml:space="preserve"> Боди с бахромой Sandra красный XXL-XXXL</t>
  </si>
  <si>
    <t xml:space="preserve"> Соблазнительное боди Olimpia с кружевным лифом золотистый с черным S-M</t>
  </si>
  <si>
    <t xml:space="preserve"> Соблазнительное боди Olimpia с кружевным лифом золотистый с черным L-XL</t>
  </si>
  <si>
    <t xml:space="preserve"> Боди с наручниками Yanne черный L-XL</t>
  </si>
  <si>
    <t xml:space="preserve"> Боди с наручниками Yanne черный S-M</t>
  </si>
  <si>
    <t xml:space="preserve"> Стреп-боди Valessa с манжетами на руки черный S-M</t>
  </si>
  <si>
    <t xml:space="preserve"> Стреп-боди Valessa с манжетами на руки черный L-XL</t>
  </si>
  <si>
    <t xml:space="preserve"> Кружевное боди Dinah черный L-XL</t>
  </si>
  <si>
    <t xml:space="preserve"> Кружевное боди Dinah черный S-M</t>
  </si>
  <si>
    <t xml:space="preserve"> Боди Yanne Plus Size с наручниками черный XXL-XXXL</t>
  </si>
  <si>
    <t xml:space="preserve"> Полупрозрачное контактное боди с открытой попой черный S-M</t>
  </si>
  <si>
    <t xml:space="preserve"> Полупрозрачное контактное боди с открытой попой черный L-XL</t>
  </si>
  <si>
    <t xml:space="preserve"> Прозрачное боди Livia Plus Size с кружевом в области груди черный XXL-XXXL</t>
  </si>
  <si>
    <t xml:space="preserve"> Соблазнительное боди Emily с юбочкой черный M-L</t>
  </si>
  <si>
    <t xml:space="preserve"> Соблазнительное боди Emily с юбочкой красный M-L</t>
  </si>
  <si>
    <t xml:space="preserve"> Соблазнительное боди Emily с юбочкой черный S-M</t>
  </si>
  <si>
    <t xml:space="preserve"> Соблазнительное боди Emily с юбочкой красный S-M</t>
  </si>
  <si>
    <t xml:space="preserve"> Чарующее боди Gabi с кружевным лифом и оборкой-юбочкой черный S-M</t>
  </si>
  <si>
    <t xml:space="preserve"> Чарующее боди Gabi с кружевным лифом и оборкой-юбочкой черный M-L</t>
  </si>
  <si>
    <t xml:space="preserve"> Кружевное боди Natalie с открытой спиной черный M-L</t>
  </si>
  <si>
    <t xml:space="preserve"> Кружевное боди Natalie с открытой спиной черный S-M</t>
  </si>
  <si>
    <t xml:space="preserve"> Соблазнительное боди c интимным доступом сзади красный One Size</t>
  </si>
  <si>
    <t xml:space="preserve"> Эластичное боди из мягкой сетки с кружевными трусиками черный One Size</t>
  </si>
  <si>
    <t xml:space="preserve"> Двустороннее боди с фигурными вырезами черный One Size</t>
  </si>
  <si>
    <t xml:space="preserve"> Кружевное боди с доступом черный M</t>
  </si>
  <si>
    <t xml:space="preserve"> Кружевное боди с доступом черный S</t>
  </si>
  <si>
    <t xml:space="preserve"> Кружевное боди с доступом черный L</t>
  </si>
  <si>
    <t xml:space="preserve"> Роскошное боди Floris с двухцветным кружевным лифом черный S-M</t>
  </si>
  <si>
    <t xml:space="preserve"> Роскошное боди Floris с двухцветным кружевным лифом черный L-XL</t>
  </si>
  <si>
    <t xml:space="preserve"> Роскошное боди Floris Plus Size с двухцветным кружевным лифом черный XXL-XXXL</t>
  </si>
  <si>
    <t xml:space="preserve"> Полупрозрачное боди Hagar со стреп-лентами черный L-XL</t>
  </si>
  <si>
    <t xml:space="preserve"> Полупрозрачное боди Hagar со стреп-лентами черный S-M</t>
  </si>
  <si>
    <t xml:space="preserve"> Полупрозрачное боди со стреп-лентами Hagar Plus Size черный XXL-XXXL</t>
  </si>
  <si>
    <t xml:space="preserve"> Пикантное боди Hera с открытым лифом и колечками поверх сосков розовый с черным S-M</t>
  </si>
  <si>
    <t xml:space="preserve"> Пикантное боди Hera с открытым лифом и колечками поверх сосков черный с красным S-M</t>
  </si>
  <si>
    <t xml:space="preserve"> Пикантное боди Hera с открытым лифом и колечками поверх сосков черный с красным L-XL</t>
  </si>
  <si>
    <t xml:space="preserve"> Пикантное боди Hera с открытым лифом и колечками поверх сосков розовый с черным L-XL</t>
  </si>
  <si>
    <t xml:space="preserve"> Пикантное боди Hera Plus Size с открытым лифом и колечками поверх сосков черный с красным XXL-XXXL</t>
  </si>
  <si>
    <t xml:space="preserve"> Пикантное боди Hera Plus Size с открытым лифом и колечками поверх сосков розовый с черным XXL-XXXL</t>
  </si>
  <si>
    <t xml:space="preserve"> Роскошное боди Akita с контрастным краем и доступом красный с черным L-XL</t>
  </si>
  <si>
    <t xml:space="preserve"> Роскошное боди Akita с контрастным краем и доступом красный с черным S-M</t>
  </si>
  <si>
    <t xml:space="preserve"> Роскошное боди Akita Plus Size с контрастным краем и доступом красный с черным XXL-XXXL</t>
  </si>
  <si>
    <t xml:space="preserve"> Боди Carine из нежного кружева со шнуровкой черный M</t>
  </si>
  <si>
    <t xml:space="preserve"> Боди Carine из нежного кружева со шнуровкой черный L</t>
  </si>
  <si>
    <t xml:space="preserve"> Боди Carine из нежного кружева со шнуровкой черный S</t>
  </si>
  <si>
    <t xml:space="preserve"> Боди Margot с доступом и шнуровкой черный S</t>
  </si>
  <si>
    <t xml:space="preserve"> Боди Margot с доступом и шнуровкой черный L</t>
  </si>
  <si>
    <t xml:space="preserve"> Боди Margot с доступом и шнуровкой черный M</t>
  </si>
  <si>
    <t xml:space="preserve"> Боди Florence с соблазнительной шнуровкой черный M</t>
  </si>
  <si>
    <t xml:space="preserve"> Боди Florence с соблазнительной шнуровкой черный L</t>
  </si>
  <si>
    <t xml:space="preserve"> Боди Florence с соблазнительной шнуровкой черный S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</si>
  <si>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Кружевное боди с открытым животиком TO THE EXTREME LACE V-TEDDY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</si>
  <si>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Эффектное боди без бретелей MAJA FLAVA SEAMLESS BODYSUIT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</si>
  <si>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Эффектное боди без бретелей MAJA FLAVA SEAMLESS BODYSUIT </d:t>
    </d:r>
    <d:r xmlns:d="http://schemas.openxmlformats.org/spreadsheetml/2006/main">
      <d:rPr>
        <d:sz val="11"/>
        <d:color rgb="FF000000"/>
        <d:rFont val="Calibri"/>
      </d:rPr>
      <d:t>розовый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</si>
  <si>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Эффектное боди без бретелей MAJA FLAVA SEAMLESS BODYSUIT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</si>
  <si>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Mia с кружевами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</si>
  <si>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Mia с кружевами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</si>
  <si>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Mia Plus Size с кружевными элементами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</si>
  <si>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Чарующее боди Tonya с цветочным рисунком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</si>
  <si>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Чарующее боди Tonya с цветочным рисунком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</si>
  <si>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Чарующее боди Tonya Plus Size с цветочным рисунком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</si>
  <si>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Невероятное боди Jade из кружева с мелкими цветами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</si>
  <si>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Невероятное боди Jade из кружева с мелкими цветами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</si>
  <si>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Xante с открытой спиной </d:t>
    </d:r>
    <d:r xmlns:d="http://schemas.openxmlformats.org/spreadsheetml/2006/main">
      <d:rPr>
        <d:sz val="11"/>
        <d:color rgb="FF000000"/>
        <d:rFont val="Calibri"/>
      </d:rPr>
      <d:t>голубой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</si>
  <si>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Xante с открытой спиной </d:t>
    </d:r>
    <d:r xmlns:d="http://schemas.openxmlformats.org/spreadsheetml/2006/main">
      <d:rPr>
        <d:sz val="11"/>
        <d:color rgb="FF000000"/>
        <d:rFont val="Calibri"/>
      </d:rPr>
      <d:t>голубой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</si>
  <si>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Xante Plus Size с открытой спиной </d:t>
    </d:r>
    <d:r xmlns:d="http://schemas.openxmlformats.org/spreadsheetml/2006/main">
      <d:rPr>
        <d:sz val="11"/>
        <d:color rgb="FF000000"/>
        <d:rFont val="Calibri"/>
      </d:rPr>
      <d:t>голубой с черным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</si>
  <si>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с доступом сзади </d:t>
    </d:r>
    <d:r xmlns:d="http://schemas.openxmlformats.org/spreadsheetml/2006/main">
      <d:rPr>
        <d:sz val="11"/>
        <d:color rgb="FF000000"/>
        <d:rFont val="Calibri"/>
      </d:rPr>
      <d:t>розовый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</si>
  <si>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Элегантное боди из стрейч-атласного материала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</si>
  <si>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Элегантное боди из стрейч-атласного материала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</si>
  <si>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Роскошное боди Plus Size с кружевами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</si>
  <si>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Боди-корсаж Shaquila с лентами для фиксации рук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</si>
  <si>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Боди-корсаж Shaquila с лентами для фиксации рук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</si>
  <si>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Эластичное ажурное тедди с открытой спиной и доступом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</si>
  <si>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Эффектное боди Coline с открытой спиной и вставками из сеточки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</si>
  <si>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Эффектное боди Coline с открытой спиной и вставками из сеточки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</si>
  <si>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Чувственное боди Nea с кружевными вставками по бокам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</si>
  <si>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Чувственное боди Nea с кружевными вставками по бокам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</si>
  <si>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Роскошное боди Ivone с изысканным тёмно-синим кружевом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</si>
  <si>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Роскошное боди Ivone с изысканным тёмно-синим кружевом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</si>
  <si>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Полупрозрачный тедди с ромбовидным узором на лентах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</si>
  <si>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Полупрозрачный тедди с ромбовидным узором на лентах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</si>
  <si>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Оригинальное кружевное боди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</si>
  <si>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Оригинальное кружевное боди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</si>
  <si>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Maxime с кружевами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</si>
  <si>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Maxime с кружевами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</si>
  <si>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Maxime с кружевами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</si>
  <si>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Maxime с кружевами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</si>
  <si>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Maxime Plus Size с кружевом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</si>
  <si>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боди Maxime Plus Size с кружевом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</si>
  <si>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Чувственное боди Nea Plus Size с кружевными вставками по бокам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</si>
  <si>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Провокационное боди Lou с длинными рукавами и доступом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</si>
  <si>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Провокационное боди Lou с длинными рукавами и доступом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</si>
  <si>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Откровенное боди Rebecca с полуоткрытым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</si>
  <si>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Откровенное боди Rebecca с полуоткрытым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</si>
  <si>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Lamis со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</si>
  <si>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Lamis со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</si>
  <si>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Lamis Plus Size из материала с wet-look эффектом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</si>
  <si>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Восхитительное кружевное боди Valery с открытым лифом и доступом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</si>
  <si>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Восхитительное кружевное боди Valery с открытым лифом и доступом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</si>
  <si>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кружевное боди с тонкой перемычкой на животе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</si>
  <si>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Соблазнительное кружевное боди с тонкой перемычкой на животе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</si>
  <si>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с открытой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</si>
  <si>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с открытой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</si>
  <si>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со скрещёнными на спинке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</si>
  <si>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со скрещёнными на спинке бретелями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</si>
  <si>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со скрещёнными на спинке бретелями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</si>
  <si>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со скрещёнными на спинке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</si>
  <si>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Iona Plus Size с тюлевым бантом на лифе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3X-4X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</si>
  <si>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Iona Plus Size с тюлевым бантом на лифе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5X-6X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</si>
  <si>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 Iona Plus Size с тюлевым бантом на лифе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XL-XXL </d:t>
    </d:r>
  </si>
  <si>
    <t xml:space="preserve">    Бюстгальтеры</t>
  </si>
  <si>
    <t xml:space="preserve"> Кружевной бюстгальтер «Dolce Vita» светло-серого цвета серый 38B</t>
  </si>
  <si>
    <t xml:space="preserve"> Кружевной бюстгальтер «Dolce Vita» светло-серого цвета серый 32C</t>
  </si>
  <si>
    <t xml:space="preserve"> Кружевной бюстгальтер «Dolce Vita» светло-серого цвета серый 32B</t>
  </si>
  <si>
    <t xml:space="preserve"> Кружевной бюстгальтер «Dolce Vita» светло-серого цвета серый 38C</t>
  </si>
  <si>
    <t xml:space="preserve"> Бюстгальтер пуш-ап в клетку красный с черным 38 (БЮСТ D)</t>
  </si>
  <si>
    <t xml:space="preserve"> Бюстгальтер пуш-ап в клетку красный с черным 38 (БЮСТ С)</t>
  </si>
  <si>
    <t xml:space="preserve"> Бюстгальтер пуш-ап в клетку красный с черным 36 (БЮСТ DD)</t>
  </si>
  <si>
    <t xml:space="preserve"> Бюстгальтер пуш-ап в клетку красный с черным 36 (БЮСТ D)</t>
  </si>
  <si>
    <t xml:space="preserve"> Бюстгальтер пуш-ап в клетку красный с черным 36 (БЮСТ С)</t>
  </si>
  <si>
    <t xml:space="preserve"> Бюстгальтер пуш-ап в клетку красный с черным 34 (БЮСТ D)</t>
  </si>
  <si>
    <t xml:space="preserve"> Бюстгальтер пуш-ап в клетку красный с черным 34 (БЮСТ C)</t>
  </si>
  <si>
    <t xml:space="preserve"> Бюстгальтер пуш-ап в клетку красный с черным 34 (БЮСТ B)</t>
  </si>
  <si>
    <t xml:space="preserve"> Бюстгальтер пуш-ап в клетку красный с черным 36 (БЮСТ В)</t>
  </si>
  <si>
    <t xml:space="preserve"> Бюстгальтер пуш-ап в клетку красный с черным 38DD</t>
  </si>
  <si>
    <t xml:space="preserve"> Полупрозрачный лиф-бикини из сеточки розовый M</t>
  </si>
  <si>
    <t xml:space="preserve"> Полупрозрачный лиф-бикини из сеточки черный M</t>
  </si>
  <si>
    <t xml:space="preserve"> Полупрозрачный лиф-бикини из сеточки розовый S</t>
  </si>
  <si>
    <t xml:space="preserve"> Полупрозрачный лиф-бикини из сеточки черный S</t>
  </si>
  <si>
    <t xml:space="preserve"> Полупрозрачный лиф-бикини из сеточки черный L</t>
  </si>
  <si>
    <t xml:space="preserve"> Полупрозрачный лиф-бикини из сеточки розовый L</t>
  </si>
  <si>
    <t xml:space="preserve"> Пуш-ап бюстгальтер «Charm» красный 38DD</t>
  </si>
  <si>
    <t xml:space="preserve"> Пуш-ап бюстгальтер «Charm» черный 38DD</t>
  </si>
  <si>
    <t xml:space="preserve"> Пуш-ап бюстгальтер «Charm» белый 38DD</t>
  </si>
  <si>
    <t xml:space="preserve"> Пуш-ап бюстгальтер «Charm» белый 36 (БЮСТ В)</t>
  </si>
  <si>
    <t xml:space="preserve"> Пуш-ап бюстгальтер «Charm» черный 36 (БЮСТ В)</t>
  </si>
  <si>
    <t xml:space="preserve"> Пуш-ап бюстгальтер «Charm» черный 34 (БЮСТ C)</t>
  </si>
  <si>
    <t xml:space="preserve"> Пуш-ап бюстгальтер «Charm» красный 34 (БЮСТ B)</t>
  </si>
  <si>
    <t xml:space="preserve"> Пуш-ап бюстгальтер «Charm» красный 36 (БЮСТ В)</t>
  </si>
  <si>
    <t xml:space="preserve"> Пуш-ап бюстгальтер «Charm» белый 34 (БЮСТ C)</t>
  </si>
  <si>
    <t xml:space="preserve"> Пуш-ап бюстгальтер «Charm» черный 34 (БЮСТ D)</t>
  </si>
  <si>
    <t xml:space="preserve"> Пуш-ап бюстгальтер «Charm» белый 34 (БЮСТ D)</t>
  </si>
  <si>
    <t xml:space="preserve"> Пуш-ап бюстгальтер «Charm» красный 34 (БЮСТ C)</t>
  </si>
  <si>
    <t xml:space="preserve"> Пуш-ап бюстгальтер «Charm» красный 36 (БЮСТ С)</t>
  </si>
  <si>
    <t xml:space="preserve"> Пуш-ап бюстгальтер «Charm» черный 36 (БЮСТ С)</t>
  </si>
  <si>
    <t xml:space="preserve"> Пуш-ап бюстгальтер «Charm» черный 36 (БЮСТ D)</t>
  </si>
  <si>
    <t xml:space="preserve"> Пуш-ап бюстгальтер «Charm» красный 36 (БЮСТ D)</t>
  </si>
  <si>
    <t xml:space="preserve"> Пуш-ап бюстгальтер «Charm» красный 34 (БЮСТ D)</t>
  </si>
  <si>
    <t xml:space="preserve"> Пуш-ап бюстгальтер «Charm» белый 36 (БЮСТ С)</t>
  </si>
  <si>
    <t xml:space="preserve"> Пуш-ап бюстгальтер «Charm» красный 36 (БЮСТ DD)</t>
  </si>
  <si>
    <t xml:space="preserve"> Пуш-ап бюстгальтер «Charm» черный 36 (БЮСТ DD)</t>
  </si>
  <si>
    <t xml:space="preserve"> Пуш-ап бюстгальтер «Charm» белый 36 (БЮСТ DD)</t>
  </si>
  <si>
    <t xml:space="preserve"> Пуш-ап бюстгальтер «Charm» черный 38 (БЮСТ С)</t>
  </si>
  <si>
    <t xml:space="preserve"> Пуш-ап бюстгальтер «Charm» красный 38 (БЮСТ С)</t>
  </si>
  <si>
    <t xml:space="preserve"> Пуш-ап бюстгальтер «Charm» белый 38 (БЮСТ С)</t>
  </si>
  <si>
    <t xml:space="preserve"> Пуш-ап бюстгальтер «Charm» белый 38 (БЮСТ D)</t>
  </si>
  <si>
    <t xml:space="preserve"> Пуш-ап бюстгальтер «Charm» красный 38 (БЮСТ D)</t>
  </si>
  <si>
    <t xml:space="preserve"> Пуш-ап бюстгальтер «Charm» черный 38 (БЮСТ D)</t>
  </si>
  <si>
    <t xml:space="preserve"> Пуш-ап бюстгальтер «Charm» белый 34 (БЮСТ B)</t>
  </si>
  <si>
    <t xml:space="preserve"> Пуш-ап бюстгальтер «Charm» черный 34 (БЮСТ B)</t>
  </si>
  <si>
    <t xml:space="preserve"> Пуш-ап бюстгальтер «Charm» белый 36 (БЮСТ D)</t>
  </si>
  <si>
    <t xml:space="preserve"> Поддерживающий лиф с регулируемыми бретелями черный 38 (БЮСТ D)</t>
  </si>
  <si>
    <t xml:space="preserve"> Поддерживающий лиф с регулируемыми бретелями черный 38 (БЮСТ С)</t>
  </si>
  <si>
    <t xml:space="preserve"> Поддерживающий лиф с регулируемыми бретелями розовый 38 (БЮСТ D)</t>
  </si>
  <si>
    <t xml:space="preserve"> Поддерживающий лиф с регулируемыми бретелями розовый 38 (БЮСТ С)</t>
  </si>
  <si>
    <t xml:space="preserve"> Поддерживающий лиф с регулируемыми бретелями розовый 36 (БЮСТ DD)</t>
  </si>
  <si>
    <t xml:space="preserve"> Поддерживающий лиф с регулируемыми бретелями черный 36 (БЮСТ DD)</t>
  </si>
  <si>
    <t xml:space="preserve"> Поддерживающий лиф с регулируемыми бретелями черный 36 (БЮСТ D)</t>
  </si>
  <si>
    <t xml:space="preserve"> Поддерживающий лиф с регулируемыми бретелями розовый 36 (БЮСТ С)</t>
  </si>
  <si>
    <t xml:space="preserve"> Поддерживающий лиф с регулируемыми бретелями розовый 34 (БЮСТ D)</t>
  </si>
  <si>
    <t xml:space="preserve"> Поддерживающий лиф с регулируемыми бретелями розовый 36 (БЮСТ D)</t>
  </si>
  <si>
    <t xml:space="preserve"> Поддерживающий лиф с регулируемыми бретелями черный 36 (БЮСТ С)</t>
  </si>
  <si>
    <t xml:space="preserve"> Поддерживающий лиф с регулируемыми бретелями черный 34 (БЮСТ D)</t>
  </si>
  <si>
    <t xml:space="preserve"> Поддерживающий лиф с регулируемыми бретелями черный 34 (БЮСТ C)</t>
  </si>
  <si>
    <t xml:space="preserve"> Поддерживающий лиф с регулируемыми бретелями розовый 34 (БЮСТ C)</t>
  </si>
  <si>
    <t xml:space="preserve"> Поддерживающий лиф с регулируемыми бретелями черный 36 (БЮСТ В)</t>
  </si>
  <si>
    <t xml:space="preserve"> Поддерживающий лиф с регулируемыми бретелями розовый 34 (БЮСТ B)</t>
  </si>
  <si>
    <t xml:space="preserve"> Поддерживающий лиф с регулируемыми бретелями черный 34 (БЮСТ B)</t>
  </si>
  <si>
    <t xml:space="preserve"> Поддерживающий лиф с регулируемыми бретелями розовый 36 (БЮСТ В)</t>
  </si>
  <si>
    <t xml:space="preserve"> Поддерживающий лиф с регулируемыми бретелями черный 38DD</t>
  </si>
  <si>
    <t xml:space="preserve"> Поддерживающий лиф с регулируемыми бретелями розовый 38DD</t>
  </si>
  <si>
    <t xml:space="preserve"> Спортивный бюстгальтер на мягкой чашке «Hustler» розовый M-L</t>
  </si>
  <si>
    <t xml:space="preserve"> Спортивный бюстгальтер на мягкой чашке «Hustler» белый M-L</t>
  </si>
  <si>
    <t xml:space="preserve"> Спортивный бюстгальтер на мягкой чашке «Hustler» черный M-L</t>
  </si>
  <si>
    <t xml:space="preserve"> Спортивный бюстгальтер на мягкой чашке «Hustler» розовый S-M</t>
  </si>
  <si>
    <t xml:space="preserve"> Спортивный бюстгальтер на мягкой чашке «Hustler» белый S-M</t>
  </si>
  <si>
    <t xml:space="preserve"> Спортивный бюстгальтер на мягкой чашке «Hustler» черный S-M</t>
  </si>
  <si>
    <t xml:space="preserve"> Широкий лиф-бандо с надписью стразами Hustler розовый S-M</t>
  </si>
  <si>
    <t xml:space="preserve"> Широкий лиф-бандо с надписью стразами Hustler черный S-M</t>
  </si>
  <si>
    <t xml:space="preserve"> Широкий лиф-бандо с надписью стразами Hustler розовый M-L</t>
  </si>
  <si>
    <t xml:space="preserve"> Широкий лиф-бандо с надписью стразами Hustler черный M-L</t>
  </si>
  <si>
    <t xml:space="preserve"> Бюстгалтер с открытой чашечкой и отделкой кружевом синий 38B</t>
  </si>
  <si>
    <t xml:space="preserve"> Бюстгалтер с открытой чашечкой и отделкой кружевом белый 38B</t>
  </si>
  <si>
    <t xml:space="preserve"> Бюстгалтер с открытой чашечкой и отделкой кружевом красный 38B</t>
  </si>
  <si>
    <t xml:space="preserve"> Бюстгалтер с открытой чашечкой и отделкой кружевом синий 34B</t>
  </si>
  <si>
    <t xml:space="preserve"> Бюстгалтер с открытой чашечкой и отделкой кружевом белый 34B</t>
  </si>
  <si>
    <t xml:space="preserve"> Бюстгалтер с открытой чашечкой и отделкой кружевом синий 36B</t>
  </si>
  <si>
    <t xml:space="preserve"> Бюстгалтер с открытой чашечкой и отделкой кружевом белый 36B</t>
  </si>
  <si>
    <t xml:space="preserve"> Бюстгалтер с открытой чашечкой и отделкой кружевом красный 34A</t>
  </si>
  <si>
    <t xml:space="preserve"> Бюстгалтер с открытой чашечкой и отделкой кружевом белый 34A</t>
  </si>
  <si>
    <t xml:space="preserve"> Бюстгалтер с открытой чашечкой и отделкой кружевом черный 34A</t>
  </si>
  <si>
    <t xml:space="preserve"> Бюстгалтер с открытой чашечкой и отделкой кружевом синий 34A</t>
  </si>
  <si>
    <t xml:space="preserve"> Увеличивающий грудь бюстгальтер push-up в горошек красный с черным XL</t>
  </si>
  <si>
    <t xml:space="preserve"> Увеличивающий грудь бюстгальтер push-up в горошек красный с черным L</t>
  </si>
  <si>
    <t xml:space="preserve"> Увеличивающий грудь бюстгальтер push-up в горошек красный с черным S</t>
  </si>
  <si>
    <t xml:space="preserve"> Увеличивающий грудь бюстгальтер push-up в горошек красный с черным M</t>
  </si>
  <si>
    <t xml:space="preserve"> Бюстгалтер push-up с бантиками черный M</t>
  </si>
  <si>
    <t xml:space="preserve"> Бюстгалтер push-up с бантиками розовый с черным S</t>
  </si>
  <si>
    <t xml:space="preserve"> Бюстгалтер push-up с бантиками розовый с черным L</t>
  </si>
  <si>
    <t xml:space="preserve"> Бюстгалтер push-up с бантиками черный S</t>
  </si>
  <si>
    <t xml:space="preserve"> Бюстгалтер push-up с бантиками черный L</t>
  </si>
  <si>
    <t xml:space="preserve"> Бюстгалтер push-up с бантиками розовый с черным XL</t>
  </si>
  <si>
    <t xml:space="preserve"> Бюстгалтер push-up с бантиками черный XL</t>
  </si>
  <si>
    <t xml:space="preserve"> Бюстгалтер push-up с бантиками розовый с черным M</t>
  </si>
  <si>
    <t xml:space="preserve"> Силиконовый бра без бретелей на клейкой основе телесный A</t>
  </si>
  <si>
    <t xml:space="preserve"> Силиконовый бра без бретелей на клейкой основе телесный C</t>
  </si>
  <si>
    <t xml:space="preserve"> Силиконовый бра без бретелей на клейкой основе телесный D</t>
  </si>
  <si>
    <t xml:space="preserve"> Бюстгальтер BRILLIANT из серебрянных кристаллов золотой One Size</t>
  </si>
  <si>
    <t xml:space="preserve"> Бюстгальтер All Rhinestone Bra из золотых кристаллов золотой One Size</t>
  </si>
  <si>
    <t xml:space="preserve"> Бюстгальтер All Rhinestone Bra из серебрянных кристаллов серебро One Size</t>
  </si>
  <si>
    <t xml:space="preserve"> Неоново-розовый планж-бюстгальтер с пуш-ап розовый 36D</t>
  </si>
  <si>
    <t xml:space="preserve"> Неоново-розовый планж-бюстгальтер с пуш-ап розовый 36C</t>
  </si>
  <si>
    <t xml:space="preserve"> Неоново-розовый планж-бюстгальтер с пуш-ап розовый 34C</t>
  </si>
  <si>
    <t xml:space="preserve"> Неоново-розовый планж-бюстгальтер с пуш-ап розовый 34B</t>
  </si>
  <si>
    <t xml:space="preserve"> Неоново-розовый планж-бюстгальтер с пуш-ап розовый 38C</t>
  </si>
  <si>
    <t xml:space="preserve"> Неоново-розовый планж-бюстгальтер с пуш-ап розовый 36B</t>
  </si>
  <si>
    <t xml:space="preserve"> Бюстгальтер с пуш-ап и шнуровкой на чашечках красный с черным 38C</t>
  </si>
  <si>
    <t xml:space="preserve"> Бюстгальтер с пуш-ап и шнуровкой на чашечках красный с черным 34B</t>
  </si>
  <si>
    <t xml:space="preserve"> Бюстгальтер с пуш-ап и шнуровкой на чашечках красный с черным 34C</t>
  </si>
  <si>
    <t xml:space="preserve"> Бюстгальтер с пуш-ап и шнуровкой на чашечках красный с черным 36B</t>
  </si>
  <si>
    <t xml:space="preserve"> Бюстгальтер с пуш-ап и шнуровкой на чашечках красный с черным 36C</t>
  </si>
  <si>
    <t xml:space="preserve"> Бюстгальтер с пуш-ап и шнуровкой на чашечках красный с черным 36D</t>
  </si>
  <si>
    <t xml:space="preserve"> Бюстгальтер push-up с застежкой спереди черный 36D</t>
  </si>
  <si>
    <t xml:space="preserve"> Бюстгальтер push-up с застежкой спереди черный 34C</t>
  </si>
  <si>
    <t xml:space="preserve"> Бюстгальтер push-up с застежкой спереди черный 36B</t>
  </si>
  <si>
    <t xml:space="preserve"> Бюстгальтер push-up с застежкой спереди черный 36C</t>
  </si>
  <si>
    <t xml:space="preserve"> Бюстгальтер push-up с застежкой спереди черный 34B</t>
  </si>
  <si>
    <t xml:space="preserve"> Бюстгальтер push-up с застежкой спереди черный 38C</t>
  </si>
  <si>
    <t xml:space="preserve"> Черный бюстгальтер-оверлэй с push-up черный 38C</t>
  </si>
  <si>
    <t xml:space="preserve"> Черный бюстгальтер-оверлэй с push-up черный 34B</t>
  </si>
  <si>
    <t xml:space="preserve"> Черный бюстгальтер-оверлэй с push-up черный 34C</t>
  </si>
  <si>
    <t xml:space="preserve"> Черный бюстгальтер-оверлэй с push-up черный 36B</t>
  </si>
  <si>
    <t xml:space="preserve"> Черный бюстгальтер-оверлэй с push-up черный 36D</t>
  </si>
  <si>
    <t xml:space="preserve"> Черный бюстгальтер-оверлэй с push-up черный 36C</t>
  </si>
  <si>
    <t xml:space="preserve"> Черно-розовый бюстгальтер с push-up черный с розовым 36D</t>
  </si>
  <si>
    <t xml:space="preserve"> Черно-розовый бюстгальтер с push-up черный с розовым 36B</t>
  </si>
  <si>
    <t xml:space="preserve"> Черно-розовый бюстгальтер с push-up черный с розовым 38C</t>
  </si>
  <si>
    <t xml:space="preserve"> Черно-розовый бюстгальтер с push-up черный с розовым 36C</t>
  </si>
  <si>
    <t xml:space="preserve"> Черно-розовый бюстгальтер с push-up черный с розовым 34C</t>
  </si>
  <si>
    <t xml:space="preserve"> Черно-розовый бюстгальтер с push-up черный с розовым 34B</t>
  </si>
  <si>
    <t xml:space="preserve"> Бюстгальтер пуш-ап с бежевым кружевом телесный с черным 34B</t>
  </si>
  <si>
    <t xml:space="preserve"> Бюстгальтер пуш-ап с бежевым кружевом телесный с черным 34C</t>
  </si>
  <si>
    <t xml:space="preserve"> Бюстгальтер пуш-ап с бежевым кружевом телесный с черным 36B</t>
  </si>
  <si>
    <t xml:space="preserve"> Бюстгальтер пуш-ап с бежевым кружевом телесный с черным 36D</t>
  </si>
  <si>
    <t xml:space="preserve"> Бюстгальтер пуш-ап с бежевым кружевом телесный с черным 36C</t>
  </si>
  <si>
    <t xml:space="preserve"> Бюстгальтер пуш-ап с бежевым кружевом телесный с черным 38C</t>
  </si>
  <si>
    <t xml:space="preserve"> Ярко-розовый бюстгальтер с пуш-ап розовый леопард 38C</t>
  </si>
  <si>
    <t xml:space="preserve"> Ярко-розовый бюстгальтер с пуш-ап розовый леопард 36C</t>
  </si>
  <si>
    <t xml:space="preserve"> Ярко-розовый бюстгальтер с пуш-ап розовый леопард 36D</t>
  </si>
  <si>
    <t xml:space="preserve"> Ярко-розовый бюстгальтер с пуш-ап розовый леопард 36B</t>
  </si>
  <si>
    <t xml:space="preserve"> Ярко-розовый бюстгальтер с пуш-ап розовый леопард 34C</t>
  </si>
  <si>
    <t xml:space="preserve"> Ярко-розовый бюстгальтер с пуш-ап розовый леопард 34B</t>
  </si>
  <si>
    <t xml:space="preserve"> Персиковый бюстгальтер-оверлэй с push-up оранжевый 34B</t>
  </si>
  <si>
    <t xml:space="preserve"> Персиковый бюстгальтер-оверлэй с push-up оранжевый 34C</t>
  </si>
  <si>
    <t xml:space="preserve"> Персиковый бюстгальтер-оверлэй с push-up оранжевый 36B</t>
  </si>
  <si>
    <t xml:space="preserve"> Персиковый бюстгальтер-оверлэй с push-up оранжевый 36D</t>
  </si>
  <si>
    <t xml:space="preserve"> Персиковый бюстгальтер-оверлэй с push-up оранжевый 36C</t>
  </si>
  <si>
    <t xml:space="preserve"> Персиковый бюстгальтер-оверлэй с push-up оранжевый 38C</t>
  </si>
  <si>
    <t xml:space="preserve"> Бюстгальтер-планж с push-up и леопардовым принтом леопард 38C</t>
  </si>
  <si>
    <t xml:space="preserve"> Бюстгальтер-планж с push-up и леопардовым принтом леопард 36D</t>
  </si>
  <si>
    <t xml:space="preserve"> Бюстгальтер-планж с push-up и леопардовым принтом леопард 34C</t>
  </si>
  <si>
    <t xml:space="preserve"> Бюстгальтер-планж с push-up и леопардовым принтом леопард 36B</t>
  </si>
  <si>
    <t xml:space="preserve"> Бюстгальтер-планж с push-up и леопардовым принтом леопард 34B</t>
  </si>
  <si>
    <t xml:space="preserve"> Бюстгальтер-планж с push-up и леопардовым принтом леопард 36C</t>
  </si>
  <si>
    <t xml:space="preserve"> Прозрачный бюстгальтер Embrace Bra черный L-XL</t>
  </si>
  <si>
    <t xml:space="preserve"> Прозрачный бюстгальтер Embrace Bra черный S-M</t>
  </si>
  <si>
    <t xml:space="preserve"> Увеличивающие грудь на один размер вкладки для бикини BIKINI BOOSTERS телесный One Size</t>
  </si>
  <si>
    <t xml:space="preserve"> Ультра-легкие силиконовые вкладки пуш-ап INSTANT CELEBRITY SILICONE ENHANCERS телесный One Size</t>
  </si>
  <si>
    <t xml:space="preserve"> Набор расширителей бюстгальтера шириной на 1 крючок BRA-EXTENDER разноцветный One Size</t>
  </si>
  <si>
    <t xml:space="preserve"> Силиконовые подушечки для бретелей лифов BRA STRAP COMFY CUSHIONS белый One Size</t>
  </si>
  <si>
    <t xml:space="preserve"> Прозрачные бретели-удлинители для создания лифа с низкой спиной THE DOWN LOW BRA STRAP CONVERTER телесный One Size</t>
  </si>
  <si>
    <t xml:space="preserve"> Прозрачные бретели-удлинители для создания лифа с низкой спиной THE DOWN LOW BRA STRAP CONVERTER черный One Size</t>
  </si>
  <si>
    <t xml:space="preserve"> Прозрачные бретели-удлинители для создания лифа с низкой спиной THE DOWN LOW BRA STRAP CONVERTER белый One Size</t>
  </si>
  <si>
    <t xml:space="preserve"> Силиконовые подушечки для пуш-ап эффекта PUSH-UP PADS M</t>
  </si>
  <si>
    <t xml:space="preserve"> Силиконовые подушечки для пуш-ап эффекта PUSH-UP PADS L</t>
  </si>
  <si>
    <t xml:space="preserve"> Кружевной бралетт с перемычками белый L-XL</t>
  </si>
  <si>
    <t xml:space="preserve"> Кружевной бралетт с перемычками черный M-L</t>
  </si>
  <si>
    <t xml:space="preserve"> Кружевной бралетт с перемычками белый M-L</t>
  </si>
  <si>
    <t xml:space="preserve"> Кружевной бралетт с перемычками белый S-M</t>
  </si>
  <si>
    <t xml:space="preserve"> Кружевной бралетт с перемычками черный S-M</t>
  </si>
  <si>
    <t xml:space="preserve"> Кружевной бралетт с перемычками черный L-XL</t>
  </si>
  <si>
    <t xml:space="preserve"> Кружевной бралетт с регулируемыми бретелями черный L-XL</t>
  </si>
  <si>
    <t xml:space="preserve"> Кружевной бралетт с регулируемыми бретелями черный S-M</t>
  </si>
  <si>
    <t xml:space="preserve"> Кружевной бралетт с регулируемыми бретелями белый S-M</t>
  </si>
  <si>
    <t xml:space="preserve"> Кружевной бралетт с регулируемыми бретелями черный M-L</t>
  </si>
  <si>
    <t xml:space="preserve"> Кружевной бралетт с регулируемыми бретелями белый M-L</t>
  </si>
  <si>
    <t xml:space="preserve"> Кружевной бралетт с регулируемыми бретелями белый L-XL</t>
  </si>
  <si>
    <t xml:space="preserve"> Удлиненный кружевной бралетт белый L-XL</t>
  </si>
  <si>
    <t xml:space="preserve"> Удлиненный кружевной бралетт красный с черным L-XL</t>
  </si>
  <si>
    <t xml:space="preserve"> Удлиненный кружевной бралетт красный с черным S-M</t>
  </si>
  <si>
    <t xml:space="preserve"> Удлиненный кружевной бралетт белый S-M</t>
  </si>
  <si>
    <t xml:space="preserve"> Удлиненный кружевной бралетт черный S-M</t>
  </si>
  <si>
    <t xml:space="preserve"> Удлиненный кружевной бралетт красный с черным M-L</t>
  </si>
  <si>
    <t xml:space="preserve"> Удлиненный кружевной бралетт белый M-L</t>
  </si>
  <si>
    <t xml:space="preserve"> Удлиненный кружевной бралетт черный L-XL</t>
  </si>
  <si>
    <t xml:space="preserve"> Удлиненный кружевной бралетт черный M-L</t>
  </si>
  <si>
    <t xml:space="preserve"> Чувственный бралетт с кружевом черный L-XL</t>
  </si>
  <si>
    <t xml:space="preserve"> Чувственный бралетт с кружевом черный S-M</t>
  </si>
  <si>
    <t xml:space="preserve"> Чувственный бралетт с кружевом белый S-M</t>
  </si>
  <si>
    <t xml:space="preserve"> Чувственный бралетт с кружевом белый L-XL</t>
  </si>
  <si>
    <t xml:space="preserve"> Чувственный бралетт с кружевом белый M-L</t>
  </si>
  <si>
    <t xml:space="preserve"> Чувственный бралетт с кружевом черный M-L</t>
  </si>
  <si>
    <t xml:space="preserve"> Удлиненный бралетт со вставками кружева черный M-L</t>
  </si>
  <si>
    <t xml:space="preserve"> Удлиненный бралетт со вставками кружева белый L-XL</t>
  </si>
  <si>
    <t xml:space="preserve"> Удлиненный бралетт со вставками кружева белый S-M</t>
  </si>
  <si>
    <t xml:space="preserve"> Удлиненный бралетт со вставками кружева черный S-M</t>
  </si>
  <si>
    <t xml:space="preserve"> Удлиненный бралетт со вставками кружева белый M-L</t>
  </si>
  <si>
    <t xml:space="preserve"> Удлиненный бралетт со вставками кружева черный L-XL</t>
  </si>
  <si>
    <t xml:space="preserve"> Роскошный бралетт из кружев и нежной сетки черный 85B</t>
  </si>
  <si>
    <t xml:space="preserve"> Роскошный бралетт из кружев и нежной сетки черный 75B</t>
  </si>
  <si>
    <t xml:space="preserve"> Роскошный бралетт из кружев и нежной сетки черный 80B</t>
  </si>
  <si>
    <t xml:space="preserve"> Кружевной бралетт с застежкой спереди черный 75B</t>
  </si>
  <si>
    <t xml:space="preserve"> Кружевной бралетт с застежкой спереди черный 80B</t>
  </si>
  <si>
    <t xml:space="preserve"> Кружевной бралетт с застежкой спереди черный 85B</t>
  </si>
  <si>
    <t xml:space="preserve"> Кружевной бралетт с застежкой спереди бордовый 75B</t>
  </si>
  <si>
    <t xml:space="preserve"> Кружевной бралетт с застежкой спереди бордовый 85B</t>
  </si>
  <si>
    <t xml:space="preserve"> Кружевной бралетт с застежкой спереди бордовый 80B</t>
  </si>
  <si>
    <t xml:space="preserve"> Кружевной бралетт из воздушного кружева черный 80B</t>
  </si>
  <si>
    <t xml:space="preserve"> Кружевной бралетт из воздушного кружева черный 75B</t>
  </si>
  <si>
    <t xml:space="preserve"> Кружевной бралетт из воздушного кружева бордовый 75B</t>
  </si>
  <si>
    <t xml:space="preserve"> Кружевной бралетт из воздушного кружева бордовый 85B</t>
  </si>
  <si>
    <t xml:space="preserve"> Кружевной бралетт из воздушного кружева черный 85B</t>
  </si>
  <si>
    <t xml:space="preserve"> Кружевной бралетт из воздушного кружева бордовый 80B</t>
  </si>
  <si>
    <t xml:space="preserve"> Ажурный бралетт Norddiva с украшением на спине черный 85B</t>
  </si>
  <si>
    <t xml:space="preserve"> Ажурный бралетт Norddiva с украшением на спине черный 75B</t>
  </si>
  <si>
    <t xml:space="preserve"> Ажурный бралетт Norddiva с украшением на спине черный 80B</t>
  </si>
  <si>
    <t xml:space="preserve"> Бралетт Delicacy c фигурными вырезами черный L-XL</t>
  </si>
  <si>
    <t xml:space="preserve"> Бралетт Delicacy c фигурными вырезами черный S-M</t>
  </si>
  <si>
    <t xml:space="preserve"> Бралетт Delicacy c фигурными вырезами черный M-L</t>
  </si>
  <si>
    <t xml:space="preserve">    Колготки</t>
  </si>
  <si>
    <t xml:space="preserve"> Колготки в мелкую сетку черный One Size</t>
  </si>
  <si>
    <t xml:space="preserve"> Колготки в мелкую сетку красный One Size</t>
  </si>
  <si>
    <t xml:space="preserve"> Колготки в мелкую сетку розовый One Size</t>
  </si>
  <si>
    <t xml:space="preserve"> Колготки в мелкую сетку белый One Size</t>
  </si>
  <si>
    <t xml:space="preserve"> Колготки в мелкую сетку сливовый One Size</t>
  </si>
  <si>
    <t xml:space="preserve"> Комбинированные черные колготки-сетка черный One Size</t>
  </si>
  <si>
    <t xml:space="preserve"> Колготки-сетка со шнуровками сзади черный с розовым One Size</t>
  </si>
  <si>
    <t xml:space="preserve"> Колготки с вырезами по всей длине розовый One Size</t>
  </si>
  <si>
    <t xml:space="preserve"> Колготки с вырезами по всей длине черный One Size</t>
  </si>
  <si>
    <t xml:space="preserve"> Колготки с орнаментом в виде треугольников черный One Size</t>
  </si>
  <si>
    <t xml:space="preserve"> Фантазийные колготки с узором в клетку черный One Size</t>
  </si>
  <si>
    <t xml:space="preserve"> Колготки комбинированные - крупная сетка спереди и мелкая сзади черный One Size</t>
  </si>
  <si>
    <t xml:space="preserve"> Классические черные эластичные колготы с высокой талией черный One Size</t>
  </si>
  <si>
    <t xml:space="preserve"> Колготки с необычным клетчатым рисунком черный БЕЗРАЗМЕРНЫЙ</t>
  </si>
  <si>
    <t xml:space="preserve"> Колготки с леопардовым рисунком черный БЕЗРАЗМЕРНЫЙ</t>
  </si>
  <si>
    <t xml:space="preserve"> Сетчатые колготки «Паутинка» черный One Size</t>
  </si>
  <si>
    <t xml:space="preserve"> Колготы в крупную сетку с вырезами на бедрах черный One Size</t>
  </si>
  <si>
    <t xml:space="preserve"> Колготки с геометрическим рисунком черный One Size</t>
  </si>
  <si>
    <t xml:space="preserve"> Колготки в круглую сетку черный One Size</t>
  </si>
  <si>
    <t xml:space="preserve"> Колготки в крупную сетку черный One Size</t>
  </si>
  <si>
    <t xml:space="preserve"> Колготки в сетку с боковым рисунком черный One Size</t>
  </si>
  <si>
    <t xml:space="preserve"> Колготки с ромбовидным рисунком черный One Size</t>
  </si>
  <si>
    <t xml:space="preserve"> Сетевые колготки на узкой резинке черный One Size</t>
  </si>
  <si>
    <t xml:space="preserve"> Колготки с леопардовыми пятнышками черный One Size</t>
  </si>
  <si>
    <t xml:space="preserve"> Темные колготки с рисунком комплекта белья черный One Size</t>
  </si>
  <si>
    <t xml:space="preserve"> Колготки с кружевными шортиками черный One Size</t>
  </si>
  <si>
    <t xml:space="preserve"> Колготки с кружевными шортиками красный One Size</t>
  </si>
  <si>
    <t xml:space="preserve"> Колготки в мелкую сетку со швом сзади черный One Size</t>
  </si>
  <si>
    <t xml:space="preserve"> Классические колготки в мелкую сетку черный One Size</t>
  </si>
  <si>
    <t xml:space="preserve"> Черные колготки со стразами черный One Size</t>
  </si>
  <si>
    <t xml:space="preserve"> Колготки в мелкую сетку с цветочным ажурным узором черный One Size</t>
  </si>
  <si>
    <t xml:space="preserve"> Колготки с ажурными бантиками черный One Size</t>
  </si>
  <si>
    <t xml:space="preserve"> Колготки в сетку с орнаментом черный One Size</t>
  </si>
  <si>
    <t xml:space="preserve"> Колготки со шнуровкой «CUTE GIRL» черный One Size</t>
  </si>
  <si>
    <t xml:space="preserve"> Колготки в мелкую сетку со швом сзади черный 1X-2X</t>
  </si>
  <si>
    <t xml:space="preserve"> Колготки в сетку с пикантным вырезом черный One Size</t>
  </si>
  <si>
    <t xml:space="preserve"> Колготки в сетку с вырезами на бедрах и доступом черный One Size</t>
  </si>
  <si>
    <t xml:space="preserve"> Колготки в сетку с имитацией чулок с поясом черный One Size</t>
  </si>
  <si>
    <t xml:space="preserve"> Колготы с доступом и узором в виде сердечек черный One Size-XL-XXL</t>
  </si>
  <si>
    <t xml:space="preserve"> Колготы с доступом и узором в виде сердечек белый One Size-XL-XXL</t>
  </si>
  <si>
    <t xml:space="preserve"> Нейлоновые колготки в сетку со стрелочками сзади черный One Size</t>
  </si>
  <si>
    <t xml:space="preserve"> Колготки со стрелкой «SPANDEX BACKSEAM PANTYHOSE» телесный с черным One Size</t>
  </si>
  <si>
    <t xml:space="preserve"> Колготки Dalia с имитацией чулков на подтяжках черный 3 РАЗМЕР</t>
  </si>
  <si>
    <t xml:space="preserve"> Колготки Dalia с имитацией чулков на подтяжках черный 2 РАЗМЕР</t>
  </si>
  <si>
    <t xml:space="preserve"> Колготки Dalia с имитацией чулков на подтяжках черный 4 РАЗМЕР</t>
  </si>
  <si>
    <t xml:space="preserve"> Колготки Mascarade с имитацией чулков черный 3 РАЗМЕР</t>
  </si>
  <si>
    <t xml:space="preserve"> Колготки Mascarade с имитацией чулков черный 4 РАЗМЕР</t>
  </si>
  <si>
    <t xml:space="preserve"> Колготки Mascarade с имитацией чулков черный 2 РАЗМЕР</t>
  </si>
  <si>
    <t xml:space="preserve"> Колготки Lindsay с кружевным рисунком черный 4 РАЗМЕР</t>
  </si>
  <si>
    <t xml:space="preserve"> Колготки Lindsay с кружевным рисунком черный 2 РАЗМЕР</t>
  </si>
  <si>
    <t xml:space="preserve"> Колготки Lindsay с кружевным рисунком черный 3 РАЗМЕР</t>
  </si>
  <si>
    <t xml:space="preserve"> Тонкие колготки Odile с кружевным плетением черный 3 РАЗМЕР</t>
  </si>
  <si>
    <t xml:space="preserve"> Тонкие колготки Odile с кружевным плетением черный 2 РАЗМЕР</t>
  </si>
  <si>
    <t xml:space="preserve"> Тонкие колготки Odile с кружевным плетением черный 4 РАЗМЕР</t>
  </si>
  <si>
    <t xml:space="preserve"> Колготки Clarisse с имитацией ажурных чулочков черный 4 РАЗМЕР</t>
  </si>
  <si>
    <t xml:space="preserve"> Колготки Clarisse с имитацией ажурных чулочков черный 2 РАЗМЕР</t>
  </si>
  <si>
    <t xml:space="preserve"> Колготки Clarisse с имитацией ажурных чулочков черный 3 РАЗМЕР</t>
  </si>
  <si>
    <t xml:space="preserve"> Колготки Roxanne с едва заметным рисунком кружева черный 3 РАЗМЕР</t>
  </si>
  <si>
    <t xml:space="preserve"> Колготки Roxanne с едва заметным рисунком кружева черный 2 РАЗМЕР</t>
  </si>
  <si>
    <t xml:space="preserve"> Колготки Roxanne с едва заметным рисунком кружева черный 4 РАЗМЕР</t>
  </si>
  <si>
    <t xml:space="preserve"> Колготки Bruna средней плотности с имитацией чулков черный 4 РАЗМЕР</t>
  </si>
  <si>
    <t xml:space="preserve"> Колготки Bruna средней плотности с имитацией чулков черный 2 РАЗМЕР</t>
  </si>
  <si>
    <t xml:space="preserve"> Колготки Bruna средней плотности с имитацией чулков черный 3 РАЗМЕР</t>
  </si>
  <si>
    <t xml:space="preserve"> Колготки «Stivale» с ажурным рисунком черный 3 РАЗМЕР</t>
  </si>
  <si>
    <t xml:space="preserve"> Колготки «Stivale» с ажурным рисунком черный 2 РАЗМЕР</t>
  </si>
  <si>
    <t xml:space="preserve"> Колготки «Stivale» с ажурным рисунком черный 4 РАЗМЕР</t>
  </si>
  <si>
    <t xml:space="preserve"> Колготки-сетка с вырезами на ягодицах черный One Size</t>
  </si>
  <si>
    <t xml:space="preserve"> Ажурные колготки с крупным цветочным узором черный S</t>
  </si>
  <si>
    <t xml:space="preserve"> Колготки с узором в виде гольф, лент и бантиков черный S</t>
  </si>
  <si>
    <t xml:space="preserve"> Колготки в сеточку с вырезами по бокам и бабочкой черный S</t>
  </si>
  <si>
    <t xml:space="preserve"> Колготки в сетку «Candice» со стрелками и доступом черный T1</t>
  </si>
  <si>
    <t xml:space="preserve"> Колготки в сетку «Candice» со стрелками и доступом черный T2</t>
  </si>
  <si>
    <t xml:space="preserve"> Колготки в сетку «Candice» со стрелками и доступом черный T3</t>
  </si>
  <si>
    <t xml:space="preserve"> Колготки в сетку «Candice» со стрелками и доступом черный T4</t>
  </si>
  <si>
    <t xml:space="preserve"> Колготки в крупную сетку «Delphine» черный T4</t>
  </si>
  <si>
    <t xml:space="preserve"> Колготки в крупную сетку «Delphine» черный T2</t>
  </si>
  <si>
    <t xml:space="preserve"> Колготки в крупную сетку «Delphine» черный T3</t>
  </si>
  <si>
    <t xml:space="preserve"> Колготки в крупную сетку «Delphine» черный T1</t>
  </si>
  <si>
    <t xml:space="preserve"> Колготки с имитацией чулок на поясе черный 2 РАЗМЕР</t>
  </si>
  <si>
    <t xml:space="preserve"> Колготки с имитацией чулок на поясе черный 4 РАЗМЕР</t>
  </si>
  <si>
    <t xml:space="preserve"> Колготки с имитацией чулок на поясе телесный 4 РАЗМЕР</t>
  </si>
  <si>
    <t xml:space="preserve"> Колготки с имитацией чулок на поясе черный 3 РАЗМЕР</t>
  </si>
  <si>
    <t xml:space="preserve"> Колготки с имитацией чулок на поясе телесный 3 РАЗМЕР</t>
  </si>
  <si>
    <t xml:space="preserve"> Колготки в сетку на тонком пояске черный 3-4 РАЗМЕР</t>
  </si>
  <si>
    <t xml:space="preserve"> Колготки в сетку на тонком пояске белый 3-4 РАЗМЕР</t>
  </si>
  <si>
    <t xml:space="preserve"> Колготки в сетку на тонком пояске белый 1-2 РАЗМЕР</t>
  </si>
  <si>
    <t xml:space="preserve"> Колготки в сетку на тонком пояске черный 1-2 РАЗМЕР</t>
  </si>
  <si>
    <t xml:space="preserve"> Классические тонкие колготки черный 5 РАЗМЕР</t>
  </si>
  <si>
    <t xml:space="preserve"> Классические тонкие колготки белый 5 РАЗМЕР</t>
  </si>
  <si>
    <t xml:space="preserve"> Классические тонкие колготки серый 5 РАЗМЕР</t>
  </si>
  <si>
    <t xml:space="preserve"> Классические тонкие колготки бронзовый 5 РАЗМЕР</t>
  </si>
  <si>
    <t xml:space="preserve"> Классические тонкие колготки телесный 5 РАЗМЕР</t>
  </si>
  <si>
    <t xml:space="preserve"> Классические тонкие колготки телесный 3 РАЗМЕР</t>
  </si>
  <si>
    <t xml:space="preserve"> Классические тонкие колготки бронзовый 3 РАЗМЕР</t>
  </si>
  <si>
    <t xml:space="preserve"> Классические тонкие колготки серый 3 РАЗМЕР</t>
  </si>
  <si>
    <t xml:space="preserve"> Классические тонкие колготки белый 3 РАЗМЕР</t>
  </si>
  <si>
    <t xml:space="preserve"> Классические тонкие колготки белый 2 РАЗМЕР</t>
  </si>
  <si>
    <t xml:space="preserve"> Классические тонкие колготки серый 2 РАЗМЕР</t>
  </si>
  <si>
    <t xml:space="preserve"> Классические тонкие колготки бронзовый 2 РАЗМЕР</t>
  </si>
  <si>
    <t xml:space="preserve"> Классические тонкие колготки черный 3 РАЗМЕР</t>
  </si>
  <si>
    <t xml:space="preserve"> Классические тонкие колготки телесный 4 РАЗМЕР</t>
  </si>
  <si>
    <t xml:space="preserve"> Классические тонкие колготки черный 4 РАЗМЕР</t>
  </si>
  <si>
    <t xml:space="preserve"> Классические тонкие колготки бронзовый 4 РАЗМЕР</t>
  </si>
  <si>
    <t xml:space="preserve"> Классические тонкие колготки серый 4 РАЗМЕР</t>
  </si>
  <si>
    <t xml:space="preserve"> Классические тонкие колготки белый 4 РАЗМЕР</t>
  </si>
  <si>
    <t xml:space="preserve"> Классические тонкие колготки черный 2 РАЗМЕР</t>
  </si>
  <si>
    <t xml:space="preserve"> Классические тонкие колготки телесный 2 РАЗМЕР</t>
  </si>
  <si>
    <t xml:space="preserve"> Ажурные колготки с вырезами на бёдрах CROTCHLESS LACE SUSPENDER HOSE черный One Size</t>
  </si>
  <si>
    <t xml:space="preserve"> Колготки с имитацией чулок на поясе и контрастным узором черный с серым 1-2 РАЗМЕР</t>
  </si>
  <si>
    <t xml:space="preserve"> Колготки с имитацией чулок на поясе и контрастным узором черный с красным 1-2 РАЗМЕР</t>
  </si>
  <si>
    <t xml:space="preserve"> Колготки с имитацией чулок на поясе и контрастным узором черный с красным 3-4 РАЗМЕР</t>
  </si>
  <si>
    <t xml:space="preserve"> Колготки с имитацией чулок на поясе и контрастным узором черный с серым 3-4 РАЗМЕР</t>
  </si>
  <si>
    <t xml:space="preserve"> Классические колготы в мелкую сетку красный 3-4 РАЗМЕР</t>
  </si>
  <si>
    <t xml:space="preserve"> Классические колготы в мелкую сетку черный 1-2 РАЗМЕР</t>
  </si>
  <si>
    <t xml:space="preserve"> Однотонные колготки на каждый день черный 3 РАЗМЕР</t>
  </si>
  <si>
    <t xml:space="preserve"> Однотонные колготки на каждый день черный 4 РАЗМЕР</t>
  </si>
  <si>
    <t xml:space="preserve"> Матовые колготки в сетку с фигурными стрелками черный 4 РАЗМЕР</t>
  </si>
  <si>
    <t xml:space="preserve"> Матовые колготки в сетку с фигурными стрелками черный 2 РАЗМЕР</t>
  </si>
  <si>
    <t xml:space="preserve"> Ажурные колготы с вырезами на бёдрах черный One Size</t>
  </si>
  <si>
    <t xml:space="preserve"> Соблазнительные колготы с вырезами на бёдрах и имитацией шнуровок черный One Size</t>
  </si>
  <si>
    <t xml:space="preserve"> Телесные колготки Medica Massage 20 den телесный 3 РАЗМЕР</t>
  </si>
  <si>
    <t xml:space="preserve"> Телесные колготки Medica Massage 20 den телесный 2 РАЗМЕР</t>
  </si>
  <si>
    <t xml:space="preserve"> Телесные колготки Medica Massage 20 den телесный 4 РАЗМЕР</t>
  </si>
  <si>
    <t xml:space="preserve"> Утягивающие колготки Medica Push-Up 20 den телесный 4 РАЗМЕР</t>
  </si>
  <si>
    <t xml:space="preserve"> Утягивающие колготки Medica Push-Up 20 den телесный 2 РАЗМЕР</t>
  </si>
  <si>
    <t xml:space="preserve"> Утягивающие колготки Medica Push-Up 20 den черный 2 РАЗМЕР</t>
  </si>
  <si>
    <t xml:space="preserve"> Утягивающие колготки Medica Push-Up 20 den черный 4 РАЗМЕР</t>
  </si>
  <si>
    <t xml:space="preserve"> Утягивающие колготки Medica Push-Up 20 den телесный 3 РАЗМЕР</t>
  </si>
  <si>
    <t xml:space="preserve"> Утягивающие колготки Medica Push-Up 20 den черный 3 РАЗМЕР</t>
  </si>
  <si>
    <t xml:space="preserve"> Утягивающие колготки Medica Push-Up 40 den черный 3 РАЗМЕР</t>
  </si>
  <si>
    <t xml:space="preserve"> Утягивающие колготки Medica Push-Up 40 den телесный 3 РАЗМЕР</t>
  </si>
  <si>
    <t xml:space="preserve"> Утягивающие колготки Medica Push-Up 40 den черный 2 РАЗМЕР</t>
  </si>
  <si>
    <t xml:space="preserve"> Утягивающие колготки Medica Push-Up 40 den телесный 2 РАЗМЕР</t>
  </si>
  <si>
    <t xml:space="preserve"> Утягивающие колготки Medica Push-Up 40 den телесный 4 РАЗМЕР</t>
  </si>
  <si>
    <t xml:space="preserve"> Утягивающие колготки Medica Push-Up 40 den черный 4 РАЗМЕР</t>
  </si>
  <si>
    <t xml:space="preserve"> комфортные колготки для беременных Mamma 20 den телесный 4 РАЗМЕР</t>
  </si>
  <si>
    <t xml:space="preserve"> комфортные колготки для беременных Mamma 20 den телесный 2 РАЗМЕР</t>
  </si>
  <si>
    <t xml:space="preserve"> комфортные колготки для беременных Mamma 20 den телесный 3 РАЗМЕР</t>
  </si>
  <si>
    <t xml:space="preserve"> Колготки для беременных Mamma 40 den телесный 3 РАЗМЕР</t>
  </si>
  <si>
    <t xml:space="preserve"> Колготки для беременных Mamma 40 den телесный 2 РАЗМЕР</t>
  </si>
  <si>
    <t xml:space="preserve"> Колготки для беременных Mamma 40 den телесный 4 РАЗМЕР</t>
  </si>
  <si>
    <t xml:space="preserve"> Тонкие колготки Qualita телесный 4 РАЗМЕР</t>
  </si>
  <si>
    <t xml:space="preserve"> Тонкие колготки Qualita телесный 2 РАЗМЕР</t>
  </si>
  <si>
    <t xml:space="preserve"> Тонкие колготки Qualita черный 4 РАЗМЕР</t>
  </si>
  <si>
    <t xml:space="preserve"> Тонкие колготки Qualita черный 2 РАЗМЕР</t>
  </si>
  <si>
    <t xml:space="preserve"> Тонкие колготки Qualita телесный 3 РАЗМЕР</t>
  </si>
  <si>
    <t xml:space="preserve"> Тонкие колготки Qualita черный 3 РАЗМЕР</t>
  </si>
  <si>
    <t xml:space="preserve"> Полупрозрачные колготки Hipsters 20 den с заниженной талией черный 3 РАЗМЕР</t>
  </si>
  <si>
    <t xml:space="preserve"> Полупрозрачные колготки Hipsters 20 den с заниженной талией телесный 3 РАЗМЕР</t>
  </si>
  <si>
    <t xml:space="preserve"> Полупрозрачные колготки Hipsters 20 den с заниженной талией черный 2 РАЗМЕР</t>
  </si>
  <si>
    <t xml:space="preserve"> Полупрозрачные колготки Hipsters 20 den с заниженной талией черный 4 РАЗМЕР</t>
  </si>
  <si>
    <t xml:space="preserve"> Полупрозрачные колготки Hipsters 20 den с заниженной талией телесный 2 РАЗМЕР</t>
  </si>
  <si>
    <t xml:space="preserve"> Полупрозрачные колготки Hipsters 20 den с заниженной талией телесный 4 РАЗМЕР</t>
  </si>
  <si>
    <t xml:space="preserve"> Плотные матовые колготки Hipsters 40 den черный 4 РАЗМЕР</t>
  </si>
  <si>
    <t xml:space="preserve"> Плотные матовые колготки Hipsters 40 den черный 2 РАЗМЕР</t>
  </si>
  <si>
    <t xml:space="preserve"> Плотные матовые колготки Hipsters 40 den черный 3 РАЗМЕР</t>
  </si>
  <si>
    <t xml:space="preserve"> Колготки Gold 20 den с добавлением лайкры черный 3 РАЗМЕР</t>
  </si>
  <si>
    <t xml:space="preserve"> Колготки Gold 20 den с добавлением лайкры телесный 3 РАЗМЕР</t>
  </si>
  <si>
    <t xml:space="preserve"> Колготки Gold 20 den с добавлением лайкры черный 2 РАЗМЕР</t>
  </si>
  <si>
    <t xml:space="preserve"> Колготки Gold 20 den с добавлением лайкры телесный 2 РАЗМЕР</t>
  </si>
  <si>
    <t xml:space="preserve"> Колготки Gold 20 den с добавлением лайкры черный 4 РАЗМЕР</t>
  </si>
  <si>
    <t xml:space="preserve"> Колготки Gold 20 den с добавлением лайкры телесный 4 РАЗМЕР</t>
  </si>
  <si>
    <t xml:space="preserve"> Фантазийные колготки Betty в крупный горох черный 4 РАЗМЕР</t>
  </si>
  <si>
    <t xml:space="preserve"> Фантазийные колготки Betty в крупный горох черный 2 РАЗМЕР</t>
  </si>
  <si>
    <t xml:space="preserve"> Фантазийные колготки Betty в крупный горох черный 3 РАЗМЕР</t>
  </si>
  <si>
    <t xml:space="preserve"> Тонкие колготки Kelly с имитацией носочков черный 3 РАЗМЕР</t>
  </si>
  <si>
    <t xml:space="preserve"> Тонкие колготки Kelly с имитацией носочков черный 2 РАЗМЕР</t>
  </si>
  <si>
    <t xml:space="preserve"> Тонкие колготки Kelly с имитацией носочков черный 4 РАЗМЕР</t>
  </si>
  <si>
    <t xml:space="preserve"> Колготки Paty с имитацией чулок черный 4 РАЗМЕР</t>
  </si>
  <si>
    <t xml:space="preserve"> Колготки Paty с имитацией чулок черный 2 РАЗМЕР</t>
  </si>
  <si>
    <t xml:space="preserve"> Колготки Paty с имитацией чулок черный 3 РАЗМЕР</t>
  </si>
  <si>
    <t xml:space="preserve"> Элегантные колготки из микрофибры Microfibre 40 den черный 3 РАЗМЕР</t>
  </si>
  <si>
    <t xml:space="preserve"> Элегантные колготки из микрофибры Microfibre 40 den черный 2 РАЗМЕР</t>
  </si>
  <si>
    <t xml:space="preserve"> Элегантные колготки из микрофибры Microfibre 40 den черный 4 РАЗМЕР</t>
  </si>
  <si>
    <t xml:space="preserve"> Плотные колготки из микрофибры Microfibre 60 den черный 4 РАЗМЕР</t>
  </si>
  <si>
    <t xml:space="preserve"> Плотные колготки из микрофибры Microfibre 60 den черный 2 РАЗМЕР</t>
  </si>
  <si>
    <t xml:space="preserve"> Плотные колготки из микрофибры Microfibre 60 den черный 3 РАЗМЕР</t>
  </si>
  <si>
    <t xml:space="preserve"> Теплые колготки из микрофибры Microfibre 80 den черный 3 РАЗМЕР</t>
  </si>
  <si>
    <t xml:space="preserve"> Теплые колготки из микрофибры Microfibre 80 den черный 2 РАЗМЕР</t>
  </si>
  <si>
    <t xml:space="preserve"> Теплые колготки из микрофибры Microfibre 80 den черный 4 РАЗМЕР</t>
  </si>
  <si>
    <t xml:space="preserve"> Теплые колготки Microfibre 100 den черный 4 РАЗМЕР</t>
  </si>
  <si>
    <t xml:space="preserve"> Теплые колготки Microfibre 100 den черный 2 РАЗМЕР</t>
  </si>
  <si>
    <t xml:space="preserve"> Теплые колготки Microfibre 100 den черный 3 РАЗМЕР</t>
  </si>
  <si>
    <t xml:space="preserve"> Колготки из микрофибры с 3D-эффектом Micro 3D 50 den черный 3 РАЗМЕР</t>
  </si>
  <si>
    <t xml:space="preserve"> Колготки из микрофибры с 3D-эффектом Micro 3D 50 den черный 2 РАЗМЕР</t>
  </si>
  <si>
    <t xml:space="preserve"> Колготки из микрофибры с 3D-эффектом Micro 3D 50 den черный 4 РАЗМЕР</t>
  </si>
  <si>
    <t xml:space="preserve"> Тонкие колготки Velia с открытыми пальчиками телесный 4 РАЗМЕР</t>
  </si>
  <si>
    <t xml:space="preserve"> Тонкие колготки Velia с открытыми пальчиками телесный 2 РАЗМЕР</t>
  </si>
  <si>
    <t xml:space="preserve"> Тонкие колготки Velia с открытыми пальчиками телесный 3 РАЗМЕР</t>
  </si>
  <si>
    <t xml:space="preserve"> Фантазийные колготки Keyra с имитацией чулок в тонкую полоску черный 3 РАЗМЕР</t>
  </si>
  <si>
    <t xml:space="preserve"> Фантазийные колготки Keyra с имитацией чулок в тонкую полоску черный 2 РАЗМЕР</t>
  </si>
  <si>
    <t xml:space="preserve"> Фантазийные колготки Keyra с имитацией чулок в тонкую полоску черный 4 РАЗМЕР</t>
  </si>
  <si>
    <t xml:space="preserve"> Колготки Lumia с имитацией чулок в горошек черный 4 РАЗМЕР</t>
  </si>
  <si>
    <t xml:space="preserve"> Колготки Lumia с имитацией чулок в горошек черный 2 РАЗМЕР</t>
  </si>
  <si>
    <t xml:space="preserve"> Колготки Lumia с имитацией чулок в горошек черный 3 РАЗМЕР</t>
  </si>
  <si>
    <t xml:space="preserve"> Колготки Avila с имитацией однотонных чулок с сердечками черный 3 РАЗМЕР</t>
  </si>
  <si>
    <t xml:space="preserve"> Колготки Avila с имитацией однотонных чулок с сердечками черный 2 РАЗМЕР</t>
  </si>
  <si>
    <t xml:space="preserve"> Колготки Avila с имитацией однотонных чулок с сердечками черный 4 РАЗМЕР</t>
  </si>
  <si>
    <t xml:space="preserve"> Соблазнительные колготки Demi с имитацией чулок черный 4 РАЗМЕР</t>
  </si>
  <si>
    <t xml:space="preserve"> Соблазнительные колготки Demi с имитацией чулок черный 2 РАЗМЕР</t>
  </si>
  <si>
    <t xml:space="preserve"> Соблазнительные колготки Demi с имитацией чулок черный 3 РАЗМЕР</t>
  </si>
  <si>
    <t xml:space="preserve"> Фантазийные колготки Melia черный 3 РАЗМЕР</t>
  </si>
  <si>
    <t xml:space="preserve"> Фантазийные колготки Melia черный 2 РАЗМЕР</t>
  </si>
  <si>
    <t xml:space="preserve"> Фантазийные колготки Melia черный 4 РАЗМЕР</t>
  </si>
  <si>
    <t xml:space="preserve"> Черные фантазийные колготки Tida с имитацией чулок черный 4 РАЗМЕР</t>
  </si>
  <si>
    <t xml:space="preserve"> Черные фантазийные колготки Tida с имитацией чулок черный 2 РАЗМЕР</t>
  </si>
  <si>
    <t xml:space="preserve"> Черные фантазийные колготки Tida с имитацией чулок черный 3 РАЗМЕР</t>
  </si>
  <si>
    <t xml:space="preserve"> Черные фантазийные колготки Valery с имитацией чулок черный 3 РАЗМЕР</t>
  </si>
  <si>
    <t xml:space="preserve"> Черные фантазийные колготки Valery с имитацией чулок черный 2 РАЗМЕР</t>
  </si>
  <si>
    <t xml:space="preserve"> Черные фантазийные колготки Valery с имитацией чулок черный 4 РАЗМЕР</t>
  </si>
  <si>
    <t xml:space="preserve"> Колготы в сетку Strip Panty 153 с контрастной отделкой вырезов черный с красным 3-4 РАЗМЕР</t>
  </si>
  <si>
    <t xml:space="preserve"> Колготы в сетку Strip Panty 153 с контрастной отделкой вырезов черный с красным 1-2 РАЗМЕР</t>
  </si>
  <si>
    <t xml:space="preserve"> Колготы с вырезами Strip Panty Princessa 12 белый 3-4 РАЗМЕР</t>
  </si>
  <si>
    <t xml:space="preserve"> Колготы с вырезами Strip Panty Princessa 12 белый 1-2 РАЗМЕР</t>
  </si>
  <si>
    <t xml:space="preserve"> Колготки Medica Relax 20 den с антицеллюлитным эффектом телесный 2 РАЗМЕР</t>
  </si>
  <si>
    <t xml:space="preserve"> Колготки Medica Relax 20 den с антицеллюлитным эффектом телесный 4 РАЗМЕР</t>
  </si>
  <si>
    <t xml:space="preserve"> Колготки Medica Relax 20 den с антицеллюлитным эффектом телесный 3 РАЗМЕР</t>
  </si>
  <si>
    <t xml:space="preserve"> Колготки с антицеллюлитным эффектом Medica Relax 40 den Neutro телесный 3 РАЗМЕР</t>
  </si>
  <si>
    <t xml:space="preserve"> Колготки с антицеллюлитным эффектом Medica Relax 40 den Neutro телесный 4 РАЗМЕР</t>
  </si>
  <si>
    <t xml:space="preserve"> Колготки с антицеллюлитным эффектом Medica Relax 40 den Neutro телесный 2 РАЗМЕР</t>
  </si>
  <si>
    <t xml:space="preserve"> Колготы с вырезами на бёдрах Strip Panty 151 белый 1-2 РАЗМЕР</t>
  </si>
  <si>
    <t xml:space="preserve"> Колготы с вырезами на бёдрах Strip Panty 151 черный 1-2 РАЗМЕР</t>
  </si>
  <si>
    <t xml:space="preserve"> Колготы с вырезами на бёдрах Strip Panty 151 белый 3-4 РАЗМЕР</t>
  </si>
  <si>
    <t xml:space="preserve"> Колготы с вырезами на бёдрах Strip Panty 151 черный 3-4 РАЗМЕР</t>
  </si>
  <si>
    <t xml:space="preserve"> Колготы с вырезами на бёдрах Strip Panty 151 красный 3-4 РАЗМЕР</t>
  </si>
  <si>
    <t xml:space="preserve"> Колготы с вырезами на бёдрах Strip Panty 151 красный 1-2 РАЗМЕР</t>
  </si>
  <si>
    <t xml:space="preserve"> Фантазийные колготки Eyes с глазками черный 2 РАЗМЕР</t>
  </si>
  <si>
    <t xml:space="preserve"> Фантазийные колготки Eyes с глазками черный 4 РАЗМЕР</t>
  </si>
  <si>
    <t xml:space="preserve"> Фантазийные колготки Eyes с глазками черный 3 РАЗМЕР</t>
  </si>
  <si>
    <t xml:space="preserve"> Тонкие колготки Poem со стрелкой и узором черный 3 РАЗМЕР</t>
  </si>
  <si>
    <t xml:space="preserve"> Тонкие колготки Poem со стрелкой и узором черный 4 РАЗМЕР</t>
  </si>
  <si>
    <t xml:space="preserve"> Тонкие колготки Poem со стрелкой и узором черный 2 РАЗМЕР</t>
  </si>
  <si>
    <t xml:space="preserve"> Плотные колготы с вырезами Strip Panty Microfibre черный 1-2 РАЗМЕР</t>
  </si>
  <si>
    <t xml:space="preserve"> Плотные колготы с вырезами Strip Panty Microfibre черный 3-4 РАЗМЕР</t>
  </si>
  <si>
    <t xml:space="preserve"> Колготы с открытыми бёдрами Strip Panty Classic черный 3-4 РАЗМЕР</t>
  </si>
  <si>
    <t xml:space="preserve"> Колготы с открытыми бёдрами Strip Panty Classic черный 1-2 РАЗМЕР</t>
  </si>
  <si>
    <t xml:space="preserve"> Колготы с открытыми бёдрами Strip Panty Classic белый 1-2 РАЗМЕР</t>
  </si>
  <si>
    <t xml:space="preserve"> Колготы с открытыми бёдрами Strip Panty Classic красный 3-4 РАЗМЕР</t>
  </si>
  <si>
    <t xml:space="preserve"> Колготы с открытыми бёдрами Strip Panty Classic белый 3-4 РАЗМЕР</t>
  </si>
  <si>
    <t xml:space="preserve"> Колготы с открытыми бёдрами Strip Panty Classic красный 1-2 РАЗМЕР</t>
  </si>
  <si>
    <t xml:space="preserve"> Фантазийные колготки Lips с губками черный 4 РАЗМЕР</t>
  </si>
  <si>
    <t xml:space="preserve"> Фантазийные колготки Lips с губками черный 3 РАЗМЕР</t>
  </si>
  <si>
    <t xml:space="preserve"> Тонкие колготки Janet с ажурной стрелкой сбоку черный 3 РАЗМЕР</t>
  </si>
  <si>
    <t xml:space="preserve"> Тонкие колготки Janet с ажурной стрелкой сбоку черный 4 РАЗМЕР</t>
  </si>
  <si>
    <t xml:space="preserve"> Тонкие колготки Janet с ажурной стрелкой сбоку черный 2 РАЗМЕР</t>
  </si>
  <si>
    <t xml:space="preserve"> Колготы Hipsters Exclusive 20 den с ажурным поясом черный 2 РАЗМЕР</t>
  </si>
  <si>
    <t xml:space="preserve"> Колготы Hipsters Exclusive 20 den с ажурным поясом черный 4 РАЗМЕР</t>
  </si>
  <si>
    <t xml:space="preserve"> Колготы Hipsters Exclusive 20 den с ажурным поясом бежевый 4 РАЗМЕР</t>
  </si>
  <si>
    <t xml:space="preserve"> Колготы Hipsters Exclusive 20 den с ажурным поясом бежевый 3 РАЗМЕР</t>
  </si>
  <si>
    <t xml:space="preserve"> Колготы Hipsters Exclusive 20 den с ажурным поясом бежевый 2 РАЗМЕР</t>
  </si>
  <si>
    <t xml:space="preserve"> Колготы Hipsters Exclusive 20 den с ажурным поясом черный 3 РАЗМЕР</t>
  </si>
  <si>
    <t xml:space="preserve"> Колготки в сетку Kabarette Collant 151 черный 1-2 РАЗМЕР</t>
  </si>
  <si>
    <t xml:space="preserve"> Колготки в сетку Kabarette Collant 151 черный 3-4 РАЗМЕР</t>
  </si>
  <si>
    <t xml:space="preserve"> Колготы в сетку Kabarette Collant 153 черный 3-4 РАЗМЕР</t>
  </si>
  <si>
    <t xml:space="preserve"> Колготы в сетку Kabarette Collant 153 черный 1-2 РАЗМЕР</t>
  </si>
  <si>
    <t xml:space="preserve"> Колготы Axel с имитацией разрезов черный 3 РАЗМЕР</t>
  </si>
  <si>
    <t xml:space="preserve"> Колготы Axel с имитацией разрезов черный 4 РАЗМЕР</t>
  </si>
  <si>
    <t xml:space="preserve"> Колготы Axel с имитацией разрезов черный 2 РАЗМЕР</t>
  </si>
  <si>
    <t xml:space="preserve"> Колготы Fabia с имитацией чулок в горошек черный с серым 2 РАЗМЕР</t>
  </si>
  <si>
    <t xml:space="preserve"> Колготы Fabia с имитацией чулок в горошек черный с серым 4 РАЗМЕР</t>
  </si>
  <si>
    <t xml:space="preserve"> Колготы Fabia с имитацией чулок в горошек черный с серым 3 РАЗМЕР</t>
  </si>
  <si>
    <t xml:space="preserve"> Колготы Lopez с имитацией трусиков и чулок черный 3 РАЗМЕР</t>
  </si>
  <si>
    <t xml:space="preserve"> Колготы Lopez с имитацией трусиков и чулок черный 4 РАЗМЕР</t>
  </si>
  <si>
    <t xml:space="preserve"> Колготы Lopez с имитацией трусиков и чулок черный 2 РАЗМЕР</t>
  </si>
  <si>
    <t xml:space="preserve"> Колготы Paula с имитацией чулок черный с серым 4 РАЗМЕР</t>
  </si>
  <si>
    <t xml:space="preserve"> Колготы Paula с имитацией чулок черный с серым 2 РАЗМЕР</t>
  </si>
  <si>
    <t xml:space="preserve"> Колготы Paula с имитацией чулок черный с серым 3 РАЗМЕР</t>
  </si>
  <si>
    <t xml:space="preserve"> Фантазийные колготки Rumba с имитацией чулок черный 3 РАЗМЕР</t>
  </si>
  <si>
    <t xml:space="preserve"> Фантазийные колготки Rumba с имитацией чулок черный 4 РАЗМЕР</t>
  </si>
  <si>
    <t xml:space="preserve"> Фантазийные колготки Rumba с имитацией чулок черный 2 РАЗМЕР</t>
  </si>
  <si>
    <t xml:space="preserve"> Колготы Sofia с верхней частью в горошек черный 2 РАЗМЕР</t>
  </si>
  <si>
    <t xml:space="preserve"> Колготы Sofia с верхней частью в горошек черный 4 РАЗМЕР</t>
  </si>
  <si>
    <t xml:space="preserve"> Колготы Sofia с верхней частью в горошек черный 3 РАЗМЕР</t>
  </si>
  <si>
    <t xml:space="preserve"> Матовые колготки Rubensa Plus Size 20 den телесный 7 РАЗМЕР</t>
  </si>
  <si>
    <t xml:space="preserve"> Матовые колготки Rubensa Plus Size 20 den черный 7 РАЗМЕР</t>
  </si>
  <si>
    <t xml:space="preserve"> Матовые колготки Rubensa Plus Size 20 den телесный 6 РАЗМЕР</t>
  </si>
  <si>
    <t xml:space="preserve"> Матовые колготки Rubensa Plus Size 20 den черный 6 РАЗМЕР</t>
  </si>
  <si>
    <t xml:space="preserve"> Утягивающие в бедрах и талии колготки Comfort с кофейным экстрактом черный 5 РАЗМЕР</t>
  </si>
  <si>
    <t xml:space="preserve"> Утягивающие в бедрах и талии колготки Comfort с кофейным экстрактом черный 3 РАЗМЕР</t>
  </si>
  <si>
    <t xml:space="preserve"> Утягивающие в бедрах и талии колготки Comfort с кофейным экстрактом черный 4 РАЗМЕР</t>
  </si>
  <si>
    <t xml:space="preserve"> Утягивающие в бедрах и талии колготки Comfort с кофейным экстрактом черный 2 РАЗМЕР</t>
  </si>
  <si>
    <t xml:space="preserve"> Колготы Lucy с имитацией чулок с точками телесный 2 РАЗМЕР</t>
  </si>
  <si>
    <t xml:space="preserve"> Колготы Lucy с имитацией чулок с точками телесный 4 РАЗМЕР</t>
  </si>
  <si>
    <t xml:space="preserve"> Колготы Lucy с имитацией чулок с точками телесный 3 РАЗМЕР</t>
  </si>
  <si>
    <t xml:space="preserve"> Колготы Jess с «тату» в виде розочки на щиколотке телесный 3 РАЗМЕР</t>
  </si>
  <si>
    <t xml:space="preserve"> Колготы Jess с «тату» в виде розочки на щиколотке телесный 4 РАЗМЕР</t>
  </si>
  <si>
    <t xml:space="preserve"> Колготы Jess с «тату» в виде розочки на щиколотке телесный 2 РАЗМЕР</t>
  </si>
  <si>
    <t xml:space="preserve"> Фантазийные колготки Lilly с имитацией чулок и полосой сзади телесный 2 РАЗМЕР</t>
  </si>
  <si>
    <t xml:space="preserve"> Фантазийные колготки Lilly с имитацией чулок и полосой сзади черный 2 РАЗМЕР</t>
  </si>
  <si>
    <t xml:space="preserve"> Фантазийные колготки Lilly с имитацией чулок и полосой сзади телесный 4 РАЗМЕР</t>
  </si>
  <si>
    <t xml:space="preserve"> Фантазийные колготки Lilly с имитацией чулок и полосой сзади черный 4 РАЗМЕР</t>
  </si>
  <si>
    <t xml:space="preserve"> Фантазийные колготки Lilly с имитацией чулок и полосой сзади телесный 3 РАЗМЕР</t>
  </si>
  <si>
    <t xml:space="preserve"> Фантазийные колготки Lilly с имитацией чулок и полосой сзади черный 3 РАЗМЕР</t>
  </si>
  <si>
    <t xml:space="preserve"> Колготы Emma в полоску черный 3 РАЗМЕР</t>
  </si>
  <si>
    <t xml:space="preserve"> Колготы Emma в полоску черный 4 РАЗМЕР</t>
  </si>
  <si>
    <t xml:space="preserve"> Колготы Emma в полоску черный 2 РАЗМЕР</t>
  </si>
  <si>
    <t xml:space="preserve"> Тонкие колготы Nova с точками телесный 2 РАЗМЕР</t>
  </si>
  <si>
    <t xml:space="preserve"> Тонкие колготы Nova с точками телесный 4 РАЗМЕР</t>
  </si>
  <si>
    <t xml:space="preserve"> Тонкие колготы Nova с точками телесный 3 РАЗМЕР</t>
  </si>
  <si>
    <t xml:space="preserve"> Колготки с доступом Amanda черный 1-2 РАЗМЕР</t>
  </si>
  <si>
    <t xml:space="preserve"> Колготки с доступом Amanda черный 3-4 РАЗМЕР</t>
  </si>
  <si>
    <t xml:space="preserve"> Колготы Amanda с доступом черный 5-6 РАЗМЕР</t>
  </si>
  <si>
    <t xml:space="preserve"> Колготки Amira с доступом черный 3-4 РАЗМЕР</t>
  </si>
  <si>
    <t xml:space="preserve"> Колготки Amira с доступом черный 1-2 РАЗМЕР</t>
  </si>
  <si>
    <t xml:space="preserve"> Колготки Carmen с доступом и ажурными стрелками черный с красным 3-4 РАЗМЕР</t>
  </si>
  <si>
    <t xml:space="preserve"> Колготки Carmen с доступом и ажурными стрелками черный с красным 1-2 РАЗМЕР</t>
  </si>
  <si>
    <t xml:space="preserve"> Пикантные колготки Fiera с доступом и контрастными стрелками черный с красным 1-2 РАЗМЕР</t>
  </si>
  <si>
    <t xml:space="preserve"> Пикантные колготки Fiera с доступом и контрастными стрелками черный с красным 3-4 РАЗМЕР</t>
  </si>
  <si>
    <t xml:space="preserve"> Утягивающие в талии колготы Slimmer 17 den телесный 3 РАЗМЕР</t>
  </si>
  <si>
    <t xml:space="preserve"> Утягивающие в талии колготы Slimmer 17 den телесный 4 РАЗМЕР</t>
  </si>
  <si>
    <t xml:space="preserve"> Утягивающие в талии колготы Slimmer 17 den телесный 2 РАЗМЕР</t>
  </si>
  <si>
    <t xml:space="preserve"> Утягивающие в талии и бёдрах колготы Secret Shaper телесный 2 РАЗМЕР</t>
  </si>
  <si>
    <t xml:space="preserve"> Утягивающие в талии и бёдрах колготы Secret Shaper телесный 4 РАЗМЕР</t>
  </si>
  <si>
    <t xml:space="preserve"> Утягивающие в талии и бёдрах колготы Secret Shaper телесный 3 РАЗМЕР</t>
  </si>
  <si>
    <t xml:space="preserve"> Утягивающие в талии и бёдрах колготы Secret Shaper телесный 5 РАЗМЕР</t>
  </si>
  <si>
    <t xml:space="preserve"> Колготы Silvana с кружевным пояском и вырезами черный 3-4 РАЗМЕР</t>
  </si>
  <si>
    <t xml:space="preserve"> Колготы Silvana с кружевным пояском и вырезами черный 1-2 РАЗМЕР</t>
  </si>
  <si>
    <t xml:space="preserve"> Колготки с вырезами на ягодицах черный One Size</t>
  </si>
  <si>
    <t xml:space="preserve"> Колготки с интимными вырезами черный One Size</t>
  </si>
  <si>
    <t xml:space="preserve"> Оригинальные колготки с вырезами в верхней части и доступом черный One Size</t>
  </si>
  <si>
    <t xml:space="preserve"> Оригинальные колготки с вырезами в верхней части и доступом красный One Size</t>
  </si>
  <si>
    <t xml:space="preserve"> Оригинальные колготки с вырезами в верхней части и доступом белый One Size</t>
  </si>
  <si>
    <t xml:space="preserve"> Оригинальный колготки с открытыми бёдрами черный One Size-XL-XXL</t>
  </si>
  <si>
    <t xml:space="preserve"> Оригинальный колготки с открытыми бёдрами белый One Size-XL-XXL</t>
  </si>
  <si>
    <t xml:space="preserve"> Оригинальный колготки с открытыми бёдрами красный One Size-XL-XXL</t>
  </si>
  <si>
    <t xml:space="preserve"> Колготы в тонкую полоску с открытой верхней частью красный One Size-XL-XXL</t>
  </si>
  <si>
    <t xml:space="preserve"> Колготы в тонкую полоску с открытой верхней частью белый One Size-XL-XXL</t>
  </si>
  <si>
    <t xml:space="preserve"> Колготы в тонкую полоску с открытой верхней частью черный One Size-XL-XXL</t>
  </si>
  <si>
    <t xml:space="preserve"> Ажурные колготы с вырезами на бёдрах черный One Size-XL-XXL</t>
  </si>
  <si>
    <t xml:space="preserve"> Ажурные колготы с вырезами на бёдрах белый One Size-XL-XXL</t>
  </si>
  <si>
    <t xml:space="preserve"> Ажурные колготы с вырезами на бёдрах красный One Size-XL-XXL</t>
  </si>
  <si>
    <t xml:space="preserve"> Колготы с открытыми бёдрами и круглыми ячейками красный One Size-XL-XXL</t>
  </si>
  <si>
    <t xml:space="preserve"> Колготы с открытыми бёдрами и круглыми ячейками белый One Size-XL-XXL</t>
  </si>
  <si>
    <t xml:space="preserve"> Колготы с открытыми бёдрами и круглыми ячейками черный One Size-XL-XXL</t>
  </si>
  <si>
    <t xml:space="preserve"> Фантазийные колготы с интимным доступом черный One Size-XL-XXL</t>
  </si>
  <si>
    <t xml:space="preserve"> Фантазийные колготы с интимным доступом красный One Size-XL-XXL</t>
  </si>
  <si>
    <t xml:space="preserve"> Фантазийные колготы с интимным доступом белый One Size-XL-XXL</t>
  </si>
  <si>
    <t xml:space="preserve"> Фантазийные колготки с цветочным рисунком и имитацией шнуровки по бокам белый One Size-XL-XXL</t>
  </si>
  <si>
    <t xml:space="preserve"> Фантазийные колготки с цветочным рисунком и имитацией шнуровки по бокам красный One Size-XL-XXL</t>
  </si>
  <si>
    <t xml:space="preserve"> Фантазийные колготки с цветочным рисунком и имитацией шнуровки по бокам черный One Size-XL-XXL</t>
  </si>
  <si>
    <t xml:space="preserve"> Колготы с открытыми бёдрами и вырезами на коленях черный One Size-XL-XXL</t>
  </si>
  <si>
    <t xml:space="preserve"> Колготы с открытыми бёдрами и вырезами на коленях красный One Size-XL-XXL</t>
  </si>
  <si>
    <t xml:space="preserve"> Колготы с открытыми бёдрами и вырезами на коленях белый One Size-XL-XXL</t>
  </si>
  <si>
    <t xml:space="preserve"> Оригинальные колготы с геометрическим рисунком и вырезом белый One Size-XL-XXL</t>
  </si>
  <si>
    <t xml:space="preserve"> Оригинальные колготы с геометрическим рисунком и вырезом красный One Size-XL-XXL</t>
  </si>
  <si>
    <t xml:space="preserve"> Оригинальные колготы с геометрическим рисунком и вырезом черный One Size-XL-XXL</t>
  </si>
  <si>
    <t xml:space="preserve"> Утягивающие бёдра колготки Impress 15 den черный 3 РАЗМЕР</t>
  </si>
  <si>
    <t xml:space="preserve"> Утягивающие бёдра колготки Impress 15 den бежевый 3 РАЗМЕР</t>
  </si>
  <si>
    <t xml:space="preserve"> Утягивающие бёдра колготки Impress 15 den черный 4 РАЗМЕР</t>
  </si>
  <si>
    <t xml:space="preserve"> Утягивающие бёдра колготки Impress 15 den бежевый 4 РАЗМЕР</t>
  </si>
  <si>
    <t xml:space="preserve"> Утягивающие бёдра колготки Impress 15 den бежевый 2 РАЗМЕР</t>
  </si>
  <si>
    <t xml:space="preserve"> Утягивающие бёдра колготки Impress 15 den черный 2 РАЗМЕР</t>
  </si>
  <si>
    <t xml:space="preserve"> Утягивающие живот колготки High Shaper 20 den бежевый 4 РАЗМЕР</t>
  </si>
  <si>
    <t xml:space="preserve"> Утягивающие живот колготки High Shaper 20 den бежевый 3 РАЗМЕР</t>
  </si>
  <si>
    <t xml:space="preserve"> Утягивающие живот колготки High Shaper 20 den бежевый 2 РАЗМЕР</t>
  </si>
  <si>
    <t xml:space="preserve"> Тоненькие колготки Supreme 20 den с двойным добавлением лайкры бежевый 2 РАЗМЕР</t>
  </si>
  <si>
    <t xml:space="preserve"> Тоненькие колготки Supreme 20 den с двойным добавлением лайкры бежевый 3 РАЗМЕР</t>
  </si>
  <si>
    <t xml:space="preserve"> Тоненькие колготки Supreme 20 den с двойным добавлением лайкры бежевый 4 РАЗМЕР</t>
  </si>
  <si>
    <t xml:space="preserve"> Колготки Supreme 40 den с двойным добавлением лайкры черный 4 РАЗМЕР</t>
  </si>
  <si>
    <t xml:space="preserve"> Колготки Supreme 40 den с двойным добавлением лайкры черный 2 РАЗМЕР</t>
  </si>
  <si>
    <t xml:space="preserve"> Колготки Supreme 40 den с двойным добавлением лайкры черный 3 РАЗМЕР</t>
  </si>
  <si>
    <t xml:space="preserve"> Колготки с имитацией подвязок и доступом черный One Size-XL-XXL</t>
  </si>
  <si>
    <t xml:space="preserve"> Колготки с имитацией подвязок и доступом красный One Size-XL-XXL</t>
  </si>
  <si>
    <t xml:space="preserve"> Колготки с имитацией подвязок и доступом белый One Size-XL-XXL</t>
  </si>
  <si>
    <t xml:space="preserve"> Колготки с имитацией трусиков и чулок в сетку с узором белый One Size-XL-XXL</t>
  </si>
  <si>
    <t xml:space="preserve"> Колготки с имитацией трусиков и чулок в сетку с узором красный One Size-XL-XXL</t>
  </si>
  <si>
    <t xml:space="preserve"> Колготки с имитацией трусиков и чулок в сетку с узором черный One Size-XL-XXL</t>
  </si>
  <si>
    <t xml:space="preserve"> Фантазийные колготки с доступом и имитацией трусиков черный One Size-XL-XXL</t>
  </si>
  <si>
    <t xml:space="preserve"> Фантазийные колготки с доступом и имитацией трусиков красный One Size-XL-XXL</t>
  </si>
  <si>
    <t xml:space="preserve"> Фантазийные колготки с доступом и имитацией трусиков белый One Size-XL-XXL</t>
  </si>
  <si>
    <t xml:space="preserve"> Колготки с вырезами на бёдрах и зигзагами белый One Size-XL-XXL</t>
  </si>
  <si>
    <t xml:space="preserve"> Колготки с вырезами на бёдрах и зигзагами красный One Size-XL-XXL</t>
  </si>
  <si>
    <t xml:space="preserve"> Колготки с вырезами на бёдрах и зигзагами черный One Size-XL-XXL</t>
  </si>
  <si>
    <t xml:space="preserve"> Колготки с узором в виде веточек и интимным доступом красный One Size-XL-XXL</t>
  </si>
  <si>
    <t xml:space="preserve"> Колготки с узором в виде веточек и интимным доступом черный One Size-XL-XXL</t>
  </si>
  <si>
    <t xml:space="preserve"> Колготки с узором в виде веточек и интимным доступом белый One Size-XL-XXL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</si>
  <si>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Нейлоновые колготы Plus Size со стрелочками сзади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1X-2X-3X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</si>
  <si>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Колготы в крупную сетку DIAMOND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</si>
  <si>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колготы с доступом и цветочным узором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</si>
  <si>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колготы с доступом и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</si>
  <si>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колготы с доступом и цветочным узором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</si>
  <si>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колготы из сетки в полоску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</si>
  <si>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колготы из сетки в полоску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</si>
  <si>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колготы из сетки в полоску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</si>
  <si>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Колготки в сетку с имитацией трусиков и доступом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</si>
  <si>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Колготки в сетку с имитацией трусиков и доступом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</si>
  <si>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Колготки в сетку с имитацией трусиков и доступом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</si>
  <si>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Колготы с доступом и фигурными узорами в верхней части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</si>
  <si>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Колготы с доступом и фигурными узорами в верхней части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</si>
  <si>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Колготы с доступом и фигурными узорами в верхней части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Size-XL-XXL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</si>
  <si>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Плотные колготки с начесом Arctic 500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</si>
  <si>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Плотные колготки с начесом Arctic 500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</si>
  <si>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Плотные колготки с начесом Arctic 500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</si>
  <si>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Утягивающие колготки Comfort Matt 20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5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</si>
  <si>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Утягивающие колготки Comfort Matt 20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</si>
  <si>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Утягивающие колготки Comfort Matt 20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</si>
  <si>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Утягивающие колготки Comfort Matt 20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</si>
  <si>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Утягивающие и корректирующие силуэт колготки Medica Push Up 100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</si>
  <si>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Утягивающие и корректирующие силуэт колготки Medica Push Up 100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</si>
  <si>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Утягивающие и корректирующие силуэт колготки Medica Push Up 100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</si>
  <si>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Колготки для беременных Mamma 100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</si>
  <si>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Колготки для беременных Mamma 100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</si>
  <si>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Колготки для беременных Mamma 100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</si>
  <si>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Megan с ромбовидным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</si>
  <si>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Megan с ромбовидным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</si>
  <si>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Megan с ромбовидным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</si>
  <si>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Fiona с крупным цветочным узором </d:t>
    </d:r>
    <d:r xmlns:d="http://schemas.openxmlformats.org/spreadsheetml/2006/main">
      <d:rPr>
        <d:sz val="11"/>
        <d:color rgb="FF000000"/>
        <d:rFont val="Calibri"/>
      </d:rPr>
      <d:t>серый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</si>
  <si>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Fiona с крупным цветочным узором </d:t>
    </d:r>
    <d:r xmlns:d="http://schemas.openxmlformats.org/spreadsheetml/2006/main">
      <d:rPr>
        <d:sz val="11"/>
        <d:color rgb="FF000000"/>
        <d:rFont val="Calibri"/>
      </d:rPr>
      <d:t>серый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</si>
  <si>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Fiona с крупным цветочным узором </d:t>
    </d:r>
    <d:r xmlns:d="http://schemas.openxmlformats.org/spreadsheetml/2006/main">
      <d:rPr>
        <d:sz val="11"/>
        <d:color rgb="FF000000"/>
        <d:rFont val="Calibri"/>
      </d:rPr>
      <d:t>серый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</si>
  <si>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Tavia с принтом  елочка </d:t>
    </d:r>
    <d:r xmlns:d="http://schemas.openxmlformats.org/spreadsheetml/2006/main">
      <d:rPr>
        <d:sz val="11"/>
        <d:color rgb="FF000000"/>
        <d:rFont val="Calibri"/>
      </d:rPr>
      <d:t>серый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</si>
  <si>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Tavia с принтом  елочка </d:t>
    </d:r>
    <d:r xmlns:d="http://schemas.openxmlformats.org/spreadsheetml/2006/main">
      <d:rPr>
        <d:sz val="11"/>
        <d:color rgb="FF000000"/>
        <d:rFont val="Calibri"/>
      </d:rPr>
      <d:t>серый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</si>
  <si>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Tavia с принтом  елочка </d:t>
    </d:r>
    <d:r xmlns:d="http://schemas.openxmlformats.org/spreadsheetml/2006/main">
      <d:rPr>
        <d:sz val="11"/>
        <d:color rgb="FF000000"/>
        <d:rFont val="Calibri"/>
      </d:rPr>
      <d:t>серый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</si>
  <si>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Ellen с вензелями и точками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</si>
  <si>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Ellen с вензелями и точками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</si>
  <si>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Ellen с вензелями и точками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</si>
  <si>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Cheryl с имитацией чулок </d:t>
    </d:r>
    <d:r xmlns:d="http://schemas.openxmlformats.org/spreadsheetml/2006/main">
      <d:rPr>
        <d:sz val="11"/>
        <d:color rgb="FF000000"/>
        <d:rFont val="Calibri"/>
      </d:rPr>
      <d:t>черный с красным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</si>
  <si>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Cheryl с имитацией чулок </d:t>
    </d:r>
    <d:r xmlns:d="http://schemas.openxmlformats.org/spreadsheetml/2006/main">
      <d:rPr>
        <d:sz val="11"/>
        <d:color rgb="FF000000"/>
        <d:rFont val="Calibri"/>
      </d:rPr>
      <d:t>черный с красным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</si>
  <si>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Фантазийные колготки Cheryl с имитацией чулок </d:t>
    </d:r>
    <d:r xmlns:d="http://schemas.openxmlformats.org/spreadsheetml/2006/main">
      <d:rPr>
        <d:sz val="11"/>
        <d:color rgb="FF000000"/>
        <d:rFont val="Calibri"/>
      </d:rPr>
      <d:t>черный с красным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</si>
  <si>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t xml:space="preserve">    Комплекты</t>
  </si>
  <si>
    <t xml:space="preserve"> Комплект в крапинку с контрасным кружевом белый с черным M-L</t>
  </si>
  <si>
    <t xml:space="preserve"> Комплект «Зажигательные танцы» черный One Size</t>
  </si>
  <si>
    <t xml:space="preserve"> Комплект «Зажигательные танцы» красный One Size</t>
  </si>
  <si>
    <t xml:space="preserve"> Комплект «Зажигательные танцы» белый One Size</t>
  </si>
  <si>
    <t xml:space="preserve"> Комплект «Зажигательные танцы» зеленый One Size</t>
  </si>
  <si>
    <t xml:space="preserve"> Комплект «Зажигательные танцы» бирюзовый One Size</t>
  </si>
  <si>
    <t xml:space="preserve"> Комплект «Дорогой танец» ярко-розовый One Size</t>
  </si>
  <si>
    <t xml:space="preserve"> Комплект «Дорогой танец» бирюзовый One Size</t>
  </si>
  <si>
    <t xml:space="preserve"> Комплект «Дорогой танец» белый One Size</t>
  </si>
  <si>
    <t xml:space="preserve"> Комплект «Дорогой танец» черный One Size</t>
  </si>
  <si>
    <t xml:space="preserve"> Комплект: топ и трусики черный One Size</t>
  </si>
  <si>
    <t xml:space="preserve"> Комплект: топ и трусики красный One Size</t>
  </si>
  <si>
    <t xml:space="preserve"> Комплект: топ и трусики бирюзовый One Size</t>
  </si>
  <si>
    <t xml:space="preserve"> Комплект: топ и трусики нежно-розовый One Size</t>
  </si>
  <si>
    <t xml:space="preserve"> Сетевой комплект с рюшами в горошек черный с фиолетовым One Size</t>
  </si>
  <si>
    <t xml:space="preserve"> Сетевой комплект с рюшами в горошек белый с черным One Size</t>
  </si>
  <si>
    <t xml:space="preserve"> Сетевой комплект с рюшами в горошек белый с красным One Size</t>
  </si>
  <si>
    <t xml:space="preserve"> Розовый комплект: топ и юбка со шнуровкой розовый S-M</t>
  </si>
  <si>
    <t xml:space="preserve"> Розовый комплект: топ и юбка со шнуровкой розовый M-L</t>
  </si>
  <si>
    <t xml:space="preserve"> Кружевной набор белый One Size</t>
  </si>
  <si>
    <t xml:space="preserve"> Кружевной набор черный One Size</t>
  </si>
  <si>
    <t xml:space="preserve"> Комплект «Annie» черный S-M</t>
  </si>
  <si>
    <t xml:space="preserve"> Комплект «Annie» черный L-XL</t>
  </si>
  <si>
    <t xml:space="preserve"> Комплект из трёх предметов «Carisma Bikini» красный L-XL</t>
  </si>
  <si>
    <t xml:space="preserve"> Комплект из трёх предметов «Carisma Bikini» красный S-M</t>
  </si>
  <si>
    <t xml:space="preserve"> Комплект из трёх предметов «Carisma Bikini» красный XXL-XXXL</t>
  </si>
  <si>
    <t xml:space="preserve"> Комплект с вышивкой «Ginger» черный XXL-XXXL</t>
  </si>
  <si>
    <t xml:space="preserve"> Комплект с вышивкой «Ginger» черный S-M</t>
  </si>
  <si>
    <t xml:space="preserve"> Комплект с вышивкой «Ginger» черный L-XL</t>
  </si>
  <si>
    <t xml:space="preserve"> Кружевной комплект белья «Sonnet» с маленькими жёлтыми бантиками черный L-XL</t>
  </si>
  <si>
    <t xml:space="preserve"> Кружевной комплект белья «Sonnet» с маленькими жёлтыми бантиками черный S-M</t>
  </si>
  <si>
    <t xml:space="preserve"> Кружевной комплект белья «Sonnet» с маленькими жёлтыми бантиками черный XXL-XXXL</t>
  </si>
  <si>
    <t xml:space="preserve"> Комплект с открытой грудью «Aurelia» черный XXL-XXXL</t>
  </si>
  <si>
    <t xml:space="preserve"> Комплект с открытой грудью «Aurelia» кремовый XXL-XXXL</t>
  </si>
  <si>
    <t xml:space="preserve"> Комплект с открытой грудью «Aurelia» черный S-M</t>
  </si>
  <si>
    <t xml:space="preserve"> Комплект с открытой грудью «Aurelia» белый S-M</t>
  </si>
  <si>
    <t xml:space="preserve"> Комплект с открытой грудью «Aurelia» черный L-XL</t>
  </si>
  <si>
    <t xml:space="preserve"> Комплект с открытой грудью «Aurelia» белый L-XL</t>
  </si>
  <si>
    <t xml:space="preserve"> Комплект с открытой грудью «Beverly Set» черный L-XL</t>
  </si>
  <si>
    <t xml:space="preserve"> Комплект с открытой грудью «Beverly Set» черный S-M</t>
  </si>
  <si>
    <t xml:space="preserve"> Комплект с открытой грудью «Eden Set» голубой S-M</t>
  </si>
  <si>
    <t xml:space="preserve"> Комплект с открытой грудью «Eden Set» голубой L-XL</t>
  </si>
  <si>
    <t xml:space="preserve"> Комплект с полуоткрытой грудью «Nell» голубой L-XL</t>
  </si>
  <si>
    <t xml:space="preserve"> Комплект с полуоткрытой грудью «Nell» голубой S-M</t>
  </si>
  <si>
    <t xml:space="preserve"> Комплект с полуоткрытой грудью «Nell» голубой XXL-XXXL</t>
  </si>
  <si>
    <t xml:space="preserve"> Ажурный комплект белья «Florie» S-M</t>
  </si>
  <si>
    <t xml:space="preserve"> Ажурный комплект белья «Florie» M-L</t>
  </si>
  <si>
    <t xml:space="preserve"> Комплект «Polly» черный S-M</t>
  </si>
  <si>
    <t xml:space="preserve"> Комплект «Polly» черный L-XL</t>
  </si>
  <si>
    <t xml:space="preserve"> Комплект «Polly» черный XXL-XXXL</t>
  </si>
  <si>
    <t xml:space="preserve"> Комплект с открытой грудью «Beverly» черный XXL-XXXL</t>
  </si>
  <si>
    <t xml:space="preserve"> Кружевной набор черный XXXL</t>
  </si>
  <si>
    <t xml:space="preserve"> Кружевной набор черный XL</t>
  </si>
  <si>
    <t xml:space="preserve"> Кружевной набор черный XXL</t>
  </si>
  <si>
    <t xml:space="preserve"> Комплект в горошек «Channel» черный с белым L-XL</t>
  </si>
  <si>
    <t xml:space="preserve"> Комплект в горошек «Channel» черный с белым S-M</t>
  </si>
  <si>
    <t xml:space="preserve"> Комплект «Florence» серый S-M</t>
  </si>
  <si>
    <t xml:space="preserve"> Комплект «Florence» серый L-XL</t>
  </si>
  <si>
    <t xml:space="preserve"> Леопардовый комплект «Kofi» леопард L-XL</t>
  </si>
  <si>
    <t xml:space="preserve"> Леопардовый комплект «Kofi» леопард S-M</t>
  </si>
  <si>
    <t xml:space="preserve"> Комплект «Mocca» серый S-M</t>
  </si>
  <si>
    <t xml:space="preserve"> Комплект «Mocca» серый L-XL</t>
  </si>
  <si>
    <t xml:space="preserve"> Комплект с кружевом «Anigue» черный S-M</t>
  </si>
  <si>
    <t xml:space="preserve"> Комплект с кружевом «Anigue» черный M-L</t>
  </si>
  <si>
    <t xml:space="preserve"> Комплект «Britney» с окошками на лифе белый с голубым M-L</t>
  </si>
  <si>
    <t xml:space="preserve"> Комплект «Britney» с окошками на лифе белый с голубым S-M</t>
  </si>
  <si>
    <t xml:space="preserve"> Комплект из 3 предметов черный XL</t>
  </si>
  <si>
    <t xml:space="preserve"> Комплект из 3 предметов черный S</t>
  </si>
  <si>
    <t xml:space="preserve"> Комплект из 3 предметов черный L</t>
  </si>
  <si>
    <t xml:space="preserve"> Комплект из 3 предметов черный M</t>
  </si>
  <si>
    <t xml:space="preserve"> Комплект со шнуровками черный M</t>
  </si>
  <si>
    <t xml:space="preserve"> Комплект со шнуровками черный S</t>
  </si>
  <si>
    <t xml:space="preserve"> Комплект со шнуровками черный XL</t>
  </si>
  <si>
    <t xml:space="preserve"> Комплект из сетки черный One Size</t>
  </si>
  <si>
    <t xml:space="preserve"> Армейский костюм зеленый камуфляж One Size</t>
  </si>
  <si>
    <t xml:space="preserve"> Комплект «Essence» красный S-M</t>
  </si>
  <si>
    <t xml:space="preserve"> Комплект «Essence» красный L-XL</t>
  </si>
  <si>
    <t xml:space="preserve"> Комплект атласного белого белья «Mirabelle» белый с черным S-M</t>
  </si>
  <si>
    <t xml:space="preserve"> Комплект атласного белого белья «Mirabelle» белый с черным M-L</t>
  </si>
  <si>
    <t xml:space="preserve"> Комплект «Ashley» фиолетовый L-XL</t>
  </si>
  <si>
    <t xml:space="preserve"> Комплект «Ashley» фиолетовый S-M</t>
  </si>
  <si>
    <t xml:space="preserve"> Комплект «Ashley» фиолетовый XXL-XXXL</t>
  </si>
  <si>
    <t xml:space="preserve"> Чувственный комплект белья «Violence» лиловый M-L</t>
  </si>
  <si>
    <t xml:space="preserve"> Чувственный комплект белья «Violence» лиловый S-M</t>
  </si>
  <si>
    <t xml:space="preserve"> Нежно-розовый комплект «Lolita» розовый с черным S-M</t>
  </si>
  <si>
    <t xml:space="preserve"> Нежно-розовый комплект «Lolita» розовый с черным M-L</t>
  </si>
  <si>
    <t xml:space="preserve"> Атласный комплект «Margo» черный с розовым M-L</t>
  </si>
  <si>
    <t xml:space="preserve"> Атласный комплект «Margo» черный с розовым S-M</t>
  </si>
  <si>
    <t xml:space="preserve"> Сетчатый комплект: топ с рукавами и трусики оранжевый One Size</t>
  </si>
  <si>
    <t xml:space="preserve"> Сетчатый комплект: топ с рукавами и трусики зеленый One Size</t>
  </si>
  <si>
    <t xml:space="preserve"> Розовый комплект: топ с пажами и трусики розовый One Size</t>
  </si>
  <si>
    <t xml:space="preserve"> Комплект »MIDNIGHT MESH» черный M-L</t>
  </si>
  <si>
    <t xml:space="preserve"> Комплект »MIDNIGHT MESH» черный S-M</t>
  </si>
  <si>
    <t xml:space="preserve"> Кружевной комплект с розовым сатином черный с розовым M-L</t>
  </si>
  <si>
    <t xml:space="preserve"> Комплект с цепочками черный One Size</t>
  </si>
  <si>
    <t xml:space="preserve"> Сетчатый топ-туба  и трусики на завязочках черный One Size</t>
  </si>
  <si>
    <t xml:space="preserve"> Сетчатый комплект ХХХ черный One Size</t>
  </si>
  <si>
    <t xml:space="preserve"> Лиф и трусики с узором в виде мелких сердец черный One Size</t>
  </si>
  <si>
    <t xml:space="preserve"> Комплект «Sweet Kiss» нежно-розовый One Size</t>
  </si>
  <si>
    <t xml:space="preserve"> Соблазнительный комплект черный One Size</t>
  </si>
  <si>
    <t xml:space="preserve"> Знойный комплект «Safari» леопард One Size</t>
  </si>
  <si>
    <t xml:space="preserve"> Комплект из открытого лифа и стрингов с кокетливой шнуровкой сзади розовый One Size</t>
  </si>
  <si>
    <t xml:space="preserve"> Комплект из открытого лифа и стрингов с кокетливой шнуровкой сзади черный One Size</t>
  </si>
  <si>
    <t xml:space="preserve"> Ажурный лиф и мини-юбочка розовый One Size</t>
  </si>
  <si>
    <t xml:space="preserve"> Ажурный лиф и мини-юбочка черный One Size</t>
  </si>
  <si>
    <t xml:space="preserve"> Лиф и трусики с яркой декоративной шнуровкой черный One Size</t>
  </si>
  <si>
    <t xml:space="preserve"> Сверкающий комплект нижнего белья «Sexy Shine» черный S</t>
  </si>
  <si>
    <t xml:space="preserve"> Сверкающий комплект нижнего белья «Sexy Shine» черный M</t>
  </si>
  <si>
    <t xml:space="preserve"> Сверкающий комплект нижнего белья «Sexy Shine» черный L</t>
  </si>
  <si>
    <t xml:space="preserve"> Кружевной комплект с рюшами красный M-L</t>
  </si>
  <si>
    <t xml:space="preserve"> Кружевной комплект с рюшами мятный S-M</t>
  </si>
  <si>
    <t xml:space="preserve"> Кружевной комплект с рюшами красный S-M</t>
  </si>
  <si>
    <t xml:space="preserve"> Леопардовый лиф и трусики с пайетками леопард S</t>
  </si>
  <si>
    <t xml:space="preserve"> Леопардовый лиф и трусики с пайетками леопард M</t>
  </si>
  <si>
    <t xml:space="preserve"> Леопардовый лиф и трусики с пайетками леопард L</t>
  </si>
  <si>
    <t xml:space="preserve"> Бодисьют черного цвета черный One Size</t>
  </si>
  <si>
    <t xml:space="preserve"> Лиф и юбочка из блестящей ткани черный с розовым One Size</t>
  </si>
  <si>
    <t xml:space="preserve"> Блестящий лиф и трусики с пояском черный с розовым One Size</t>
  </si>
  <si>
    <t xml:space="preserve"> Комплект с перекрестной шнуровкой черный с розовым One Size</t>
  </si>
  <si>
    <t xml:space="preserve"> Кружевной топ с подвязками для чулок и трусики красный One Size</t>
  </si>
  <si>
    <t xml:space="preserve"> Кружевной топ с подвязками для чулок и трусики розовый One Size</t>
  </si>
  <si>
    <t xml:space="preserve"> Кружевной топ с подвязками для чулок и трусики черный One Size</t>
  </si>
  <si>
    <t xml:space="preserve"> Комплект с леопардовым принтом леопард One Size</t>
  </si>
  <si>
    <t xml:space="preserve"> Пижамный комплект из маечки и шортиков синий M</t>
  </si>
  <si>
    <t xml:space="preserve"> Пижамный комплект из маечки и шортиков нежно-розовый M</t>
  </si>
  <si>
    <t xml:space="preserve"> Пижамный комплект из маечки и шортиков черный S</t>
  </si>
  <si>
    <t xml:space="preserve"> Пижамный комплект из маечки и шортиков фиолетовый M</t>
  </si>
  <si>
    <t xml:space="preserve"> Пижамный комплект из маечки и шортиков черный M</t>
  </si>
  <si>
    <t xml:space="preserve"> Пижамный комплект из маечки и шортиков черный XL</t>
  </si>
  <si>
    <t xml:space="preserve"> Пижамный комплект из маечки и шортиков фиолетовый XL</t>
  </si>
  <si>
    <t xml:space="preserve"> Пижамный комплект из маечки и шортиков синий XL</t>
  </si>
  <si>
    <t xml:space="preserve"> Пижамный комплект из маечки и шортиков нежно-розовый XL</t>
  </si>
  <si>
    <t xml:space="preserve"> Пижамный комплект из маечки и шортиков черный L</t>
  </si>
  <si>
    <t xml:space="preserve"> Пижамный комплект из маечки и шортиков синий S</t>
  </si>
  <si>
    <t xml:space="preserve"> Пижамный комплект из маечки и шортиков нежно-розовый L</t>
  </si>
  <si>
    <t xml:space="preserve"> Пижамный комплект из маечки и шортиков синий L</t>
  </si>
  <si>
    <t xml:space="preserve"> Пижамный комплект из маечки и шортиков фиолетовый L</t>
  </si>
  <si>
    <t xml:space="preserve"> Пижамный комплект из маечки и шортиков фиолетовый S</t>
  </si>
  <si>
    <t xml:space="preserve"> Кружевной топ с глубоким вырезом розовый 1X-2X</t>
  </si>
  <si>
    <t xml:space="preserve"> Кружевной топ с глубоким вырезом красный 1X-2X</t>
  </si>
  <si>
    <t xml:space="preserve"> Кружевной топ с глубоким вырезом черный 1X-2X</t>
  </si>
  <si>
    <t xml:space="preserve"> Комплект белья «Intensa» черный L-XL</t>
  </si>
  <si>
    <t xml:space="preserve"> Комплект белья «Intensa» черный S-M</t>
  </si>
  <si>
    <t xml:space="preserve"> Леопардовые топ-маечка и шортики леопард 1X-2X</t>
  </si>
  <si>
    <t xml:space="preserve"> Кружевной комплект с лентой-маской на глаза синий One Size</t>
  </si>
  <si>
    <t xml:space="preserve"> Полупрозрачный комплект «Libby» с бантиками черный S-M</t>
  </si>
  <si>
    <t xml:space="preserve"> Полупрозрачный комплект «Libby» с бантиками черный L-XL</t>
  </si>
  <si>
    <t xml:space="preserve"> Комплект «Rayen» с кружевами и широким поясом для чулок черный L-XL</t>
  </si>
  <si>
    <t xml:space="preserve"> Комплект «Rayen» с кружевами и широким поясом для чулок красный L-XL</t>
  </si>
  <si>
    <t xml:space="preserve"> Комплект «Rayen» с кружевами и широким поясом для чулок черный S-M</t>
  </si>
  <si>
    <t xml:space="preserve"> Комплект «Rayen» с кружевами и широким поясом для чулок красный S-M</t>
  </si>
  <si>
    <t xml:space="preserve"> Комплект «Sonya» с металлическими вставками белый M</t>
  </si>
  <si>
    <t xml:space="preserve"> Комплект «Sonya» с металлическими вставками белый L</t>
  </si>
  <si>
    <t xml:space="preserve"> Комплект «Sonya» с металлическими вставками белый S</t>
  </si>
  <si>
    <t xml:space="preserve"> Комплект «Sonya» с металлическими вставками белый XL</t>
  </si>
  <si>
    <t xml:space="preserve"> Комплект «Gina» из трусиков и лифа с открытыми чашечками черный с белым XL</t>
  </si>
  <si>
    <t xml:space="preserve"> Комплект «Gina» из трусиков и лифа с открытыми чашечками черный с белым L</t>
  </si>
  <si>
    <t xml:space="preserve"> Комплект «Gina» из трусиков и лифа с открытыми чашечками черный с белым S</t>
  </si>
  <si>
    <t xml:space="preserve"> Комплект «Gina» из трусиков и лифа с открытыми чашечками черный с белым M</t>
  </si>
  <si>
    <t xml:space="preserve"> Комплект из трех предметов «Empressia» черный S-M</t>
  </si>
  <si>
    <t xml:space="preserve"> Комплект из трех предметов «Empressia» черный L-XL</t>
  </si>
  <si>
    <t xml:space="preserve"> Комплект в стиле бурлеск «Roxana» черный S-M</t>
  </si>
  <si>
    <t xml:space="preserve"> Комплект в стиле бурлеск «Roxana» черный M-L</t>
  </si>
  <si>
    <t xml:space="preserve"> Комплект из 4 предметов черный One Size</t>
  </si>
  <si>
    <t xml:space="preserve"> Комлект из 3 предметов черный One Size</t>
  </si>
  <si>
    <t xml:space="preserve"> Комплект белья Lora из эластичных лент черный One Size</t>
  </si>
  <si>
    <t xml:space="preserve"> Комплект белья «Соло» из эластичных лент черный One Size</t>
  </si>
  <si>
    <t xml:space="preserve"> Комплект «Марлен» с цветочным узором черный M-L</t>
  </si>
  <si>
    <t xml:space="preserve"> Комплект «Марлен» с цветочным узором белый M-L</t>
  </si>
  <si>
    <t xml:space="preserve"> Комплект «Марлен» с цветочным узором черный S-M</t>
  </si>
  <si>
    <t xml:space="preserve"> Комплект «Марлен» с цветочным узором белый S-M</t>
  </si>
  <si>
    <t xml:space="preserve"> Игривый комплект белья с бантом на лифе красный S-M</t>
  </si>
  <si>
    <t xml:space="preserve"> Игривый комплект белья с бантом на лифе красный L-XL</t>
  </si>
  <si>
    <t xml:space="preserve"> Комплект ажурного женского белья «Evette» бирюзовый S-M</t>
  </si>
  <si>
    <t xml:space="preserve"> Комплект ажурного женского белья «Evette» бирюзовый M-L</t>
  </si>
  <si>
    <t xml:space="preserve"> Леопардовый комплект белья «Kora» черный с леопардовым M-L</t>
  </si>
  <si>
    <t xml:space="preserve"> Леопардовый комплект белья «Kora» черный с леопардовым S-M</t>
  </si>
  <si>
    <t xml:space="preserve"> Яркий ажурный кружевной комплект нижнего белья «Malena» розовый S-M</t>
  </si>
  <si>
    <t xml:space="preserve"> Яркий ажурный кружевной комплект нижнего белья «Malena» розовый M-L</t>
  </si>
  <si>
    <t xml:space="preserve"> Комплект нижнего белья «Sharon» с нежно розовым ажурным дополнением M-L</t>
  </si>
  <si>
    <t xml:space="preserve"> Комплект нижнего белья «Sharon» с нежно розовым ажурным дополнением S-M</t>
  </si>
  <si>
    <t xml:space="preserve"> Комплект белья «Eveline» небесного цвета голубой M-L</t>
  </si>
  <si>
    <t xml:space="preserve"> Комплект белья «Eveline» небесного цвета голубой S-M</t>
  </si>
  <si>
    <t xml:space="preserve"> Комплект нижнего белья «Lolita» розовый с черным S-M</t>
  </si>
  <si>
    <t xml:space="preserve"> Комплект нижнего белья «Lolita» розовый с черным M-L</t>
  </si>
  <si>
    <t xml:space="preserve"> Двухцветный комплект белья «Danny» персиковый S-M</t>
  </si>
  <si>
    <t xml:space="preserve"> Двухцветный комплект белья «Danny» персиковый L-XL</t>
  </si>
  <si>
    <t xml:space="preserve"> Ажурный комплект белья «Jessie» из 3 предметов черный L-XL</t>
  </si>
  <si>
    <t xml:space="preserve"> Ажурный комплект белья «Jessie» из 3 предметов черный S-M</t>
  </si>
  <si>
    <t xml:space="preserve"> Ажурный комплект «Keith» черный S-M</t>
  </si>
  <si>
    <t xml:space="preserve"> Ажурный комплект «Keith» черный L-XL</t>
  </si>
  <si>
    <t xml:space="preserve"> Комплект «Celia» с прозрачными вставками черный S-M</t>
  </si>
  <si>
    <t xml:space="preserve"> Комплект «Celia» с прозрачными вставками красный с черным S-M</t>
  </si>
  <si>
    <t xml:space="preserve"> Комплект «Celia» с прозрачными вставками черный L-XL</t>
  </si>
  <si>
    <t xml:space="preserve"> Комплект «Celia» с прозрачными вставками красный с черным L-XL</t>
  </si>
  <si>
    <t xml:space="preserve"> Полупрозрачный топ Mysterious с кружевным верхом и стринги черный L</t>
  </si>
  <si>
    <t xml:space="preserve"> Полупрозрачный топ Mysterious с кружевным верхом и стринги черный S</t>
  </si>
  <si>
    <t xml:space="preserve"> Полупрозрачный топ Mysterious с кружевным верхом и стринги черный M</t>
  </si>
  <si>
    <t xml:space="preserve"> Топ с американской проймой Spice Up и подвеской-кристаллом и стринги черный M</t>
  </si>
  <si>
    <t xml:space="preserve"> Топ с американской проймой Spice Up и подвеской-кристаллом и стринги черный S</t>
  </si>
  <si>
    <t xml:space="preserve"> Топ с американской проймой Spice Up и подвеской-кристаллом и стринги черный L</t>
  </si>
  <si>
    <t xml:space="preserve"> Кружевной комплект «Eliza» из трёх предметов белый M-L</t>
  </si>
  <si>
    <t xml:space="preserve"> Кружевной комплект «Eliza» из трёх предметов черный M-L</t>
  </si>
  <si>
    <t xml:space="preserve"> Кружевной комплект «Eliza» из трёх предметов черный S-M</t>
  </si>
  <si>
    <t xml:space="preserve"> Кружевной комплект «Eliza» из трёх предметов белый S-M</t>
  </si>
  <si>
    <t xml:space="preserve"> Комплект белья «Harriet» из 3 предметов черный L-XL</t>
  </si>
  <si>
    <t xml:space="preserve"> Комплект белья «Harriet» из 3 предметов черный S-M</t>
  </si>
  <si>
    <t xml:space="preserve"> Ажурные перчатки-митенки с оборками и трусики-стринги черный S-M</t>
  </si>
  <si>
    <t xml:space="preserve"> Ажурные перчатки-митенки с оборками и трусики-стринги черный M-L</t>
  </si>
  <si>
    <t xml:space="preserve"> Ажурные перчатки-митенки с оборками и трусики-стринги белый M-L</t>
  </si>
  <si>
    <t xml:space="preserve"> Ажурные перчатки-митенки с оборками и трусики-стринги белый S-M</t>
  </si>
  <si>
    <t xml:space="preserve"> Пикантный комплект: укороченный топ и мини-юбка черный S</t>
  </si>
  <si>
    <t xml:space="preserve"> Пикантный комплект: укороченный топ и мини-юбка черный M</t>
  </si>
  <si>
    <t xml:space="preserve"> Игривый комплект в полоску красный с белым One Size</t>
  </si>
  <si>
    <t xml:space="preserve"> Соблазнительный комплект с кружевом черный с бежевым One Size</t>
  </si>
  <si>
    <t xml:space="preserve"> Изысканный комплект белья Zahara черный S-M</t>
  </si>
  <si>
    <t xml:space="preserve"> Элегантный комплект белья Kalia из 3 предметов черный S-M</t>
  </si>
  <si>
    <t xml:space="preserve"> Чувственный комплект белья Creda из 3 предметов кремовый S-M</t>
  </si>
  <si>
    <t xml:space="preserve"> Чувственный комплект белья Creda из 3 предметов кремовый L-XL</t>
  </si>
  <si>
    <t xml:space="preserve"> Серебристый комплект Avena: топ и трусики серебро S-M</t>
  </si>
  <si>
    <t xml:space="preserve"> Сатиновый комплект белья со вставками из кружева  в горошек розовый с черным L</t>
  </si>
  <si>
    <t xml:space="preserve"> Сатиновый комплект белья со вставками из кружева  в горошек розовый с черным S</t>
  </si>
  <si>
    <t xml:space="preserve"> Сатиновый комплект белья со вставками из кружева  в горошек розовый с черным M</t>
  </si>
  <si>
    <t xml:space="preserve"> Кружевной комплект женского белья черный M</t>
  </si>
  <si>
    <t xml:space="preserve"> Кружевной комплект женского белья черный S</t>
  </si>
  <si>
    <t xml:space="preserve"> Кружевной комплект женского белья черный L</t>
  </si>
  <si>
    <t xml:space="preserve"> Комплект «Veronique 2» с цепочками черный L-XL</t>
  </si>
  <si>
    <t xml:space="preserve"> Комплект «Veronique 2» с цепочками черный S-M</t>
  </si>
  <si>
    <t xml:space="preserve"> Комплект белья Nika с цепями черный S-M</t>
  </si>
  <si>
    <t xml:space="preserve"> Комплект белья Nika с цепями черный L-XL</t>
  </si>
  <si>
    <t xml:space="preserve"> Комплект «Salome» с корсажем из цепей черный S-M</t>
  </si>
  <si>
    <t xml:space="preserve"> Дерзкий комплект «Anita» с майкой и шортами черный S-M</t>
  </si>
  <si>
    <t xml:space="preserve"> Комплект «Amanda» с узенькими вставками сетки черный S</t>
  </si>
  <si>
    <t xml:space="preserve"> Комплект «Amanda» с узенькими вставками сетки черный L</t>
  </si>
  <si>
    <t xml:space="preserve"> Комплект «Amanda» с узенькими вставками сетки черный XL</t>
  </si>
  <si>
    <t xml:space="preserve"> Комплект «Amanda» с узенькими вставками сетки черный M</t>
  </si>
  <si>
    <t xml:space="preserve"> Сетчатый комплект «Sandra» черный M</t>
  </si>
  <si>
    <t xml:space="preserve"> Сетчатый комплект «Sandra» черный S</t>
  </si>
  <si>
    <t xml:space="preserve"> Комплект белья «Karen» с пикантным вырезом между ножек белый M</t>
  </si>
  <si>
    <t xml:space="preserve"> Комплект белья «Karen» с пикантным вырезом между ножек красный M</t>
  </si>
  <si>
    <t xml:space="preserve"> Комплект белья «Karen» с пикантным вырезом между ножек черный M</t>
  </si>
  <si>
    <t xml:space="preserve"> Комплект белья «Karen» с пикантным вырезом между ножек черный L</t>
  </si>
  <si>
    <t xml:space="preserve"> Комплект белья «Karen» с пикантным вырезом между ножек белый S</t>
  </si>
  <si>
    <t xml:space="preserve"> Комплект белья «Karen» с пикантным вырезом между ножек красный S</t>
  </si>
  <si>
    <t xml:space="preserve"> Комплект белья «Karen» с пикантным вырезом между ножек черный S</t>
  </si>
  <si>
    <t xml:space="preserve"> Кружевной комплект белья «Oliwia» черный S</t>
  </si>
  <si>
    <t xml:space="preserve"> Кружевной комплект белья «Oliwia» черный L</t>
  </si>
  <si>
    <t xml:space="preserve"> Кружевной комплект белья «Oliwia» черный M</t>
  </si>
  <si>
    <t xml:space="preserve"> Кружевной комплект белья «Stella» красный M</t>
  </si>
  <si>
    <t xml:space="preserve"> Кружевной комплект белья «Stella» черный M</t>
  </si>
  <si>
    <t xml:space="preserve"> Кружевной комплект белья «Stella» красный S</t>
  </si>
  <si>
    <t xml:space="preserve"> Кружевной комплект белья «Stella» белый S</t>
  </si>
  <si>
    <t xml:space="preserve"> Кружевной комплект белья «Stella» черный S</t>
  </si>
  <si>
    <t xml:space="preserve"> Кружевной комплект белья «Stella» черный L</t>
  </si>
  <si>
    <t xml:space="preserve"> Комплект белья «Sarah» с поясом для чулок черный L</t>
  </si>
  <si>
    <t xml:space="preserve"> Комплект белья «Sarah» с поясом для чулок черный S</t>
  </si>
  <si>
    <t xml:space="preserve"> Комплект белья «Sarah» с поясом для чулок черный M</t>
  </si>
  <si>
    <t xml:space="preserve"> Кружевной комплект белья «Blanka» с высоким поясом черный L</t>
  </si>
  <si>
    <t xml:space="preserve"> Кружевной комплект белья «Blanka» с высоким поясом белый L</t>
  </si>
  <si>
    <t xml:space="preserve"> Кружевной комплект белья «Blanka» с высоким поясом черный S</t>
  </si>
  <si>
    <t xml:space="preserve"> Кружевной комплект белья «Blanka» с высоким поясом белый S</t>
  </si>
  <si>
    <t xml:space="preserve"> Кружевной комплект белья «Blanka» с высоким поясом красный S</t>
  </si>
  <si>
    <t xml:space="preserve"> Изысканный кружевной комплект «Iga» с поясом черный M</t>
  </si>
  <si>
    <t xml:space="preserve"> Изысканный кружевной комплект «Iga» с поясом красный M</t>
  </si>
  <si>
    <t xml:space="preserve"> Изысканный кружевной комплект «Iga» с поясом черный S</t>
  </si>
  <si>
    <t xml:space="preserve"> Изысканный кружевной комплект «Iga» с поясом белый S</t>
  </si>
  <si>
    <t xml:space="preserve"> Изысканный кружевной комплект «Iga» с поясом красный S</t>
  </si>
  <si>
    <t xml:space="preserve"> Изысканный кружевной комплект «Iga» с поясом черный L</t>
  </si>
  <si>
    <t xml:space="preserve"> Откровенный комплект белья из сетки «Noemi» черный M</t>
  </si>
  <si>
    <t xml:space="preserve"> Откровенный комплект белья из сетки «Noemi» черный S</t>
  </si>
  <si>
    <t xml:space="preserve"> Комплект в сетку «Doris» из трёх предметов черный S</t>
  </si>
  <si>
    <t xml:space="preserve"> Комплект в сетку «Doris» из трёх предметов черный M</t>
  </si>
  <si>
    <t xml:space="preserve"> Эластичный комплект белья «Красотка» черный One Size</t>
  </si>
  <si>
    <t xml:space="preserve"> Комплект белья «Candice» из 3 предметов черный M</t>
  </si>
  <si>
    <t xml:space="preserve"> Комплект белья «Candice» из 3 предметов черный S</t>
  </si>
  <si>
    <t xml:space="preserve"> Комплект белья «Candice» из 3 предметов черный L</t>
  </si>
  <si>
    <t xml:space="preserve"> Комплект белья «Clarisse» из 3 предметов черный L</t>
  </si>
  <si>
    <t xml:space="preserve"> Комплект белья «Clarisse» из 3 предметов черный S</t>
  </si>
  <si>
    <t xml:space="preserve"> Комплект белья «Clarisse» из 3 предметов черный M</t>
  </si>
  <si>
    <t xml:space="preserve"> Чувственный комплект белья Liliane черный M</t>
  </si>
  <si>
    <t xml:space="preserve"> Чувственный комплект белья Liliane черный S</t>
  </si>
  <si>
    <t xml:space="preserve"> Игривый ажурный комплект «Sabine» розовый S</t>
  </si>
  <si>
    <t xml:space="preserve"> Игривый ажурный комплект «Sabine» красный S</t>
  </si>
  <si>
    <t xml:space="preserve"> Комплект Salome Premium с корсажем из цепей черный S-M</t>
  </si>
  <si>
    <t xml:space="preserve"> Изысканный кружевной комплект Iga Premium с поясом и чулками черный S</t>
  </si>
  <si>
    <t xml:space="preserve"> Изысканный кружевной комплект Iga Premium с поясом и чулками белый S</t>
  </si>
  <si>
    <t xml:space="preserve"> Комплект «Amanda Premium» с узкими вставками сетки и чулками черный M</t>
  </si>
  <si>
    <t xml:space="preserve"> Комплект «Amanda Premium» с узкими вставками сетки и чулками черный S</t>
  </si>
  <si>
    <t xml:space="preserve"> Роскошный комплект Calixte Premium черный S</t>
  </si>
  <si>
    <t xml:space="preserve"> Нежный кружевной комплект белья Brigitte голубой M</t>
  </si>
  <si>
    <t xml:space="preserve"> Нежный кружевной комплект белья Brigitte красный S</t>
  </si>
  <si>
    <t xml:space="preserve"> Комплект белья «Sophie» красный S</t>
  </si>
  <si>
    <t xml:space="preserve"> Комплект белья «Sophie» голубой S</t>
  </si>
  <si>
    <t xml:space="preserve"> Комплект белья «Sophie» розовый S</t>
  </si>
  <si>
    <t xml:space="preserve"> Комплект белья «Sophie» голубой M</t>
  </si>
  <si>
    <t xml:space="preserve"> Комплект белья Loretta с сетчатыми рюшами черный L-XL</t>
  </si>
  <si>
    <t xml:space="preserve"> Комплект белья Loretta с сетчатыми рюшами черный S-M</t>
  </si>
  <si>
    <t xml:space="preserve"> Атласный комплект белья «Irma» с кружевными вставками фиолетовый S-M</t>
  </si>
  <si>
    <t xml:space="preserve"> Атласный комплект белья «Irma» с кружевными вставками фиолетовый L-XL</t>
  </si>
  <si>
    <t xml:space="preserve"> Комплект белья Isabelle: лиф и юбка белый с черным S-M</t>
  </si>
  <si>
    <t xml:space="preserve"> Комплект белья Isabelle: лиф и юбка белый с черным M-L</t>
  </si>
  <si>
    <t xml:space="preserve"> Чарующий комплект белья с открытой грудью «Aurelia» черный XXL-XXXL</t>
  </si>
  <si>
    <t xml:space="preserve"> Чарующий комплект белья с открытой грудью «Aurelia» кремовый XXL-XXXL</t>
  </si>
  <si>
    <t xml:space="preserve"> Элегантный комплект нижнего белья «Kisselent» с кружевом черный S-M</t>
  </si>
  <si>
    <t xml:space="preserve"> Элегантный комплект нижнего белья «Kisselent» с кружевом черный L-XL</t>
  </si>
  <si>
    <t xml:space="preserve"> Эффектный комплект из сетки в горошек черный One Size</t>
  </si>
  <si>
    <t xml:space="preserve"> Комплект из сетки: лиф-бандо и юбочка черный One Size</t>
  </si>
  <si>
    <t xml:space="preserve"> Чувственный комплект Miamor из двух предметов черный S-M</t>
  </si>
  <si>
    <t xml:space="preserve"> Чувственный комплект Miamor из двух предметов черный L-XL</t>
  </si>
  <si>
    <t xml:space="preserve"> Открытый комплект «Hope» с кружевным украшением на шею черный M</t>
  </si>
  <si>
    <t xml:space="preserve"> Открытый комплект «Hope» с кружевным украшением на шею черный S</t>
  </si>
  <si>
    <t xml:space="preserve"> Открытый комплект «Hope» с кружевным украшением на шею белый M</t>
  </si>
  <si>
    <t xml:space="preserve"> Открытый комплект «Hope» с кружевным украшением на шею белый L</t>
  </si>
  <si>
    <t xml:space="preserve"> Открытый комплект «Hope» с кружевным украшением на шею черный L</t>
  </si>
  <si>
    <t xml:space="preserve"> Открытый комплект «Hope» с кружевным украшением на шею белый S</t>
  </si>
  <si>
    <t xml:space="preserve"> Открытый комплект «Hope» с кружевным украшением на шею черный XL</t>
  </si>
  <si>
    <t xml:space="preserve"> Открытый комплект «Hope» с кружевным украшением на шею белый XL</t>
  </si>
  <si>
    <t xml:space="preserve"> Соблазнительный комплект белья «Feromoni» из 3 предметов черный с красным S</t>
  </si>
  <si>
    <t xml:space="preserve"> Соблазнительный комплект белья «Feromoni» из 3 предметов черный с красным L</t>
  </si>
  <si>
    <t xml:space="preserve"> Соблазнительный комплект белья «Feromoni» из 3 предметов черный с красным M</t>
  </si>
  <si>
    <t xml:space="preserve"> Топ и шортики Charlize с кружевной оторочкой черный M</t>
  </si>
  <si>
    <t xml:space="preserve"> Топ и шортики Charlize с кружевной оторочкой черный S</t>
  </si>
  <si>
    <t xml:space="preserve"> Топ и шортики Charlize с кружевной оторочкой черный L</t>
  </si>
  <si>
    <t xml:space="preserve"> Топ и шортики Charlize с кружевной оторочкой черный XL</t>
  </si>
  <si>
    <t xml:space="preserve"> Откровенный комплект белья Doris с украшением на шее красный XL</t>
  </si>
  <si>
    <t xml:space="preserve"> Откровенный комплект белья Doris с украшением на шее красный L</t>
  </si>
  <si>
    <t xml:space="preserve"> Откровенный комплект белья Doris с украшением на шее красный S</t>
  </si>
  <si>
    <t xml:space="preserve"> Откровенный комплект белья Doris с украшением на шее красный M</t>
  </si>
  <si>
    <t xml:space="preserve"> Игривый комплект BONNIE BONITA черный M</t>
  </si>
  <si>
    <t xml:space="preserve"> Игривый комплект BONNIE BONITA черный с красным S</t>
  </si>
  <si>
    <t xml:space="preserve"> Игривый комплект BONNIE BONITA черный L</t>
  </si>
  <si>
    <t xml:space="preserve"> Комплект из двухцветного кружева «INVITINGLY» черный M</t>
  </si>
  <si>
    <t xml:space="preserve"> Комплект из двухцветного кружева «INVITINGLY» черный XL</t>
  </si>
  <si>
    <t xml:space="preserve"> Комплект из двухцветного кружева «INVITINGLY» черный L</t>
  </si>
  <si>
    <t xml:space="preserve"> Комплект из двухцветного кружева «INVITINGLY» черный S</t>
  </si>
  <si>
    <t xml:space="preserve"> Комплект белья Etheria из 3 предметов белый S-M</t>
  </si>
  <si>
    <t xml:space="preserve"> Комплект белья Etheria из 3 предметов белый L-XL</t>
  </si>
  <si>
    <t xml:space="preserve"> Притягательный комплект белья Lustella черный L-XL</t>
  </si>
  <si>
    <t xml:space="preserve"> Притягательный комплект белья Lustella черный S-M</t>
  </si>
  <si>
    <t xml:space="preserve"> Комплект белья Musca с пикантными разрезами на лифе черный S-M</t>
  </si>
  <si>
    <t xml:space="preserve"> Комплект белья Musca с пикантными разрезами на лифе черный L-XL</t>
  </si>
  <si>
    <t xml:space="preserve"> Откровенный комплект Amanta с двухцветным кружевом черный L-XL</t>
  </si>
  <si>
    <t xml:space="preserve"> Откровенный комплект Amanta с двухцветным кружевом черный S-M</t>
  </si>
  <si>
    <t xml:space="preserve"> Алые трусики Secred в комплекте с аксессуарами красный S-M</t>
  </si>
  <si>
    <t xml:space="preserve"> Алые трусики Secred в комплекте с аксессуарами красный L-XL</t>
  </si>
  <si>
    <t xml:space="preserve"> Комплект белья «Isabella» черный L-XL</t>
  </si>
  <si>
    <t xml:space="preserve"> Комплект белья «Isabella» красный L-XL</t>
  </si>
  <si>
    <t xml:space="preserve"> Комплект белья «Isabella» белый L-XL</t>
  </si>
  <si>
    <t xml:space="preserve"> Комплект белья «Isabella» черный S-M</t>
  </si>
  <si>
    <t xml:space="preserve"> Комплект белья «Isabella» красный S-M</t>
  </si>
  <si>
    <t xml:space="preserve"> Комплект белья «Isabella» белый S-M</t>
  </si>
  <si>
    <t xml:space="preserve"> Комплект из лент «Aisha» черный S-M</t>
  </si>
  <si>
    <t xml:space="preserve"> Комплект из лент «Aisha» красный S-M</t>
  </si>
  <si>
    <t xml:space="preserve"> Комплект из лент «Aisha» белый S-M</t>
  </si>
  <si>
    <t xml:space="preserve"> Комплект из лент «Aisha» красный L-XL</t>
  </si>
  <si>
    <t xml:space="preserve"> Комплект из лент «Aisha» черный L-XL</t>
  </si>
  <si>
    <t xml:space="preserve"> Комплект «Loretta» из лент с поясом черный S-M</t>
  </si>
  <si>
    <t xml:space="preserve"> Комплект «Loretta» из лент с поясом красный S-M</t>
  </si>
  <si>
    <t xml:space="preserve"> Комплект «Loretta» из лент с поясом белый S-M</t>
  </si>
  <si>
    <t xml:space="preserve"> Комплект «Loretta» из лент с поясом черный L-XL</t>
  </si>
  <si>
    <t xml:space="preserve"> Комплект белья «Rene» из тонких лент черный L-XL</t>
  </si>
  <si>
    <t xml:space="preserve"> Комплект белья «Rene» из тонких лент белый S-M</t>
  </si>
  <si>
    <t xml:space="preserve"> Комплект белья «Rene» из тонких лент красный S-M</t>
  </si>
  <si>
    <t xml:space="preserve"> Комплект белья «Rene» из тонких лент черный S-M</t>
  </si>
  <si>
    <t xml:space="preserve"> Полупрозрачный комплект белья «Gloria» черный S-M</t>
  </si>
  <si>
    <t xml:space="preserve"> Полупрозрачный комплект белья «Gloria» красный S-M</t>
  </si>
  <si>
    <t xml:space="preserve"> Полупрозрачный комплект белья «Gloria» белый S-M</t>
  </si>
  <si>
    <t xml:space="preserve"> Полупрозрачный комплект белья «Gloria» черный L-XL</t>
  </si>
  <si>
    <t xml:space="preserve"> Полупрозрачный комплект белья «Gloria» красный L-XL</t>
  </si>
  <si>
    <t xml:space="preserve"> Полупрозрачный комплект белья «Gloria» белый L-XL</t>
  </si>
  <si>
    <t xml:space="preserve"> Полупрозрачный комплект белья «Tiffany» белый S-M</t>
  </si>
  <si>
    <t xml:space="preserve"> Полупрозрачный комплект белья «Tiffany» красный S-M</t>
  </si>
  <si>
    <t xml:space="preserve"> Полупрозрачный комплект белья «Tiffany» черный S-M</t>
  </si>
  <si>
    <t xml:space="preserve"> Полупрозрачный комплект белья «Tiffany» черный L-XL</t>
  </si>
  <si>
    <t xml:space="preserve"> Полупрозрачный комплект белья «Tiffany» белый L-XL</t>
  </si>
  <si>
    <t xml:space="preserve"> Полупрозрачный комплект белья «Tiffany» красный XXL-XXXL</t>
  </si>
  <si>
    <t xml:space="preserve"> Полупрозрачный комплект белья «Tiffany» черный XXL-XXXL</t>
  </si>
  <si>
    <t xml:space="preserve"> Полупрозрачный комплект «Gloria» из двух предметов белый XXL-XXXL</t>
  </si>
  <si>
    <t xml:space="preserve"> Полупрозрачный комплект «Gloria» из двух предметов красный XXL-XXXL</t>
  </si>
  <si>
    <t xml:space="preserve"> Полупрозрачный комплект «Gloria» из двух предметов черный XXL-XXXL</t>
  </si>
  <si>
    <t xml:space="preserve"> Комплект белья «Nina» с открытой грудью белый S-M</t>
  </si>
  <si>
    <t xml:space="preserve"> Комплект белья «Nina» с открытой грудью красный S-M</t>
  </si>
  <si>
    <t xml:space="preserve"> Комплект белья «Nina» с открытой грудью черный S-M</t>
  </si>
  <si>
    <t xml:space="preserve"> Комплект белья «Nina» с открытой грудью черный L-XL</t>
  </si>
  <si>
    <t xml:space="preserve"> Комплект белья «Clara» с поясом для чулок черный L-XL</t>
  </si>
  <si>
    <t xml:space="preserve"> Комплект белья «Clara» с поясом для чулок белый S-M</t>
  </si>
  <si>
    <t xml:space="preserve"> Комплект белья «Clara» с поясом для чулок красный S-M</t>
  </si>
  <si>
    <t xml:space="preserve"> Комплект белья «Clara» с поясом для чулок черный S-M</t>
  </si>
  <si>
    <t xml:space="preserve"> Комплект «Olivia» с трусиками с высокой посадкой белый S-M</t>
  </si>
  <si>
    <t xml:space="preserve"> Комплект «Olivia» с трусиками с высокой посадкой красный S-M</t>
  </si>
  <si>
    <t xml:space="preserve"> Комплект «Olivia» с трусиками с высокой посадкой черный S-M</t>
  </si>
  <si>
    <t xml:space="preserve"> Комплект «Olivia» с трусиками с высокой посадкой черный L-XL</t>
  </si>
  <si>
    <t xml:space="preserve"> Комплект белья «Mai» с веревками для связывания черный с красным S</t>
  </si>
  <si>
    <t xml:space="preserve"> Комплект белья «Mai» с веревками для связывания черный с красным L</t>
  </si>
  <si>
    <t xml:space="preserve"> Комплект белья «Mai» с веревками для связывания черный с красным M</t>
  </si>
  <si>
    <t xml:space="preserve"> Комплект белья Patricia из топа и трусиков с декоративной шнуровкой черный S</t>
  </si>
  <si>
    <t xml:space="preserve"> Комплект белья Patricia из топа и трусиков с декоративной шнуровкой черный L</t>
  </si>
  <si>
    <t xml:space="preserve"> Комплект белья Patricia из топа и трусиков с декоративной шнуровкой черный M</t>
  </si>
  <si>
    <t xml:space="preserve"> Комплект белья Louise c соблазнительными лентами черный M</t>
  </si>
  <si>
    <t xml:space="preserve"> Комплект белья Louise c соблазнительными лентами черный L</t>
  </si>
  <si>
    <t xml:space="preserve"> Комплект белья Louise c соблазнительными лентами черный S</t>
  </si>
  <si>
    <t xml:space="preserve"> Страстный комплект «Тигрица» с наручниками черный One Size</t>
  </si>
  <si>
    <t xml:space="preserve"> Откровенный эластичный комплект «Звезда» черный One Size</t>
  </si>
  <si>
    <t xml:space="preserve"> Роскошный комплект Serena из 3 предметов черный M</t>
  </si>
  <si>
    <t xml:space="preserve"> Роскошный комплект Serena из 3 предметов черный S</t>
  </si>
  <si>
    <t xml:space="preserve"> Роскошный комплект Serena из 3 предметов черный L</t>
  </si>
  <si>
    <t xml:space="preserve"> Роскошный комплект Serena из 3 предметов черный XL</t>
  </si>
  <si>
    <t xml:space="preserve"> Комплект белья Shame с декоративными шнуровками белый S</t>
  </si>
  <si>
    <t xml:space="preserve"> Комплект белья Shame с декоративными шнуровками белый M</t>
  </si>
  <si>
    <t xml:space="preserve"> Широкий кружевной пояс для чулок и трусики с вырезом черный XL</t>
  </si>
  <si>
    <t xml:space="preserve"> Широкий кружевной пояс для чулок и трусики с вырезом черный XXL</t>
  </si>
  <si>
    <t xml:space="preserve"> Широкий кружевной пояс для чулок и трусики с вырезом черный XXXL</t>
  </si>
  <si>
    <t xml:space="preserve"> Комплект белья «Asami» с веревками для связывания черный с красным M</t>
  </si>
  <si>
    <t xml:space="preserve"> Комплект белья «Asami» с веревками для связывания черный с красным L</t>
  </si>
  <si>
    <t xml:space="preserve"> Комплект белья «Asami» с веревками для связывания черный с красным S</t>
  </si>
  <si>
    <t xml:space="preserve"> Комплект из юбочки, лифа и манжет черный с леопардовым One Size</t>
  </si>
  <si>
    <t xml:space="preserve"> Комплект белья Masuyo с верёвками для связывания черный с красным M</t>
  </si>
  <si>
    <t xml:space="preserve"> Комплект белья Shinju с верёвками для связывания черный с красным M</t>
  </si>
  <si>
    <t xml:space="preserve"> Кружевные лиф и трусики-стринги черный One Size</t>
  </si>
  <si>
    <t xml:space="preserve"> Комплект белья «Jovite» из кружева с ресничками черный M</t>
  </si>
  <si>
    <t xml:space="preserve"> Комплект белья «Jovite» из кружева с ресничками черный S</t>
  </si>
  <si>
    <t xml:space="preserve"> Комплект с широким поясом Odette из полупрозрачной сетки с вышивкой-листиками черный L</t>
  </si>
  <si>
    <t xml:space="preserve"> Комплект Odette Premium Plus Size в комплекте с чулками черный XXL</t>
  </si>
  <si>
    <t xml:space="preserve"> Откровенный комплект белья «Maya» из стреп-лент белый L-XL</t>
  </si>
  <si>
    <t xml:space="preserve"> Откровенный комплект белья «Maya» из стреп-лент красный L-XL</t>
  </si>
  <si>
    <t xml:space="preserve"> Откровенный комплект белья «Maya» из стреп-лент черный L-XL</t>
  </si>
  <si>
    <t xml:space="preserve"> Откровенный комплект белья «Maya» из стреп-лент черный S-M</t>
  </si>
  <si>
    <t xml:space="preserve"> Откровенный комплект белья «Maya» из стреп-лент красный S-M</t>
  </si>
  <si>
    <t xml:space="preserve"> Откровенный комплект белья «Maya» из стреп-лент белый S-M</t>
  </si>
  <si>
    <t xml:space="preserve"> Завораживающий комплект из стреп-лент «Babette» с оборочками черный L-XL</t>
  </si>
  <si>
    <t xml:space="preserve"> Завораживающий комплект из стреп-лент «Babette» с оборочками черный S-M</t>
  </si>
  <si>
    <t xml:space="preserve"> Эффектный комплект «Eliane» с чулками белый S-M</t>
  </si>
  <si>
    <t xml:space="preserve"> Эффектный комплект «Eliane» с чулками красный S-M</t>
  </si>
  <si>
    <t xml:space="preserve"> Эффектный комплект «Eliane» с чулками черный S-M</t>
  </si>
  <si>
    <t xml:space="preserve"> Эффектный комплект «Eliane» с чулками красный L-XL</t>
  </si>
  <si>
    <t xml:space="preserve"> Эффектный комплект «Eliane» с чулками белый L-XL</t>
  </si>
  <si>
    <t xml:space="preserve"> Эффектный комплект «Eliane» с чулками черный L-XL</t>
  </si>
  <si>
    <t xml:space="preserve"> Игривый комплект Dotina с поясом в горошек черный S-M</t>
  </si>
  <si>
    <t xml:space="preserve"> Привлекательный комплект «Wonderia» черный S-M</t>
  </si>
  <si>
    <t xml:space="preserve"> Привлекательный комплект «Wonderia» черный L-XL</t>
  </si>
  <si>
    <t xml:space="preserve"> Откровенный комплект нижнего белья «Corsia» черный M</t>
  </si>
  <si>
    <t xml:space="preserve"> Откровенный комплект нижнего белья «Corsia» белый M</t>
  </si>
  <si>
    <t xml:space="preserve"> Откровенный комплект нижнего белья «Corsia» черный S</t>
  </si>
  <si>
    <t xml:space="preserve"> Откровенный комплект нижнего белья «Corsia» черный L</t>
  </si>
  <si>
    <t xml:space="preserve"> Откровенный комплект нижнего белья «Corsia» белый S</t>
  </si>
  <si>
    <t xml:space="preserve"> Откровенный комплект нижнего белья «Corsia» белый L</t>
  </si>
  <si>
    <t xml:space="preserve"> Романтичный комплект «Expression» белый M</t>
  </si>
  <si>
    <t xml:space="preserve"> Романтичный комплект «Expression» белый L</t>
  </si>
  <si>
    <t xml:space="preserve"> Романтичный комплект «Expression» белый S</t>
  </si>
  <si>
    <t xml:space="preserve"> Комплект белья «Lulie» из кружев с ресничками черный XL</t>
  </si>
  <si>
    <t xml:space="preserve"> Комплект белья «Lulie» из кружев с ресничками черный S</t>
  </si>
  <si>
    <t xml:space="preserve"> Комплект белья «Lulie» из кружев с ресничками черный L</t>
  </si>
  <si>
    <t xml:space="preserve"> Комплект белья «Lulie» из кружев с ресничками черный M</t>
  </si>
  <si>
    <t xml:space="preserve"> Чувственный комплект «Pleasurу» из 3 предметов черный S</t>
  </si>
  <si>
    <t xml:space="preserve"> Чувственный комплект «Pleasurу» из 3 предметов черный L</t>
  </si>
  <si>
    <t xml:space="preserve"> Чувственный комплект «Pleasurу» из 3 предметов черный XL</t>
  </si>
  <si>
    <t xml:space="preserve"> Чувственный комплект «Pleasurу» из 3 предметов черный M</t>
  </si>
  <si>
    <t xml:space="preserve"> Чарующий комплект белья «Sapphira» с широким поясом черный M</t>
  </si>
  <si>
    <t xml:space="preserve"> Чарующий комплект белья «Sapphira» с широким поясом черный L</t>
  </si>
  <si>
    <t xml:space="preserve"> Чарующий комплект белья «Sapphira» с широким поясом черный S</t>
  </si>
  <si>
    <t xml:space="preserve"> Чарующий комплект белья «Sapphira» с широким поясом черный XL</t>
  </si>
  <si>
    <t xml:space="preserve"> Чувственный ажурный комплект Heartina из 3 предметов красный L-XL</t>
  </si>
  <si>
    <t xml:space="preserve"> Чувственный ажурный комплект Heartina из 3 предметов красный S-M</t>
  </si>
  <si>
    <t xml:space="preserve"> Полупрозрачный комплект белья «Fabienne» с оборками черный M</t>
  </si>
  <si>
    <t xml:space="preserve"> Полупрозрачный комплект белья «Fabienne» с оборками черный S</t>
  </si>
  <si>
    <t xml:space="preserve"> Строгий комплект «Kayo» с веревками для связывания в комплекте черный с красным M</t>
  </si>
  <si>
    <t xml:space="preserve"> Строгий комплект «Kayo» с веревками для связывания в комплекте черный с красным S</t>
  </si>
  <si>
    <t xml:space="preserve"> Кружевной комплект «Lou» из двух предметов красный S</t>
  </si>
  <si>
    <t xml:space="preserve"> Кружевной комплект «Lou» из двух предметов красный M</t>
  </si>
  <si>
    <t xml:space="preserve"> Кружевной комплект «Lou» из двух предметов розовый M</t>
  </si>
  <si>
    <t xml:space="preserve"> Кружевной комплект «Lou» из двух предметов голубой M</t>
  </si>
  <si>
    <t xml:space="preserve"> Чёрно-красный комплект белья «Mari» с веревками для связывания черный с красным M</t>
  </si>
  <si>
    <t xml:space="preserve"> Комплект белья Sakura с веревками для связывания черный с красным M</t>
  </si>
  <si>
    <t xml:space="preserve"> Эффектный комплект «Tomiko» с веревками для связывания черный с красным M</t>
  </si>
  <si>
    <t xml:space="preserve"> Эффектный комплект «Tomiko» с веревками для связывания черный с красным S</t>
  </si>
  <si>
    <t xml:space="preserve"> Строгий женский комплект «Yuka» с веревками для связывания черный с красным L</t>
  </si>
  <si>
    <t xml:space="preserve"> Строгий женский комплект «Yuka» с веревками для связывания черный с красным M</t>
  </si>
  <si>
    <t xml:space="preserve"> Комплект с высокими шортами Shinju черный M</t>
  </si>
  <si>
    <t xml:space="preserve"> Восхитительный комплект белья «Isolde» с юбкой черный M</t>
  </si>
  <si>
    <t xml:space="preserve"> Восхитительный комплект белья «Isolde» с юбкой черный XL</t>
  </si>
  <si>
    <t xml:space="preserve"> Откровенный комплект белья «Justine» из лент черный L-XL</t>
  </si>
  <si>
    <t xml:space="preserve"> Откровенный комплект белья «Justine» из лент красный L-XL</t>
  </si>
  <si>
    <t xml:space="preserve"> Откровенный комплект белья «Justine» из лент белый L-XL</t>
  </si>
  <si>
    <t xml:space="preserve"> Откровенный комплект белья «Justine» из лент черный S-M</t>
  </si>
  <si>
    <t xml:space="preserve"> Откровенный комплект белья «Justine» из лент красный S-M</t>
  </si>
  <si>
    <t xml:space="preserve"> Откровенный комплект белья «Justine» из лент белый S-M</t>
  </si>
  <si>
    <t xml:space="preserve"> Эластичный комплект нижнего белья Vilma черный S-M</t>
  </si>
  <si>
    <t xml:space="preserve"> Эластичный комплект нижнего белья Vilma черный L-XL</t>
  </si>
  <si>
    <t xml:space="preserve"> Чувственный комплект белья Gill из 3 предметов красный L-XL</t>
  </si>
  <si>
    <t xml:space="preserve"> Чувственный комплект белья Gill из 3 предметов красный S-M</t>
  </si>
  <si>
    <t xml:space="preserve"> Ажурный комплект Keith Plus Size из кружева с блеском черный XXL-XXXL</t>
  </si>
  <si>
    <t xml:space="preserve"> Комплект белья «Connie» с двухцветным кружевом черный S-M</t>
  </si>
  <si>
    <t xml:space="preserve"> Комплект белья «Connie» с двухцветным кружевом кремовый S-M</t>
  </si>
  <si>
    <t xml:space="preserve"> Игривый комплект белья «Dallas» из 3 предметов черный S-M</t>
  </si>
  <si>
    <t xml:space="preserve"> Игривый комплект белья «Dallas» из 3 предметов черный L-XL</t>
  </si>
  <si>
    <t xml:space="preserve"> Очаровательный комплект Giorgia из 3 предметов черный L-XL</t>
  </si>
  <si>
    <t xml:space="preserve"> Очаровательный комплект Giorgia из 3 предметов черный S-M</t>
  </si>
  <si>
    <t xml:space="preserve"> Элегантный комплект «Sissey» с двойными бретелями черный S-M</t>
  </si>
  <si>
    <t xml:space="preserve"> Элегантный комплект «Sissey» с двойными бретелями черный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</si>
  <si>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Gill Plus Size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</si>
  <si>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t xml:space="preserve"> Кружевной бюстгальтер «SILVER FLOWER» и высокие трусики черный S</t>
  </si>
  <si>
    <t xml:space="preserve"> Кружевной бюстгальтер «SILVER FLOWER» и высокие трусики черный L</t>
  </si>
  <si>
    <t xml:space="preserve"> Кружевной бюстгальтер «SILVER FLOWER» и высокие трусики черный M</t>
  </si>
  <si>
    <t xml:space="preserve"> Бра и трусики-сrotchless с жемчужными нитями черный One Size</t>
  </si>
  <si>
    <t xml:space="preserve"> Кружевной комплект Frivolla с декоративным кружевным поясом черный S-M</t>
  </si>
  <si>
    <t xml:space="preserve"> Кружевной комплект Frivolla с декоративным кружевным поясом черный L-XL</t>
  </si>
  <si>
    <t xml:space="preserve"> Чарующий комплект белья Merossa с нежным кружевом черный L-XL</t>
  </si>
  <si>
    <t xml:space="preserve"> Чарующий комплект белья Merossa с нежным кружевом черный S-M</t>
  </si>
  <si>
    <t xml:space="preserve"> Комплект белья Sinsita под глянцевую кожу с цепями черный S-M</t>
  </si>
  <si>
    <t xml:space="preserve"> Комплект белья Sinsita под глянцевую кожу с цепями черный L-XL</t>
  </si>
  <si>
    <t xml:space="preserve"> Комплект Gretia с поясом для чулок и декоративными элементами черный L-XL</t>
  </si>
  <si>
    <t xml:space="preserve"> Комплект Gretia с поясом для чулок и декоративными элементами черный S-M</t>
  </si>
  <si>
    <t xml:space="preserve"> Комплект Moketta с кружевной оторочкой лифа и пояса черный S-M</t>
  </si>
  <si>
    <t xml:space="preserve"> Комплект Moketta с кружевной оторочкой лифа и пояса черный L-XL</t>
  </si>
  <si>
    <t xml:space="preserve"> Оригинальный комплект женского белья: лиф с пажами и трусики-стринги черный One Size</t>
  </si>
  <si>
    <t xml:space="preserve"> Эффектный комплект белья Floweria  с мелкими цветочками на кружеве черный S-M</t>
  </si>
  <si>
    <t xml:space="preserve"> Эффектный комплект белья Floweria  с мелкими цветочками на кружеве черный L-XL</t>
  </si>
  <si>
    <t xml:space="preserve"> Комплект белья «Alabastra» из трусиков open-croatch и лифа с открытыми чашками белый S-M</t>
  </si>
  <si>
    <t xml:space="preserve"> Комплект белья «Alabastra» из трусиков open-croatch и лифа с открытыми чашками белый L-XL</t>
  </si>
  <si>
    <t xml:space="preserve"> Комплект белья Prinzess-1 из стреп-лент черный One Size</t>
  </si>
  <si>
    <t xml:space="preserve"> Игривый комплект белья SHOW ME из 3 предметов черный S-M</t>
  </si>
  <si>
    <t xml:space="preserve"> Игривый комплект белья SHOW ME из 3 предметов черный M-L</t>
  </si>
  <si>
    <t xml:space="preserve"> Чувственный комплект белья Charmea с кружевом черный S-M</t>
  </si>
  <si>
    <t xml:space="preserve"> Чувственный комплект белья Charmea с кружевом черный L-XL</t>
  </si>
  <si>
    <t xml:space="preserve"> Оригинальный комплект белья Lovica из 3 предметов красный L-XL</t>
  </si>
  <si>
    <t xml:space="preserve"> Оригинальный комплект белья Lovica из 3 предметов красный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</si>
  <si>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Platinesa с кристалликами циркония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</si>
  <si>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Platinesa с кристалликами циркония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</si>
  <si>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t xml:space="preserve"> Бюстгальтер и трусики Mango с вставками из страз черный M</t>
  </si>
  <si>
    <t xml:space="preserve"> Бюстгальтер и трусики Mango с вставками из страз черный L</t>
  </si>
  <si>
    <t xml:space="preserve"> Бюстгальтер и трусики Mango с вставками из страз черный S</t>
  </si>
  <si>
    <t xml:space="preserve"> Бюстгальтер и трусики Mango с вставками из страз черный XL</t>
  </si>
  <si>
    <t xml:space="preserve"> Пикантный комплект белья с цепочками черный One Size</t>
  </si>
  <si>
    <t xml:space="preserve"> Контурный комплект белья Princess 3 черный One Size</t>
  </si>
  <si>
    <t xml:space="preserve"> Комплект белья Coctail Bikini с пикантными вырезами красный с черным S-M</t>
  </si>
  <si>
    <t xml:space="preserve"> Комплект белья Coctail Bikini с пикантными вырезами красный с черным L-XL</t>
  </si>
  <si>
    <t xml:space="preserve"> Комплект белья Lexine из 2 предметов черный L-XL</t>
  </si>
  <si>
    <t xml:space="preserve"> Комплект белья Lexine из 2 предметов черный S-M</t>
  </si>
  <si>
    <t xml:space="preserve"> Стильный комплект белья Blake черный S-M</t>
  </si>
  <si>
    <t xml:space="preserve"> Стильный комплект белья Blake черный L-XL</t>
  </si>
  <si>
    <t xml:space="preserve"> Оригинальный комплект белья Canne черный L-XL</t>
  </si>
  <si>
    <t xml:space="preserve"> Оригинальный комплект белья Canne черный S-M</t>
  </si>
  <si>
    <t xml:space="preserve"> Игривый комплект белья Ramona со шнуровками черный S-M</t>
  </si>
  <si>
    <t xml:space="preserve"> Игривый комплект белья Ramona со шнуровками черный L-XL</t>
  </si>
  <si>
    <t xml:space="preserve"> Комплект белья Expression: лиф, юбка и трусики-стринги черный L-XL</t>
  </si>
  <si>
    <t xml:space="preserve"> Комплект белья Expression: лиф, юбка и трусики-стринги черный S-M</t>
  </si>
  <si>
    <t xml:space="preserve"> Нежный комплект белья Ofelia с полуоткрытой грудью белый S-M</t>
  </si>
  <si>
    <t xml:space="preserve"> Нежный комплект белья Ofelia с полуоткрытой грудью белый L-XL</t>
  </si>
  <si>
    <t xml:space="preserve"> Кружевной комплект женского белья Menei черный XL</t>
  </si>
  <si>
    <t xml:space="preserve"> Кружевной комплект женского белья Menei черный S</t>
  </si>
  <si>
    <t xml:space="preserve"> Кружевной комплект женского белья Menei черный L</t>
  </si>
  <si>
    <t xml:space="preserve"> Кружевной комплект женского белья Menei черный M</t>
  </si>
  <si>
    <t xml:space="preserve"> Игривый комплект нижнего белья Iralin с цветочным рисунком на трусиках черный M</t>
  </si>
  <si>
    <t xml:space="preserve"> Игривый комплект нижнего белья Iralin с цветочным рисунком на трусиках черный L</t>
  </si>
  <si>
    <t xml:space="preserve"> Игривый комплект нижнего белья Iralin с цветочным рисунком на трусиках черный S</t>
  </si>
  <si>
    <t xml:space="preserve"> Игривый комплект нижнего белья Iralin с цветочным рисунком на трусиках черный XL</t>
  </si>
  <si>
    <t xml:space="preserve"> Изысканный комплект белья Sveti из 2 предметов черный M</t>
  </si>
  <si>
    <t xml:space="preserve"> Чувственный комплект белья Sveti из 3 предметов черный M</t>
  </si>
  <si>
    <t xml:space="preserve"> Чувственный комплект белья Sveti из 3 предметов черный S</t>
  </si>
  <si>
    <t xml:space="preserve"> Чувственный комплект белья Sveti из 3 предметов черный L</t>
  </si>
  <si>
    <t xml:space="preserve"> Комплект женского белья «Aquilo» из 3 предметов черный L</t>
  </si>
  <si>
    <t xml:space="preserve"> Комплект женского белья «Aquilo» из 3 предметов черный S</t>
  </si>
  <si>
    <t xml:space="preserve"> Комплект женского белья «Aquilo» из 3 предметов черный XL</t>
  </si>
  <si>
    <t xml:space="preserve"> Комплект женского белья «Aquilo» из 3 предметов черный M</t>
  </si>
  <si>
    <t xml:space="preserve"> Пикантный комплект белья Vicky с открытой грудью и вырезом на попе черный S-M</t>
  </si>
  <si>
    <t xml:space="preserve"> Пикантный комплект белья Vicky с открытой грудью и вырезом на попе черный L-XL</t>
  </si>
  <si>
    <t xml:space="preserve"> Экстра смелый комплект белья Afrodita красный XL</t>
  </si>
  <si>
    <t xml:space="preserve"> Экстра смелый комплект белья Afrodita красный S</t>
  </si>
  <si>
    <t xml:space="preserve"> Экстра смелый комплект белья Afrodita красный L</t>
  </si>
  <si>
    <t xml:space="preserve"> Экстра смелый комплект белья Afrodita красный M</t>
  </si>
  <si>
    <t xml:space="preserve"> Чувственный кружевной комплект нижнего белья из 3 предметов черный S-M</t>
  </si>
  <si>
    <t xml:space="preserve"> Чувственный кружевной комплект нижнего белья из 3 предметов белый S-M</t>
  </si>
  <si>
    <t xml:space="preserve"> Чувственный кружевной комплект нижнего белья из 3 предметов черный L-XL</t>
  </si>
  <si>
    <t xml:space="preserve"> Чувственный кружевной комплект нижнего белья из 3 предметов белый L-XL</t>
  </si>
  <si>
    <t xml:space="preserve"> Комплект белья Montana с цветочным принтом черный L-XL</t>
  </si>
  <si>
    <t xml:space="preserve"> Комплект белья Montana с цветочным принтом черный S-M</t>
  </si>
  <si>
    <t xml:space="preserve"> Комплект белья Suelo с контрастным кружевом белый с черным S-M</t>
  </si>
  <si>
    <t xml:space="preserve"> Комплект белья Suelo с контрастным кружевом белый с черным L-XL</t>
  </si>
  <si>
    <t xml:space="preserve"> Откровенный кружевной комплект белья Algie черный 1X-2X</t>
  </si>
  <si>
    <t xml:space="preserve"> Откровенный кружевной комплект белья Algie черный 3X-4X</t>
  </si>
  <si>
    <t xml:space="preserve"> Откровенный кружевной комплект белья Algie черный 5X-6X</t>
  </si>
  <si>
    <t xml:space="preserve"> Игривый комплект белья Melissa со шнуровками черный L-XL</t>
  </si>
  <si>
    <t xml:space="preserve"> Игривый комплект белья Melissa со шнуровками черный S-M</t>
  </si>
  <si>
    <t xml:space="preserve"> Элегантный комплект белья Petra черный S-M</t>
  </si>
  <si>
    <t xml:space="preserve"> Элегантный комплект белья Petra черный L-XL</t>
  </si>
  <si>
    <t xml:space="preserve"> Комплект белья Nadya черный L-XL</t>
  </si>
  <si>
    <t xml:space="preserve"> Комплект белья Nadya черный S-M</t>
  </si>
  <si>
    <t xml:space="preserve"> Комплект белья Lucia с оборками черный S-M</t>
  </si>
  <si>
    <t xml:space="preserve"> Комплект белья Lucia с оборками черный L-XL</t>
  </si>
  <si>
    <t xml:space="preserve"> Яркий комплект белья Jaqui черный с красным L</t>
  </si>
  <si>
    <t xml:space="preserve"> Яркий комплект белья Jaqui черный с красным S</t>
  </si>
  <si>
    <t xml:space="preserve"> Яркий комплект белья Jaqui черный с красным XL</t>
  </si>
  <si>
    <t xml:space="preserve"> Яркий комплект белья Jaqui черный с красным M</t>
  </si>
  <si>
    <t xml:space="preserve"> Яркий двухцветный комплект белья Jaqui Plus Size черный с красным XXL</t>
  </si>
  <si>
    <t xml:space="preserve"> Яркий двухцветный комплект белья Jaqui Plus Size черный с красным XXXL</t>
  </si>
  <si>
    <t xml:space="preserve"> Комплект белья Sandra с широким поясом для чулок красный с черным L-XL</t>
  </si>
  <si>
    <t xml:space="preserve"> Комплект белья Sandra с широким поясом для чулок черный L-XL</t>
  </si>
  <si>
    <t xml:space="preserve"> Комплект белья Sandra с широким поясом для чулок черный S-M</t>
  </si>
  <si>
    <t xml:space="preserve"> Комплект белья Sandra с широким поясом для чулок красный с черным S-M</t>
  </si>
  <si>
    <t xml:space="preserve"> Полупрозрачный комплект белья Zoe черный S-M</t>
  </si>
  <si>
    <t xml:space="preserve"> Полупрозрачный комплект белья Zoe черный L-XL</t>
  </si>
  <si>
    <t xml:space="preserve"> Комплект белья Fabiana из кружева и шифона красный L-XL</t>
  </si>
  <si>
    <t xml:space="preserve"> Комплект белья Fabiana из кружева и шифона красный S-M</t>
  </si>
  <si>
    <t xml:space="preserve"> Яркий комплект белья Breve бирюзовый M</t>
  </si>
  <si>
    <t xml:space="preserve"> Яркий комплект белья Breve бирюзовый XL</t>
  </si>
  <si>
    <t xml:space="preserve"> Яркий комплект белья Breve бирюзовый S</t>
  </si>
  <si>
    <t xml:space="preserve"> Яркий комплект белья Breve бирюзовый L</t>
  </si>
  <si>
    <t xml:space="preserve"> Комплект нижнего белья Rodos с кружевными элементами красный с черным L-XL</t>
  </si>
  <si>
    <t xml:space="preserve"> Комплект нижнего белья Rodos с кружевными элементами красный с черным S-M</t>
  </si>
  <si>
    <t xml:space="preserve"> Игривый комплект белья Ferrara черный с розовым M</t>
  </si>
  <si>
    <t xml:space="preserve"> Игривый комплект белья Ferrara черный с розовым L</t>
  </si>
  <si>
    <t xml:space="preserve"> Игривый комплект белья Ferrara черный с розовым S</t>
  </si>
  <si>
    <t xml:space="preserve"> Игривый комплект белья Ferrara черный с розовым XL</t>
  </si>
  <si>
    <t xml:space="preserve"> Нитяной комплект белья Samantha красный L-XL</t>
  </si>
  <si>
    <t xml:space="preserve"> Нитяной комплект белья Samantha белый L-XL</t>
  </si>
  <si>
    <t xml:space="preserve"> Нитяной комплект белья Samantha черный L-XL</t>
  </si>
  <si>
    <t xml:space="preserve"> Нитяной комплект белья Samantha белый S-M</t>
  </si>
  <si>
    <t xml:space="preserve"> Нитяной комплект белья Samantha красный S-M</t>
  </si>
  <si>
    <t xml:space="preserve"> Нитяной комплект белья Samantha черный S-M</t>
  </si>
  <si>
    <t xml:space="preserve"> Нитяной комплект белья Jess черный S-M</t>
  </si>
  <si>
    <t xml:space="preserve"> Нитяной комплект белья Jess красный S-M</t>
  </si>
  <si>
    <t xml:space="preserve"> Нитяной комплект белья Jess белый S-M</t>
  </si>
  <si>
    <t xml:space="preserve"> Нитяной комплект белья Jess черный L-XL</t>
  </si>
  <si>
    <t xml:space="preserve"> Нитяной комплект белья Jess белый L-XL</t>
  </si>
  <si>
    <t xml:space="preserve"> Нитяной комплект белья Jess красный L-XL</t>
  </si>
  <si>
    <t xml:space="preserve"> Комплект белья Aras из 3 предметов черный L-XL</t>
  </si>
  <si>
    <t xml:space="preserve"> Комплект белья Aras из 3 предметов черный S-M</t>
  </si>
  <si>
    <t xml:space="preserve"> Откровенный комплект белья Aurora с открытым лифом черный S-M</t>
  </si>
  <si>
    <t xml:space="preserve"> Откровенный комплект белья Aurora с открытым лифом черный L-XL</t>
  </si>
  <si>
    <t xml:space="preserve"> Игривый комплект белья Fabien из 3 предметов черный L-XL</t>
  </si>
  <si>
    <t xml:space="preserve"> Игривый комплект белья Fabien из 3 предметов черный S-M</t>
  </si>
  <si>
    <t xml:space="preserve"> Кружевной комплект белья Gigi с дополнительными бретелями черный S-M</t>
  </si>
  <si>
    <t xml:space="preserve"> Кружевной комплект белья Gigi с дополнительными бретелями черный L-XL</t>
  </si>
  <si>
    <t xml:space="preserve"> Откровенный комплект белья Ksenia с открытой грудью черный L-XL</t>
  </si>
  <si>
    <t xml:space="preserve"> Откровенный комплект белья Ksenia с открытой грудью черный S-M</t>
  </si>
  <si>
    <t xml:space="preserve"> Комплект нижнего белья Effi в мелкий горох черный S-M</t>
  </si>
  <si>
    <t xml:space="preserve"> Комплект нижнего белья Effi в мелкий горох белый S-M</t>
  </si>
  <si>
    <t xml:space="preserve"> Комплект нижнего белья Effi в мелкий горох белый L-XL</t>
  </si>
  <si>
    <t xml:space="preserve"> Комплект нижнего белья Effi в мелкий горох черный L-XL</t>
  </si>
  <si>
    <t xml:space="preserve"> Изысканный комплект белья Catalina с поясом белый L-XL</t>
  </si>
  <si>
    <t xml:space="preserve"> Изысканный комплект белья Catalina с поясом белый S-M</t>
  </si>
  <si>
    <t xml:space="preserve"> Открытый лиф и трусики с рюшами Leo черный с леопардовым M</t>
  </si>
  <si>
    <t xml:space="preserve"> Открытый лиф и трусики с рюшами Leo черный с леопардовым S</t>
  </si>
  <si>
    <t xml:space="preserve"> Открытый лиф и трусики с рюшами Leo черный с леопардовым 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</si>
  <si>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Чёрный полупрозрачный комплект белья Alix с кружевами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</si>
  <si>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Чёрный полупрозрачный комплект белья Alix с кружевами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</si>
  <si>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Cтрогий комплект белья Martine с кружевом и материалом с мокрым блеском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</si>
  <si>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Cтрогий комплект белья Martine с кружевом и материалом с мокрым блеском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</si>
  <si>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t xml:space="preserve"> Изысканный чёрный комплект белья Philippine из материала с мокрым блеском черный M</t>
  </si>
  <si>
    <t xml:space="preserve"> Изысканный чёрный комплект белья Philippine из материала с мокрым блеском черный L</t>
  </si>
  <si>
    <t xml:space="preserve"> Соблазнительный комплект белья Gloria с двухцветным кружевом черный с малиновым L-XL</t>
  </si>
  <si>
    <t xml:space="preserve"> Соблазнительный комплект белья Gloria с двухцветным кружевом черный с малиновым S-M</t>
  </si>
  <si>
    <t xml:space="preserve"> Соблазнительный комплект белья Elodia из лент белый S-M</t>
  </si>
  <si>
    <t xml:space="preserve"> Соблазнительный комплект белья Elodia из лент красный S-M</t>
  </si>
  <si>
    <t xml:space="preserve"> Соблазнительный комплект белья Elodia из лент черный S-M</t>
  </si>
  <si>
    <t xml:space="preserve"> Комплект белья Ginette из лент черный S-M</t>
  </si>
  <si>
    <t xml:space="preserve"> Комплект белья Ginette из лент красный S-M</t>
  </si>
  <si>
    <t xml:space="preserve"> Комплект белья Ginette из лент белый S-M</t>
  </si>
  <si>
    <t xml:space="preserve"> Соблазнительный комплект нижнего белья Lisa белый S-M</t>
  </si>
  <si>
    <t xml:space="preserve"> Соблазнительный комплект нижнего белья Lisa красный S-M</t>
  </si>
  <si>
    <t xml:space="preserve"> Соблазнительный комплект нижнего белья Lisa черный S-M</t>
  </si>
  <si>
    <t xml:space="preserve"> Соблазнительный комплект белья Afesie: лиф и трусики белый M</t>
  </si>
  <si>
    <t xml:space="preserve"> Соблазнительный комплект белья Afesie: лиф и трусики белый XL</t>
  </si>
  <si>
    <t xml:space="preserve"> Соблазнительный комплект белья Afesie: лиф и трусики белый L</t>
  </si>
  <si>
    <t xml:space="preserve"> Соблазнительный комплект белья Afesie: лиф и трусики белый S</t>
  </si>
  <si>
    <t xml:space="preserve"> Ультра соблазнительный комплект белья Esathe черный L</t>
  </si>
  <si>
    <t xml:space="preserve"> Ультра соблазнительный комплект белья Esathe черный XL</t>
  </si>
  <si>
    <t xml:space="preserve"> Ультра соблазнительный комплект белья Esathe черный S</t>
  </si>
  <si>
    <t xml:space="preserve"> Ультра соблазнительный комплект белья Esathe черный M</t>
  </si>
  <si>
    <t xml:space="preserve"> Открытый комплект нижнего белья Foxen черный M</t>
  </si>
  <si>
    <t xml:space="preserve"> Открытый комплект нижнего белья Foxen черный S</t>
  </si>
  <si>
    <t xml:space="preserve"> Открытый комплект нижнего белья Foxen черный L</t>
  </si>
  <si>
    <t xml:space="preserve"> Открытый комплект нижнего белья Foxen черный XL</t>
  </si>
  <si>
    <t xml:space="preserve"> Провокационный комплект белья Yasena: лиф, трусики-стринги и пояс с пажами черный XL</t>
  </si>
  <si>
    <t xml:space="preserve"> Провокационный комплект белья Yasena: лиф, трусики-стринги и пояс с пажами черный L</t>
  </si>
  <si>
    <t xml:space="preserve"> Провокационный комплект белья Yasena: лиф, трусики-стринги и пояс с пажами черный S</t>
  </si>
  <si>
    <t xml:space="preserve"> Провокационный комплект белья Yasena: лиф, трусики-стринги и пояс с пажами черный M</t>
  </si>
  <si>
    <t xml:space="preserve"> Очаровательный комплект белья Oretha белый 5X-6X</t>
  </si>
  <si>
    <t xml:space="preserve"> Очаровательный комплект белья Oretha белый 1X-2X</t>
  </si>
  <si>
    <t xml:space="preserve"> Очаровательный комплект белья Oretha белый 3X-4X</t>
  </si>
  <si>
    <t xml:space="preserve"> Комплект нижнего белья из сетки и кружев черный S-M</t>
  </si>
  <si>
    <t xml:space="preserve"> Комплект нижнего белья из сетки и кружев черный L-XL</t>
  </si>
  <si>
    <t xml:space="preserve"> Соблазнительный комплект белья Amazing из 3 предметов синий с черным L-XL</t>
  </si>
  <si>
    <t xml:space="preserve"> Соблазнительный комплект белья Amazing из 3 предметов синий с черным S-M</t>
  </si>
  <si>
    <t xml:space="preserve"> Яркий комплект женского белья из цветочного ажура красный S-M</t>
  </si>
  <si>
    <t xml:space="preserve"> Яркий комплект женского белья из цветочного ажура красный L-XL</t>
  </si>
  <si>
    <t xml:space="preserve"> Смелый комплект белья из нежного кружева черный L-XL</t>
  </si>
  <si>
    <t xml:space="preserve"> Смелый комплект белья из нежного кружева черный S-M</t>
  </si>
  <si>
    <t xml:space="preserve"> Комплект белья Pauline с цветочным кружевом черный S-M</t>
  </si>
  <si>
    <t xml:space="preserve"> Комплект белья Pauline с цветочным кружевом черный L-XL</t>
  </si>
  <si>
    <t xml:space="preserve"> Комплект белья из яркого ажура красный L-XL</t>
  </si>
  <si>
    <t xml:space="preserve"> Комплект белья из яркого ажура красный S-M</t>
  </si>
  <si>
    <t xml:space="preserve"> Соблазнительный комплект белья Sedusia черный с розовым S-M</t>
  </si>
  <si>
    <t xml:space="preserve"> Соблазнительный комплект белья Sedusia черный с розовым L-XL</t>
  </si>
  <si>
    <t xml:space="preserve"> Соблазнительный комплект нижнего белья с цветочным узором черный L-XL</t>
  </si>
  <si>
    <t xml:space="preserve"> Соблазнительный комплект нижнего белья с цветочным узором черный S-M</t>
  </si>
  <si>
    <t xml:space="preserve"> Игривый комплект белья с бахромой черный S-M</t>
  </si>
  <si>
    <t xml:space="preserve"> Игривый комплект белья с бахромой черный L-XL</t>
  </si>
  <si>
    <t xml:space="preserve"> Дерзкий комплект белья с дополнительными бретелями черный L-XL</t>
  </si>
  <si>
    <t xml:space="preserve"> Дерзкий комплект белья с дополнительными бретелями черный S-M</t>
  </si>
  <si>
    <t xml:space="preserve"> Полупрозрачный ажурный комплект черный S-M</t>
  </si>
  <si>
    <t xml:space="preserve"> Полупрозрачный ажурный комплект черный L-XL</t>
  </si>
  <si>
    <t xml:space="preserve"> Ажурный комплект бикини черный L-XL</t>
  </si>
  <si>
    <t xml:space="preserve"> Ажурный комплект бикини черный S-M</t>
  </si>
  <si>
    <t xml:space="preserve"> Соблазнительный комплект белья с клетчатыми элементами черный S-M</t>
  </si>
  <si>
    <t xml:space="preserve"> Соблазнительный комплект белья с клетчатыми элементами черный L-XL</t>
  </si>
  <si>
    <t xml:space="preserve"> Соблазнительный комплект белья с бусинками красный L-XL</t>
  </si>
  <si>
    <t xml:space="preserve"> Соблазнительный комплект белья с бусинками красный S-M</t>
  </si>
  <si>
    <t xml:space="preserve"> Соблазнительный комплект белья с вышивкой черный с белым S-M</t>
  </si>
  <si>
    <t xml:space="preserve"> Соблазнительный комплект белья с вышивкой черный с белым L-XL</t>
  </si>
  <si>
    <t xml:space="preserve"> Полупрозрачный комплект белья с кружевной отделкой черный L-XL</t>
  </si>
  <si>
    <t xml:space="preserve"> Полупрозрачный комплект белья с кружевной отделкой черный S-M</t>
  </si>
  <si>
    <t xml:space="preserve"> Чарующий комплект белья из нежного кружева с украшением на трусиках красный S-M</t>
  </si>
  <si>
    <t xml:space="preserve"> Чарующий комплект белья из нежного кружева с украшением на трусиках красный L-XL</t>
  </si>
  <si>
    <t xml:space="preserve"> Соблазнительный комплект медсестры из сетки голубой с белым L-XL</t>
  </si>
  <si>
    <t xml:space="preserve"> Соблазнительный комплект медсестры из сетки голубой с белым S-M</t>
  </si>
  <si>
    <t xml:space="preserve"> Комплект белья Lotus черный с бежевым S-M</t>
  </si>
  <si>
    <t xml:space="preserve"> Комплект белья Lotus кремовый S-M</t>
  </si>
  <si>
    <t xml:space="preserve"> Комплект белья Lotus кремовый L-XL</t>
  </si>
  <si>
    <t xml:space="preserve"> Комплект белья Lotus черный с бежевым L-XL</t>
  </si>
  <si>
    <t xml:space="preserve"> Комплект белья Afrodita Plus Size красный XXXL</t>
  </si>
  <si>
    <t xml:space="preserve"> Комплект белья Afrodita Plus Size красный XXL</t>
  </si>
  <si>
    <t xml:space="preserve"> Провокационный комплект белья Chloe Plus Size черный XXL</t>
  </si>
  <si>
    <t xml:space="preserve"> Провокационный комплект белья Chloe Plus Size черный XXXL</t>
  </si>
  <si>
    <t xml:space="preserve"> Провокационный комплект белья Chloe с металлическими колечками черный XL</t>
  </si>
  <si>
    <t xml:space="preserve"> Провокационный комплект белья Chloe с металлическими колечками черный L</t>
  </si>
  <si>
    <t xml:space="preserve"> Провокационный комплект белья Chloe с металлическими колечками черный M</t>
  </si>
  <si>
    <t xml:space="preserve"> Провокационный комплект белья Chloe с металлическими колечками черный S</t>
  </si>
  <si>
    <t xml:space="preserve"> Необычный комплект белья Claire Plus Size черный XXL</t>
  </si>
  <si>
    <t xml:space="preserve"> Необычный комплект белья Claire Plus Size черный XXXL</t>
  </si>
  <si>
    <t xml:space="preserve"> Необычный и очень сексапильный комплект белья Claire с бантами черный XL</t>
  </si>
  <si>
    <t xml:space="preserve"> Необычный и очень сексапильный комплект белья Claire с бантами черный L</t>
  </si>
  <si>
    <t xml:space="preserve"> Необычный и очень сексапильный комплект белья Claire с бантами черный S</t>
  </si>
  <si>
    <t xml:space="preserve"> Необычный и очень сексапильный комплект белья Claire с бантами черный M</t>
  </si>
  <si>
    <t xml:space="preserve"> Полупрозрачный клетчатый комплект белья Clover Plus Size черный XXL</t>
  </si>
  <si>
    <t xml:space="preserve"> Полупрозрачный клетчатый комплект белья Clover Plus Size черный XXXL</t>
  </si>
  <si>
    <t xml:space="preserve"> Полупрозрачный комплект белья Clover из материала в клеточку черный XL</t>
  </si>
  <si>
    <t xml:space="preserve"> Полупрозрачный комплект белья Clover из материала в клеточку черный L</t>
  </si>
  <si>
    <t xml:space="preserve"> Полупрозрачный комплект белья Clover из материала в клеточку черный M</t>
  </si>
  <si>
    <t xml:space="preserve"> Полупрозрачный комплект белья Clover из материала в клеточку черный S</t>
  </si>
  <si>
    <t xml:space="preserve"> Комплект белья Donna Plus Size из 3 предметов черный XXXL</t>
  </si>
  <si>
    <t xml:space="preserve"> Комплект белья Donna Plus Size из 3 предметов черный XXL</t>
  </si>
  <si>
    <t xml:space="preserve"> Комплект белья с цветочным узором Donna из 3 предметов черный L</t>
  </si>
  <si>
    <t xml:space="preserve"> Комплект белья с цветочным узором Donna из 3 предметов черный XL</t>
  </si>
  <si>
    <t xml:space="preserve"> Комплект белья с цветочным узором Donna из 3 предметов черный S</t>
  </si>
  <si>
    <t xml:space="preserve"> Комплект белья с цветочным узором Donna из 3 предметов черный M</t>
  </si>
  <si>
    <t xml:space="preserve"> Открытый комплект белья Doris Plus Size с украшением на шее красный XXL</t>
  </si>
  <si>
    <t xml:space="preserve"> Открытый комплект белья Doris Plus Size с украшением на шее красный XXXL</t>
  </si>
  <si>
    <t xml:space="preserve"> Откровенный комплект женского белья Hope Plus Size белый XXXL</t>
  </si>
  <si>
    <t xml:space="preserve"> Откровенный комплект женского белья Hope Plus Size белый XXL</t>
  </si>
  <si>
    <t xml:space="preserve"> Откровенный комплект женского белья Hope Plus Size черный XXXL</t>
  </si>
  <si>
    <t xml:space="preserve"> Откровенный комплект женского белья Hope Plus Size черный XXL</t>
  </si>
  <si>
    <t xml:space="preserve"> Чувственный комплект белья Pleasure Plus Size из 3 предметов черный XXL</t>
  </si>
  <si>
    <t xml:space="preserve"> Чувственный комплект белья Pleasure Plus Size из 3 предметов черный XXXL</t>
  </si>
  <si>
    <t xml:space="preserve"> Провокационный комплект белья Serena Plus Size из 3 предметов черный XXXL</t>
  </si>
  <si>
    <t xml:space="preserve"> Провокационный комплект белья Serena Plus Size из 3 предметов черный XXL</t>
  </si>
  <si>
    <t xml:space="preserve"> Кокетливый комплект белья Ferrara Plus Size черный с розовым XXL</t>
  </si>
  <si>
    <t xml:space="preserve"> Кокетливый комплект белья Ferrara Plus Size черный с розовым XXXL</t>
  </si>
  <si>
    <t xml:space="preserve"> Комплект белья из 3 предметов Tierra Plus Size черный XXXL</t>
  </si>
  <si>
    <t xml:space="preserve"> Комплект белья из 3 предметов Tierra Plus Size черный XXL</t>
  </si>
  <si>
    <t xml:space="preserve"> Комплект белья Iralin Plus Size с цветочным рисунком на трусиках черный XXL</t>
  </si>
  <si>
    <t xml:space="preserve"> Комплект белья Iralin Plus Size с цветочным рисунком на трусиках черный XXXL</t>
  </si>
  <si>
    <t xml:space="preserve"> Полупрозрачный комплект белья Afesie Plus Size белый XXXL</t>
  </si>
  <si>
    <t xml:space="preserve"> Полупрозрачный комплект белья Afesie Plus Size белый XXL</t>
  </si>
  <si>
    <t xml:space="preserve"> Соблазнительный комплект белья Esathe Plus Size черный XXL</t>
  </si>
  <si>
    <t xml:space="preserve"> Соблазнительный комплект белья Esathe Plus Size черный XXXL</t>
  </si>
  <si>
    <t xml:space="preserve"> Ажурный комплект белья Menei Plus Size черный XXXL</t>
  </si>
  <si>
    <t xml:space="preserve"> Ажурный комплект белья Menei Plus Size черный XXL</t>
  </si>
  <si>
    <t xml:space="preserve"> Провокационный комплект белья Yasena Plus Size черный XXL</t>
  </si>
  <si>
    <t xml:space="preserve"> Провокационный комплект белья Yasena Plus Size черный XXXL</t>
  </si>
  <si>
    <t xml:space="preserve"> Комплект нижнего белья Aquilo Plus Size черный XXXL</t>
  </si>
  <si>
    <t xml:space="preserve"> Комплект нижнего белья Aquilo Plus Size черный XXL</t>
  </si>
  <si>
    <t xml:space="preserve"> Полупрозрачный комплект белья Fendia черный 3X-4X</t>
  </si>
  <si>
    <t xml:space="preserve"> Полупрозрачный комплект белья Fendia черный 5X-6X</t>
  </si>
  <si>
    <t xml:space="preserve"> Полупрозрачный комплект белья Fendia черный 1X-2X</t>
  </si>
  <si>
    <t xml:space="preserve"> Эффектный комплект белья Vivienne с открытой грудью черный с фиолетовым XL</t>
  </si>
  <si>
    <t xml:space="preserve"> Эффектный комплект белья Vivienne с открытой грудью черный с фиолетовым S</t>
  </si>
  <si>
    <t xml:space="preserve"> Эффектный комплект белья Vivienne с открытой грудью черный L</t>
  </si>
  <si>
    <t xml:space="preserve"> Эффектный комплект белья Vivienne с открытой грудью черный M</t>
  </si>
  <si>
    <t xml:space="preserve"> Комплект белья Vivienne Plus Size с открытой грудью черный с фиолетовым XXL</t>
  </si>
  <si>
    <t xml:space="preserve"> Комплект белья Sonya Plus Size с металлическими колечками белый XXL</t>
  </si>
  <si>
    <t xml:space="preserve"> Комплект белья Sonya Plus Size с металлическими колечками белый XXXL</t>
  </si>
  <si>
    <t xml:space="preserve"> Соблазнительный комплект белья Foxen Plus Size черный XXXL</t>
  </si>
  <si>
    <t xml:space="preserve"> Соблазнительный комплект белья Foxen Plus Size черный XXL</t>
  </si>
  <si>
    <t xml:space="preserve"> Соблазнительный комплект белья Breve Plus Size бирюзовый XXL</t>
  </si>
  <si>
    <t xml:space="preserve"> Соблазнительный комплект белья Breve Plus Size бирюзовый XXXL</t>
  </si>
  <si>
    <t xml:space="preserve"> Дерзкий комплект белья Tiffiny Plus Size черный XXXL</t>
  </si>
  <si>
    <t xml:space="preserve"> Дерзкий комплект белья Tiffiny Plus Size черный XXL</t>
  </si>
  <si>
    <t xml:space="preserve"> Дерзкий комплект белья Tiffiny с перчатками черный XL</t>
  </si>
  <si>
    <t xml:space="preserve"> Дерзкий комплект белья Tiffiny с перчатками черный L</t>
  </si>
  <si>
    <t xml:space="preserve"> Дерзкий комплект белья Tiffiny с перчатками черный S</t>
  </si>
  <si>
    <t xml:space="preserve"> Дерзкий комплект белья Tiffiny с перчатками черный M</t>
  </si>
  <si>
    <t xml:space="preserve"> Комплект белья Heaven Plus Size с мокрым блеском черный XXL</t>
  </si>
  <si>
    <t xml:space="preserve"> Комплект белья Heaven Plus Size с мокрым блеском черный XXXL</t>
  </si>
  <si>
    <t xml:space="preserve"> Комплект белья Heaven с полуоткрытым лифом и мокрым блеском черный XL</t>
  </si>
  <si>
    <t xml:space="preserve"> Комплект белья Heaven с полуоткрытым лифом и мокрым блеском черный S</t>
  </si>
  <si>
    <t xml:space="preserve"> Комплект белья Heaven с полуоткрытым лифом и мокрым блеском черный L</t>
  </si>
  <si>
    <t xml:space="preserve"> Комплект белья Heaven с полуоткрытым лифом и мокрым блеском черный M</t>
  </si>
  <si>
    <t xml:space="preserve"> Микро-бикини Chiquita Plus Size из полупрозрачного ажура белый XXL</t>
  </si>
  <si>
    <t xml:space="preserve"> Микро-бикини Chiquita Plus Size из полупрозрачного ажура белый XXXL</t>
  </si>
  <si>
    <t xml:space="preserve"> Микро-бикини Chiquita из полупрозрачного кружева белый XL</t>
  </si>
  <si>
    <t xml:space="preserve"> Микро-бикини Chiquita из полупрозрачного кружева белый L</t>
  </si>
  <si>
    <t xml:space="preserve"> Микро-бикини Chiquita из полупрозрачного кружева белый S</t>
  </si>
  <si>
    <t xml:space="preserve"> Микро-бикини Chiquita из полупрозрачного кружева белый M</t>
  </si>
  <si>
    <t xml:space="preserve"> Ошеломительный комплект белья Largo Plus Size белый XXL</t>
  </si>
  <si>
    <t xml:space="preserve"> Ошеломительный комплект белья Largo Plus Size белый XXXL</t>
  </si>
  <si>
    <t xml:space="preserve"> Сексуальный комплект белья Largo белый XL</t>
  </si>
  <si>
    <t xml:space="preserve"> Сексуальный комплект белья Largo белый S</t>
  </si>
  <si>
    <t xml:space="preserve"> Сексуальный комплект белья Largo белый L</t>
  </si>
  <si>
    <t xml:space="preserve"> Сексуальный комплект белья Largo белый M</t>
  </si>
  <si>
    <t xml:space="preserve"> Кружевной комплект белья Arlett Plus Size с цветочным узором белый XXL</t>
  </si>
  <si>
    <t xml:space="preserve"> Кружевной комплект белья Arlett Plus Size с цветочным узором белый XXXL</t>
  </si>
  <si>
    <t xml:space="preserve"> Мини-бикини Cate Plus Size из нежного кружева черный XXXL</t>
  </si>
  <si>
    <t xml:space="preserve"> Мини-бикини Cate Plus Size из нежного кружева черный XXL</t>
  </si>
  <si>
    <t xml:space="preserve"> Кружевное мини-бикини Cate черный XL</t>
  </si>
  <si>
    <t xml:space="preserve"> Кружевное мини-бикини Cate черный L</t>
  </si>
  <si>
    <t xml:space="preserve"> Кружевное мини-бикини Cate черный S</t>
  </si>
  <si>
    <t xml:space="preserve"> Кружевное мини-бикини Cate черный M</t>
  </si>
  <si>
    <t xml:space="preserve"> Роскошный комплект белья Lulie Plus Size из воздушного тонкого кружева черный XXL</t>
  </si>
  <si>
    <t xml:space="preserve"> Роскошный комплект белья Lulie Plus Size из воздушного тонкого кружева черный XXXL</t>
  </si>
  <si>
    <t xml:space="preserve"> Комплект белья Mango Plus Size с вставками из страз черный XXXL</t>
  </si>
  <si>
    <t xml:space="preserve"> Комплект белья Mango Plus Size с вставками из страз черный XXL</t>
  </si>
  <si>
    <t xml:space="preserve"> Комплект белья Donna Plus Size из 2 предметов черный XXL</t>
  </si>
  <si>
    <t xml:space="preserve"> Комплект белья Donna Plus Size из 2 предметов черный XXXL</t>
  </si>
  <si>
    <t xml:space="preserve"> Полупрозрачный комплект белья Donna из 2 предметов черный XL</t>
  </si>
  <si>
    <t xml:space="preserve"> Полупрозрачный комплект белья Donna из 2 предметов черный S</t>
  </si>
  <si>
    <t xml:space="preserve"> Полупрозрачный комплект белья Donna из 2 предметов черный L</t>
  </si>
  <si>
    <t xml:space="preserve"> Полупрозрачный комплект белья Donna из 2 предметов черный M</t>
  </si>
  <si>
    <t xml:space="preserve"> Невесомый комплект Charlize Plus Size: топ и шорты черный XXL</t>
  </si>
  <si>
    <t xml:space="preserve"> Невесомый комплект Charlize Plus Size: топ и шорты черный XXXL</t>
  </si>
  <si>
    <t xml:space="preserve"> Кружевной комплект белья Miren Plus Size из 3 предметов черный XXXL</t>
  </si>
  <si>
    <t xml:space="preserve"> Кружевной комплект белья Miren Plus Size из 3 предметов черный XXL</t>
  </si>
  <si>
    <t xml:space="preserve"> Изысканный комплект белья Miren из 3 предметов черный XL</t>
  </si>
  <si>
    <t xml:space="preserve"> Изысканный комплект белья Miren из 3 предметов черный L</t>
  </si>
  <si>
    <t xml:space="preserve"> Изысканный комплект белья Miren из 3 предметов черный S</t>
  </si>
  <si>
    <t xml:space="preserve"> Изысканный комплект белья Miren из 3 предметов черный M</t>
  </si>
  <si>
    <t xml:space="preserve"> Нежный комплект для сна Marcia Plus Size с кружевной оторочкой красный XXL</t>
  </si>
  <si>
    <t xml:space="preserve"> Нежный комплект для сна Marcia Plus Size с кружевной оторочкой красный XXXL</t>
  </si>
  <si>
    <t xml:space="preserve"> Яркий комплект белья для сна Petra красная шотландка XL</t>
  </si>
  <si>
    <t xml:space="preserve"> Яркий комплект белья для сна Petra красный S</t>
  </si>
  <si>
    <t xml:space="preserve"> Яркий комплект белья для сна Petra красный L</t>
  </si>
  <si>
    <t xml:space="preserve"> Яркий комплект белья для сна Petra красный M</t>
  </si>
  <si>
    <t xml:space="preserve"> Кружевной комплект белья Cristal Plus Size со шнуровками черный XXL</t>
  </si>
  <si>
    <t xml:space="preserve"> Кружевной комплект белья Cristal Plus Size со шнуровками черный XXXL</t>
  </si>
  <si>
    <t xml:space="preserve"> Кружевной комплект белья Cristal черный XL</t>
  </si>
  <si>
    <t xml:space="preserve"> Кружевной комплект белья Cristal черный L</t>
  </si>
  <si>
    <t xml:space="preserve"> Кружевной комплект белья Cristal черный S</t>
  </si>
  <si>
    <t xml:space="preserve"> Кружевной комплект белья Cristal черный M</t>
  </si>
  <si>
    <t xml:space="preserve"> Соблазнительный комплект белья Estell Plus Size черный XXL</t>
  </si>
  <si>
    <t xml:space="preserve"> Соблазнительный комплект белья Estell Plus Size черный XXXL</t>
  </si>
  <si>
    <t xml:space="preserve"> Соблазнительный комплект белья Estell с красными бантиками черный XL</t>
  </si>
  <si>
    <t xml:space="preserve"> Соблазнительный комплект белья Estell с красными бантиками черный L</t>
  </si>
  <si>
    <t xml:space="preserve"> Соблазнительный комплект белья Estell с красными бантиками черный S</t>
  </si>
  <si>
    <t xml:space="preserve"> Соблазнительный комплект белья Estell с красными бантиками черный M</t>
  </si>
  <si>
    <t xml:space="preserve"> Откровенный комплект белья Polyos Plus Size черный XXXL</t>
  </si>
  <si>
    <t xml:space="preserve"> Откровенный комплект белья Polyos Plus Size черный XXL</t>
  </si>
  <si>
    <t xml:space="preserve"> Открытый комплект белья Polyos из стреп-лент черный XL</t>
  </si>
  <si>
    <t xml:space="preserve"> Открытый комплект белья Polyos из стреп-лент черный S</t>
  </si>
  <si>
    <t xml:space="preserve"> Открытый комплект белья Polyos из стреп-лент черный L</t>
  </si>
  <si>
    <t xml:space="preserve"> Открытый комплект белья Polyos из стреп-лент черный M</t>
  </si>
  <si>
    <t xml:space="preserve"> Яркий комплект белья Brianna Plus Size из 2 предметов черный с красным XXL</t>
  </si>
  <si>
    <t xml:space="preserve"> Яркий комплект белья Brianna Plus Size из 2 предметов черный с красным XXXL</t>
  </si>
  <si>
    <t xml:space="preserve"> Соблазнительный двухцветный комплект белья Brianna из 2 предметов черный с красным XL</t>
  </si>
  <si>
    <t xml:space="preserve"> Соблазнительный двухцветный комплект белья Brianna из 2 предметов черный с красным S</t>
  </si>
  <si>
    <t xml:space="preserve"> Соблазнительный двухцветный комплект белья Brianna из 2 предметов черный с красным L</t>
  </si>
  <si>
    <t xml:space="preserve"> Соблазнительный двухцветный комплект белья Brianna из 2 предметов черный с красным M</t>
  </si>
  <si>
    <t xml:space="preserve"> Оригинальный комплект белья Tess черный S-M</t>
  </si>
  <si>
    <t xml:space="preserve"> Оригинальный комплект белья Tess черный L-XL</t>
  </si>
  <si>
    <t xml:space="preserve"> Полупрозрачный комплект нижнего белья с бантиками красный L-XL</t>
  </si>
  <si>
    <t xml:space="preserve"> Полупрозрачный комплект нижнего белья с бантиками красный S-M</t>
  </si>
  <si>
    <t xml:space="preserve"> Комплект белья Carla с открытым лифом черный S-M</t>
  </si>
  <si>
    <t xml:space="preserve"> Комплект белья Carla с открытым лифом черный L-XL</t>
  </si>
  <si>
    <t xml:space="preserve"> Соблазнительный комплект женского белья Isidora с кружевами черный L-XL</t>
  </si>
  <si>
    <t xml:space="preserve"> Соблазнительный комплект женского белья Isidora с кружевами черный S-M</t>
  </si>
  <si>
    <t xml:space="preserve"> Комплект белья Isidora Plus Size с кружевами черный XXL-XXXL</t>
  </si>
  <si>
    <t xml:space="preserve"> Откровенный комплект белья Rita Plus Size с открытым лифом красный XXL-XXXL</t>
  </si>
  <si>
    <t xml:space="preserve"> Пикантный комплект белья Goldie с полуоткрытым лифом и кружевом золотистый с черным S-M</t>
  </si>
  <si>
    <t xml:space="preserve"> Пикантный комплект белья Goldie с полуоткрытым лифом и кружевом золотистый с черным L-XL</t>
  </si>
  <si>
    <t xml:space="preserve"> Провокационный комплект белья Diva с контрастной строчкой черный L-XL</t>
  </si>
  <si>
    <t xml:space="preserve"> Провокационный комплект белья Diva с контрастной строчкой черный S-M</t>
  </si>
  <si>
    <t xml:space="preserve"> Провокационный комплект белья Diva Plus Size с контрастной строчкой черный XXL-XXXL</t>
  </si>
  <si>
    <t xml:space="preserve"> Соблазнительный кружевной комплект белья Amelie с открытым лифом белый S-M</t>
  </si>
  <si>
    <t xml:space="preserve"> Соблазнительный кружевной комплект белья Amelie с открытым лифом белый L-XL</t>
  </si>
  <si>
    <t xml:space="preserve"> Соблазнительный кружевной комплект белья Amelie Plus Size с открытым лифом белый XXL-XXXL</t>
  </si>
  <si>
    <t xml:space="preserve"> Озорной комплект белья Anette на завязках белый L-XL</t>
  </si>
  <si>
    <t xml:space="preserve"> Озорной комплект белья Anette на завязках белый S-M</t>
  </si>
  <si>
    <t xml:space="preserve"> Комплект белья Capri из ткани с wet-эффектом черный S-M</t>
  </si>
  <si>
    <t xml:space="preserve"> Комплект белья Capri из ткани с wet-эффектом черный L-XL</t>
  </si>
  <si>
    <t xml:space="preserve"> Строгий комплект белья Capri Plus Size из ткани с wet-эффектом. черный XXL-XXXL</t>
  </si>
  <si>
    <t xml:space="preserve"> Комплект белья Expression Plus Size черный XXL-XXXL</t>
  </si>
  <si>
    <t xml:space="preserve"> Соблазнительный комплект белья Neddy с wet-эффектом черный L-XL</t>
  </si>
  <si>
    <t xml:space="preserve"> Соблазнительный комплект белья Neddy с wet-эффектом черный S-M</t>
  </si>
  <si>
    <t xml:space="preserve"> Нежный комплект белья Ofelia Plus Size с полуоткрытой грудью белый XXL-XXXL</t>
  </si>
  <si>
    <t xml:space="preserve"> Кокетливый комплект белья Angela из 2 предметов черный S-M</t>
  </si>
  <si>
    <t xml:space="preserve"> Кокетливый комплект белья Angela из 2 предметов белый S-M</t>
  </si>
  <si>
    <t xml:space="preserve"> Кокетливый комплект белья Angela из 2 предметов красный S-M</t>
  </si>
  <si>
    <t xml:space="preserve"> Кокетливый комплект белья Angela из 2 предметов черный L-XL</t>
  </si>
  <si>
    <t xml:space="preserve"> Кокетливый комплект белья Angela из 2 предметов белый L-XL</t>
  </si>
  <si>
    <t xml:space="preserve"> Сексапильный комплект Diana из 2 предметов белый L-XL</t>
  </si>
  <si>
    <t xml:space="preserve"> Сексапильный комплект Diana из 2 предметов красный L-XL</t>
  </si>
  <si>
    <t xml:space="preserve"> Сексапильный комплект Diana из 2 предметов белый S-M</t>
  </si>
  <si>
    <t xml:space="preserve"> Сексапильный комплект Diana из 2 предметов красный S-M</t>
  </si>
  <si>
    <t xml:space="preserve"> Сексапильный комплект Diana из 2 предметов черный S-M</t>
  </si>
  <si>
    <t xml:space="preserve"> Сексапильный комплект Diana из 2 предметов черный L-XL</t>
  </si>
  <si>
    <t xml:space="preserve"> Сексапильный тюлевый комплект белья Diana Plus Size из 2 предметов белый XXL-XXXL</t>
  </si>
  <si>
    <t xml:space="preserve"> Сексапильный тюлевый комплект белья Diana Plus Size из 2 предметов красный XXL-XXXL</t>
  </si>
  <si>
    <t xml:space="preserve"> Сексапильный тюлевый комплект белья Diana Plus Size из 2 предметов черный XXL-XXXL</t>
  </si>
  <si>
    <t xml:space="preserve"> Оригинальный комплект белья Catalina из рюшевых лент черный S-M</t>
  </si>
  <si>
    <t xml:space="preserve"> Оригинальный комплект белья Catalina из рюшевых лент черный L-XL</t>
  </si>
  <si>
    <t xml:space="preserve"> Оригинальный комплект белья Catalina Plus Size из рюшевых лент черный XXL-XXXL</t>
  </si>
  <si>
    <t xml:space="preserve"> Полупрозрачный комплект белья Candace с кружевной отделкой белый L-XL</t>
  </si>
  <si>
    <t xml:space="preserve"> Полупрозрачный комплект белья Candace с кружевной отделкой белый S-M</t>
  </si>
  <si>
    <t xml:space="preserve"> Игривый комплект белья Alexis со стреп-лентами черный S-M</t>
  </si>
  <si>
    <t xml:space="preserve"> Игривый комплект белья Alexis со стреп-лентами черный L-XL</t>
  </si>
  <si>
    <t xml:space="preserve"> Игривый комплект белья Alexis Plus Size со стреп-лентами черный XXL-XXXL</t>
  </si>
  <si>
    <t xml:space="preserve"> Соблазнительный комплект белья Isa со шнуровками черный L-XL</t>
  </si>
  <si>
    <t xml:space="preserve"> Соблазнительный комплект белья Isa со шнуровками черный S-M</t>
  </si>
  <si>
    <t xml:space="preserve"> Соблазнительный комплект белья Isa Plus Size со шнуровками черный XXL-XXXL</t>
  </si>
  <si>
    <t xml:space="preserve"> Чувственный комплект белья Anita из стреп-лент черный S-M</t>
  </si>
  <si>
    <t xml:space="preserve"> Чувственный комплект белья Anita из стреп-лент белый S-M</t>
  </si>
  <si>
    <t xml:space="preserve"> Чувственный комплект белья Anita из стреп-лент красный S-M</t>
  </si>
  <si>
    <t xml:space="preserve"> Чувственный комплект белья Anita из стреп-лент черный L-XL</t>
  </si>
  <si>
    <t xml:space="preserve"> Чувственный комплект белья Anita из стреп-лент белый L-XL</t>
  </si>
  <si>
    <t xml:space="preserve"> Чувственный комплект белья Anita из стреп-лент красный L-XL</t>
  </si>
  <si>
    <t xml:space="preserve"> Чувственный комплект белья Anita Plus Size из стреп-лент черный XXL-XXXL</t>
  </si>
  <si>
    <t xml:space="preserve"> Чувственный комплект белья Anita Plus Size из стреп-лент красный XXL-XXXL</t>
  </si>
  <si>
    <t xml:space="preserve"> Чувственный комплект белья Anita Plus Size из стреп-лент белый XXL-XXXL</t>
  </si>
  <si>
    <t xml:space="preserve"> Игривый комплект белья Babette Plus Size из стреп-лент с оборочками черный XXL-XXXL</t>
  </si>
  <si>
    <t xml:space="preserve"> Чувственный ажурный комплект белья Steffie черный L-XL</t>
  </si>
  <si>
    <t xml:space="preserve"> Чувственный ажурный комплект белья Steffie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</si>
  <si>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Camille Plus Size с кружевными элементами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</si>
  <si>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Camille Plus Size с кружевными элементами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6X-7X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</si>
  <si>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Camille Plus Size с кружевными элементами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4X-5X </d:t>
    </d:r>
  </si>
  <si>
    <t xml:space="preserve"> Соблазнительный комплект нижнего белья Aura с кружевом черный S-M</t>
  </si>
  <si>
    <t xml:space="preserve"> Соблазнительный комплект нижнего белья Aura с кружевом черный L-XL</t>
  </si>
  <si>
    <t xml:space="preserve"> Соблазнительный комплект белья Aura Plus Size с ажуром черный XXL-XXXL</t>
  </si>
  <si>
    <t xml:space="preserve"> Соблазнительный комплект белья Imagine с полуоткрытым лифом черный L-XL</t>
  </si>
  <si>
    <t xml:space="preserve"> Соблазнительный комплект белья Imagine с полуоткрытым лифом черный S-M</t>
  </si>
  <si>
    <t xml:space="preserve"> Комплект белья Ramona Plus Size со шнуровками черный XXL-XXXL</t>
  </si>
  <si>
    <t xml:space="preserve"> Полупрозрачный комплект белья Ulla на завязках черный S-M</t>
  </si>
  <si>
    <t xml:space="preserve"> Полупрозрачный комплект белья Ulla на завязках черный L-XL</t>
  </si>
  <si>
    <t xml:space="preserve"> Чарующий комплект белья Ulla Plus Size на завязках черный XXL-XXXL</t>
  </si>
  <si>
    <t xml:space="preserve"> Комплект белья Will Plus Size с подтяжками, бантами и подвязками черный XXL-XXXL</t>
  </si>
  <si>
    <t xml:space="preserve"> Соблазнительный комплект белья Celia Plus Size с прозрачными вставками черный XXL-XXXL</t>
  </si>
  <si>
    <t xml:space="preserve"> Соблазнительный комплект белья Celia Plus Size с прозрачными вставками красный с черным XXL-XXXL</t>
  </si>
  <si>
    <t xml:space="preserve"> Чарующий комплект белья Karmina с открытым лифом и двухцветным кружевом черный с красным L-XL</t>
  </si>
  <si>
    <t xml:space="preserve"> Чарующий комплект белья Karmina с открытым лифом и двухцветным кружевом черный с красным S-M</t>
  </si>
  <si>
    <t xml:space="preserve"> Чарующий комплект белья Karmina Plus Size с открытым лифом и двухцветным кружевом черный с красным XXL-XXXL</t>
  </si>
  <si>
    <t xml:space="preserve"> Комплект белья Rayen Plus Size с кружевами и широким поясом для чулок черный XXL-XXXL</t>
  </si>
  <si>
    <t xml:space="preserve"> Комплект белья Rayen Plus Size с кружевами и широким поясом для чулок красный XXL-XXXL</t>
  </si>
  <si>
    <t xml:space="preserve"> Полупрозрачный комплект белья Libby Plus Size с бантиками черный XXL-XXXL</t>
  </si>
  <si>
    <t xml:space="preserve"> Соблазнительный комплект белья Nora с розовыми бантиками черный S-M</t>
  </si>
  <si>
    <t xml:space="preserve"> Соблазнительный комплект белья Nora с розовыми бантиками черный L-XL</t>
  </si>
  <si>
    <t xml:space="preserve"> Соблазнительный комплект белья Nora Plus Size с розовыми бантиками черный XXL-XXXL</t>
  </si>
  <si>
    <t xml:space="preserve"> Чувственный полупрозрачный комплект белья Vasper со сборочками черный L-XL</t>
  </si>
  <si>
    <t xml:space="preserve"> Чувственный полупрозрачный комплект белья Vasper со сборочками черный S-M</t>
  </si>
  <si>
    <t xml:space="preserve"> Пикантный полупрозрачный комплект белья Amore красный One Size</t>
  </si>
  <si>
    <t xml:space="preserve"> Пикантный полупрозрачный комплект белья Amore белый One Size</t>
  </si>
  <si>
    <t xml:space="preserve"> Пикантный полупрозрачный комплект белья Amore черный One Size</t>
  </si>
  <si>
    <t xml:space="preserve"> Игривый комплект белья Giana с разрезами, бантиками и рюшками по краю черный с красным S-M</t>
  </si>
  <si>
    <t xml:space="preserve"> Игривый комплект белья Giana с разрезами, бантиками и рюшками по краю белый с красным S-M</t>
  </si>
  <si>
    <t xml:space="preserve"> Игривый комплект белья Giana с разрезами, бантиками и рюшками по краю черный с красным L-XL</t>
  </si>
  <si>
    <t xml:space="preserve"> Игривый комплект белья Giana с разрезами, бантиками и рюшками по краю белый с красным L-XL</t>
  </si>
  <si>
    <t xml:space="preserve"> Игривый комплект белья Giana Plus Size с разрезами, бантиками и рюшами по краю черный с красным XXL-XXXL</t>
  </si>
  <si>
    <t xml:space="preserve"> Игривый комплект белья Giana Plus Size с разрезами, бантиками и рюшами по краю белый с красным XXL-XXXL</t>
  </si>
  <si>
    <t xml:space="preserve"> Оригинальный комплект Lucia Plus Size с оборкой черный XXL-XXXL</t>
  </si>
  <si>
    <t xml:space="preserve"> Игривый комплект белья Lumia Lumia из двух видов материала черный L-XL</t>
  </si>
  <si>
    <t xml:space="preserve"> Игривый комплект белья Lumia Lumia из двух видов материала черный S-M</t>
  </si>
  <si>
    <t xml:space="preserve"> Игривый комплект Lumia Plus Size из двух разных по плотности материалов черный XXL-XXXL</t>
  </si>
  <si>
    <t xml:space="preserve"> Ажурный комплект женского белья Melissa с контрастными шнуровками черный с красным S-M</t>
  </si>
  <si>
    <t xml:space="preserve"> Ажурный комплект женского белья Melissa с контрастными шнуровками черный с красным L-XL</t>
  </si>
  <si>
    <t xml:space="preserve"> Кружевной комплект белья Melissa Plus Size с контрастными шнуровками черный с красным XXL-XXXL</t>
  </si>
  <si>
    <t xml:space="preserve"> Пикантный комплект Melissa Plus Size со шнуровками черный с красным XXL-XXXL</t>
  </si>
  <si>
    <t xml:space="preserve"> Комплект белья Nadya Plus Size с каплевидными вырезами на лифе черный XXL-XXXL</t>
  </si>
  <si>
    <t xml:space="preserve"> Соблазнительный комплект белья Rosalia со шнуровками и яркими оборками черный с красным L-XL</t>
  </si>
  <si>
    <t xml:space="preserve"> Соблазнительный комплект белья Rosalia со шнуровками и яркими оборками черный с красным S-M</t>
  </si>
  <si>
    <t xml:space="preserve"> Соблазнительный комплект белья Rosalia Plus Size со шнуровками и яркими оборками черный с красным XXL-XXXL</t>
  </si>
  <si>
    <t xml:space="preserve"> Комплект белья Sandra Plus Size из 3 предметов с широким поясом для чулок черный с красным XXL-XXXL</t>
  </si>
  <si>
    <t xml:space="preserve"> Комплект белья Sandra Plus Size из 3 предметов с широким поясом для чулок черный XXL-XXXL</t>
  </si>
  <si>
    <t xml:space="preserve"> Полупрозрачный комплект Zoe Plus Size со шнуровкой черный XXL-XXXL</t>
  </si>
  <si>
    <t xml:space="preserve"> Игривый комплект белья Fabien Plus Size из 3 предметов черный XXL-XXXL</t>
  </si>
  <si>
    <t xml:space="preserve"> Оригинальный комплект белья Aras из цветочного кружева черный с розовым S-M</t>
  </si>
  <si>
    <t xml:space="preserve"> Оригинальный комплект белья Aras из цветочного кружева черный с розовым L-XL</t>
  </si>
  <si>
    <t xml:space="preserve"> Оригинальный комплект белья Aras Plus Size из цветочного кружева черный с розовым XXL-XXXL</t>
  </si>
  <si>
    <t xml:space="preserve"> Комплект белья Effi Plus Size в мелкий горох белый XXL-XXXL</t>
  </si>
  <si>
    <t xml:space="preserve"> Комплект белья Effi Plus Size в мелкий горох черный XXL-XXXL</t>
  </si>
  <si>
    <t xml:space="preserve"> Соблазнительный комплект белья Larisa с кружевными элементами черный с белым 6X-7X</t>
  </si>
  <si>
    <t xml:space="preserve"> Соблазнительный комплект белья Larisa с кружевными элементами черный с белым 4X-5X</t>
  </si>
  <si>
    <t xml:space="preserve"> Комплект белья Zoja в тонкую полоску с изысканным цветочным кружевом черный 4X-5X</t>
  </si>
  <si>
    <t xml:space="preserve"> Комплект белья Zoja в тонкую полоску с изысканным цветочным кружевом черный 6X-7X</t>
  </si>
  <si>
    <t xml:space="preserve"> Комплект белья Zoja в тонкую полоску с изысканным цветочным кружевом черный XXL-XXXL</t>
  </si>
  <si>
    <t xml:space="preserve"> Комплект белья Zoja в тонкую полоску с изысканным цветочным кружевом черный L-XL</t>
  </si>
  <si>
    <t xml:space="preserve"> Комплект белья Zoja в тонкую полоску с изысканным цветочным кружевом черный S-M</t>
  </si>
  <si>
    <t xml:space="preserve"> Чарующий комплект белья Diamond из нежного кружева черный S-M</t>
  </si>
  <si>
    <t xml:space="preserve"> Чарующий комплект белья Diamond из нежного кружева черный L-XL</t>
  </si>
  <si>
    <t xml:space="preserve"> Изысканный комплект белья Ravenna с пажами лиловый L-XL</t>
  </si>
  <si>
    <t xml:space="preserve"> Изысканный комплект белья Ravenna с пажами черный S-M</t>
  </si>
  <si>
    <t xml:space="preserve"> Изысканный комплект белья Ravenna с пажами лиловый S-M</t>
  </si>
  <si>
    <t xml:space="preserve"> Изысканный комплект белья Ravenna с пажами черный L-XL</t>
  </si>
  <si>
    <t xml:space="preserve"> Комплект белья Coctail Plus Size с пикантными вырезами красный с черным XXL-XXXL</t>
  </si>
  <si>
    <t xml:space="preserve"> Игривый комплект белья Kelly с золотистыми рюшками черный S-M</t>
  </si>
  <si>
    <t xml:space="preserve"> Игривый комплект белья Kelly с золотистыми рюшками черный L-XL</t>
  </si>
  <si>
    <t xml:space="preserve"> Озорной комплект белья Kelly Plus Size с золотистыми рюшками черный XXL-XXXL</t>
  </si>
  <si>
    <t xml:space="preserve"> Провокационный комплект белья Laura Plus Size с бантиками черный XXL-XXXL</t>
  </si>
  <si>
    <t xml:space="preserve"> Интригующий комплект белья Melody белый L-XL</t>
  </si>
  <si>
    <t xml:space="preserve"> Интригующий комплект белья Melody белый S-M</t>
  </si>
  <si>
    <t xml:space="preserve"> Озорной комплект Melody Plus Size из прозрачного тюля белый XXL-XXXL</t>
  </si>
  <si>
    <t xml:space="preserve"> Чувственный комплект белья Diva с контрастной вышивкой черный с красным S-M</t>
  </si>
  <si>
    <t xml:space="preserve"> Чувственный комплект белья Diva с контрастной вышивкой черный с красным L-XL</t>
  </si>
  <si>
    <t xml:space="preserve"> Нитяной комплект белья Jess Plus Size из 3 предметов белый XXL-XXXL</t>
  </si>
  <si>
    <t xml:space="preserve"> Нитяной комплект белья Jess Plus Size из 3 предметов черный XXL-XXXL</t>
  </si>
  <si>
    <t xml:space="preserve"> Нитяной комплект белья Jess Plus Size из 3 предметов красный XXL-XXXL</t>
  </si>
  <si>
    <t xml:space="preserve"> Кокетливый комплект белья Aras Plus Size из 3 предметов черный XXL-XXXL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</si>
  <si>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Ismena с цветочной вышивкой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</si>
  <si>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Ismena с цветочной вышивкой </d:t>
    </d:r>
    <d:r xmlns:d="http://schemas.openxmlformats.org/spreadsheetml/2006/main">
      <d:rPr>
        <d:sz val="11"/>
        <d:color rgb="FF000000"/>
        <d:rFont val="Calibri"/>
      </d:rPr>
      <d:t>фиолетовый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</si>
  <si>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Ismena с цветочной вышивкой </d:t>
    </d:r>
    <d:r xmlns:d="http://schemas.openxmlformats.org/spreadsheetml/2006/main">
      <d:rPr>
        <d:sz val="11"/>
        <d:color rgb="FF000000"/>
        <d:rFont val="Calibri"/>
      </d:rPr>
      <d:t>фиолетовый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</si>
  <si>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Ismena с цветочной вышивкой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</si>
  <si>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t xml:space="preserve"> Изысканный комплект белья La bonita из 3 предметов красный с черным S-M</t>
  </si>
  <si>
    <t xml:space="preserve"> Изысканный комплект белья La bonita из 3 предметов белый S-M</t>
  </si>
  <si>
    <t xml:space="preserve"> Изысканный комплект белья La bonita из 3 предметов белый L-XL</t>
  </si>
  <si>
    <t xml:space="preserve"> Изысканный комплект белья La bonita из 3 предметов красный с черным L-XL</t>
  </si>
  <si>
    <t xml:space="preserve"> Строгий комплект белья Priscilla с кружевом белый L-XL</t>
  </si>
  <si>
    <t xml:space="preserve"> Строгий комплект белья Priscilla с кружевом черный L-XL</t>
  </si>
  <si>
    <t xml:space="preserve"> Строгий комплект белья Priscilla с кружевом белый S-M</t>
  </si>
  <si>
    <t xml:space="preserve"> Строгий комплект белья Priscilla с кружевом черный S-M</t>
  </si>
  <si>
    <t xml:space="preserve"> Чарующий комплект белья Eve с открытым лифом и нежным кружевом черный S-M</t>
  </si>
  <si>
    <t xml:space="preserve"> Чарующий комплект белья Eve с открытым лифом и нежным кружевом коралловый S-M</t>
  </si>
  <si>
    <t xml:space="preserve"> Чарующий комплект белья Eve с открытым лифом и нежным кружевом черный L-XL</t>
  </si>
  <si>
    <t xml:space="preserve"> Чарующий комплект белья Eve с открытым лифом и нежным кружевом коралловый L-XL</t>
  </si>
  <si>
    <t xml:space="preserve"> Комплект белья Rodos Plus Size с кружевными элементами красный с черным XXL-XXXL</t>
  </si>
  <si>
    <t xml:space="preserve"> Комплект белья Eden Plus Size с открытой грудью нежно-голубой XXL-XXXL</t>
  </si>
  <si>
    <t xml:space="preserve"> Нежный комплект белья Celestine из кружева черный L-XL</t>
  </si>
  <si>
    <t xml:space="preserve"> Нежный комплект белья Celestine из кружева черный S-M</t>
  </si>
  <si>
    <t xml:space="preserve"> Пикантный комплект нижнего белья Berenice черный S-M</t>
  </si>
  <si>
    <t xml:space="preserve"> Пикантный комплект нижнего белья Berenice черный L-XL</t>
  </si>
  <si>
    <t xml:space="preserve"> Эффектный комплект Eliane Plus Size с чулками белый XXL-XXXL</t>
  </si>
  <si>
    <t xml:space="preserve"> Эффектный комплект Eliane Plus Size с чулками черный XXL-XXXL</t>
  </si>
  <si>
    <t xml:space="preserve"> Эффектный комплект Eliane Plus Size с чулками красный XXL-XXXL</t>
  </si>
  <si>
    <t xml:space="preserve"> Нитяной комплект белья Samantha Plus Size из 2 предметов черный XXL-XXXL</t>
  </si>
  <si>
    <t xml:space="preserve"> Нитяной комплект белья Samantha Plus Size из 2 предметов белый XXL-XXXL</t>
  </si>
  <si>
    <t xml:space="preserve"> Нитяной комплект белья Samantha Plus Size из 2 предметов красный XXL-XXXL</t>
  </si>
  <si>
    <t xml:space="preserve"> Лаковый комплект белья Arielle из 3 предметов черный L-XL</t>
  </si>
  <si>
    <t xml:space="preserve"> Лаковый комплект белья Arielle из 3 предметов белый L-XL</t>
  </si>
  <si>
    <t xml:space="preserve"> Лаковый комплект белья Arielle из 3 предметов красный L-XL</t>
  </si>
  <si>
    <t xml:space="preserve"> Лаковый комплект белья Arielle из 3 предметов черный S-M</t>
  </si>
  <si>
    <t xml:space="preserve"> Лаковый комплект белья Arielle из 3 предметов белый S-M</t>
  </si>
  <si>
    <t xml:space="preserve"> Лаковый комплект белья Arielle из 3 предметов красный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</si>
  <si>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Mia с открытой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</si>
  <si>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Mia с открытой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</si>
  <si>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t xml:space="preserve"> Чувственный полупрозрачный комплект белья Vasper Plus Size со сборочками черный XXL-XXXL</t>
  </si>
  <si>
    <t xml:space="preserve"> Комплект белья Loretta Plus Size с сетчатыми рюшами черный XXL-XXXL</t>
  </si>
  <si>
    <t xml:space="preserve"> Ажурный комплект белья Gigi Plus Size с дополнительными бретелями черный XXL-XXXL</t>
  </si>
  <si>
    <t xml:space="preserve"> Откровенный комплект белья Mercedes Plus Size с кружевами черный XXL-XXXL</t>
  </si>
  <si>
    <t xml:space="preserve"> Комплект белья Palmira со скрещенными на животе бретелями черный L-XL</t>
  </si>
  <si>
    <t xml:space="preserve"> Комплект белья Palmira со скрещенными на животе бретелями белый L-XL</t>
  </si>
  <si>
    <t xml:space="preserve"> Комплект белья Palmira со скрещенными на животе бретелями красный L-XL</t>
  </si>
  <si>
    <t xml:space="preserve"> Комплект белья Palmira со скрещенными на животе бретелями черный S-M</t>
  </si>
  <si>
    <t xml:space="preserve"> Комплект белья Palmira со скрещенными на животе бретелями красный S-M</t>
  </si>
  <si>
    <t xml:space="preserve"> Комплект белья Palmira со скрещенными на животе бретелями белый S-M</t>
  </si>
  <si>
    <t xml:space="preserve"> Комплект белья Palmira Plus Size со скрещенными на животе бретелями белый XXL-XXXL</t>
  </si>
  <si>
    <t xml:space="preserve"> Комплект белья Palmira Plus Size со скрещенными на животе бретелями черный XXL-XXXL</t>
  </si>
  <si>
    <t xml:space="preserve"> Комплект белья Palmira Plus Size со скрещенными на животе бретелями красный XXL-XXXL</t>
  </si>
  <si>
    <t xml:space="preserve"> Кружевной комплект белья Piedade в духе 70-х черный L-XL</t>
  </si>
  <si>
    <t xml:space="preserve"> Кружевной комплект белья Piedade в духе 70-х черный S-M</t>
  </si>
  <si>
    <t xml:space="preserve"> Кружевной комплект белья Piedade Plus Size в духе 70-х черный XXL-XXXL</t>
  </si>
  <si>
    <t xml:space="preserve"> Чувственный комплект белья Ramira с открытым лифом черный L-XL</t>
  </si>
  <si>
    <t xml:space="preserve"> Чувственный комплект белья Ramira с открытым лифом черный S-M</t>
  </si>
  <si>
    <t xml:space="preserve"> Чувственный комплект белья Ramira с открытым лифом красный S-M</t>
  </si>
  <si>
    <t xml:space="preserve"> Чувственный комплект белья Ramira с открытым лифом красный L-XL</t>
  </si>
  <si>
    <t xml:space="preserve"> Чувственный комплект белья Ramira Plus Size с открытым лифом красный XXL-XXXL</t>
  </si>
  <si>
    <t xml:space="preserve"> Чувственный комплект белья Ramira Plus Size с открытым лифом черный XXL-XXXL</t>
  </si>
  <si>
    <t xml:space="preserve"> Дерзкий комплект белья Yvette Plus Size с капюшоном черный XXL-XXXL</t>
  </si>
  <si>
    <t xml:space="preserve"> Дерзкий комплект белья Yvette Plus Size с капюшоном красный XXL-XXXL</t>
  </si>
  <si>
    <t xml:space="preserve"> Открытый комплект белья Lena с красными батиками черный L-XL</t>
  </si>
  <si>
    <t xml:space="preserve"> Открытый комплект белья Lena с красными батиками белый L-XL</t>
  </si>
  <si>
    <t xml:space="preserve"> Открытый комплект белья Lena с красными батиками белый S-M</t>
  </si>
  <si>
    <t xml:space="preserve"> Открытый комплект белья Lena с красными батиками черный S-M</t>
  </si>
  <si>
    <t xml:space="preserve"> Открытый комплект белья Lena Plus Size с красными батиками белый XXL-XXXL</t>
  </si>
  <si>
    <t xml:space="preserve"> Открытый комплект белья Lena Plus Size с красными батиками черный XXL-XXXL</t>
  </si>
  <si>
    <t xml:space="preserve"> Открытый стреп-комплект нижнего белья Valentina черный L-XL</t>
  </si>
  <si>
    <t xml:space="preserve"> Открытый стреп-комплект нижнего белья Valentina черный S-M</t>
  </si>
  <si>
    <t xml:space="preserve"> Откровенный комплект белья Justine из лент белый XXL-XXXL</t>
  </si>
  <si>
    <t xml:space="preserve"> Откровенный комплект белья Justine из лент красный XXL-XXXL</t>
  </si>
  <si>
    <t xml:space="preserve"> Откровенный комплект белья Justine из лент черный XXL-XXXL</t>
  </si>
  <si>
    <t xml:space="preserve"> Откровенный комплект белья Maya Plus Size из стреп-лент черный XXL-XXXL</t>
  </si>
  <si>
    <t xml:space="preserve"> Откровенный комплект белья Maya Plus Size из стреп-лент красный XXL-XXXL</t>
  </si>
  <si>
    <t xml:space="preserve"> Откровенный комплект белья Maya Plus Size из стреп-лент белый XXL-XXXL</t>
  </si>
  <si>
    <t xml:space="preserve"> Чарующий комплект белья Serenity с открытым лифом черный L-XL</t>
  </si>
  <si>
    <t xml:space="preserve"> Чарующий комплект белья Serenity с открытым лифом черный S-M</t>
  </si>
  <si>
    <t xml:space="preserve"> Комплект белья Pauline Plus Size с кружевом черный XXL-XXXL</t>
  </si>
  <si>
    <t xml:space="preserve"> Кружевной комплект нижнего белья Peyton из 3 предметов черный L-XL</t>
  </si>
  <si>
    <t xml:space="preserve"> Кружевной комплект нижнего белья Peyton из 3 предметов черный S-M</t>
  </si>
  <si>
    <t xml:space="preserve"> Ультра соблазнительный комплект белья Arietta с прозрачными вставками черный S-M</t>
  </si>
  <si>
    <t xml:space="preserve"> Ультра соблазнительный комплект белья Arietta с прозрачными вставками черный L-XL</t>
  </si>
  <si>
    <t xml:space="preserve"> Кружевной комплект белья Henriette с узором в виде паутинок черный L-XL</t>
  </si>
  <si>
    <t xml:space="preserve"> Кружевной комплект белья Henriette с узором в виде паутинок черный S-M</t>
  </si>
  <si>
    <t xml:space="preserve"> Соблазнительный комплект белья Gloria Plus Size с двухцветным кружевом черный с малиновым XXL-XXXL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</si>
  <si>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Miriam в греческом стиле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</si>
  <si>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Miriam в греческом стиле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</si>
  <si>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Miriam в греческом стиле </d:t>
    </d:r>
    <d:r xmlns:d="http://schemas.openxmlformats.org/spreadsheetml/2006/main">
      <d:rPr>
        <d:sz val="11"/>
        <d:color rgb="FF000000"/>
        <d:rFont val="Calibri"/>
      </d:rPr>
      <d:t>белый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</si>
  <si>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Miriam в греческом стиле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</si>
  <si>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t xml:space="preserve"> Кружевной комплект белья Mailys из 3 предметов черный S-M</t>
  </si>
  <si>
    <t xml:space="preserve"> Кружевной комплект белья Mailys из 3 предметов черный L-XL</t>
  </si>
  <si>
    <t xml:space="preserve"> Ультра соблазнительный комплект белья Brida с открытым лифом черный L-XL</t>
  </si>
  <si>
    <t xml:space="preserve"> Ультра соблазнительный комплект белья Brida с открытым лифом черный S-M</t>
  </si>
  <si>
    <t xml:space="preserve"> Ультра соблазнительный комплект белья Brida с открытым лифом красный с черным S-M</t>
  </si>
  <si>
    <t xml:space="preserve"> Ультра соблазнительный комплект белья Brida с открытым лифом красный с черным L-XL</t>
  </si>
  <si>
    <t xml:space="preserve"> Ультра соблазнительный комплект белья Brida Plus Size с открытым лифом черный XXL-XXXL</t>
  </si>
  <si>
    <t xml:space="preserve"> Ультра соблазнительный комплект белья Brida Plus Size с открытым лифом красный с черным XXL-XXXL</t>
  </si>
  <si>
    <t xml:space="preserve"> Комплект белья Haya с узором в виде цветов и веточек черный L-XL</t>
  </si>
  <si>
    <t xml:space="preserve"> Комплект белья Haya с узором в виде цветов и веточек черный S-M</t>
  </si>
  <si>
    <t xml:space="preserve"> Комплект белья Haya Plus Size с узором в виде цветов и веточек черный XXL-XXXL</t>
  </si>
  <si>
    <t xml:space="preserve"> Яркий комплект белья Loraine с бежевым кружевом красный S-M</t>
  </si>
  <si>
    <t xml:space="preserve"> Яркий комплект белья Loraine с бежевым кружевом красный L-XL</t>
  </si>
  <si>
    <t xml:space="preserve"> Яркий комплект белья Loraine Plus Size с бежевым кружевом красный XXL-XXXL</t>
  </si>
  <si>
    <t xml:space="preserve"> Комплект белья Lotus Plus Size из 3 предметов черный с бежевым XXL-XXXL</t>
  </si>
  <si>
    <t xml:space="preserve"> Комплект белья Lotus Plus Size из 3 предметов кремовый XXL-XXXL</t>
  </si>
  <si>
    <t xml:space="preserve"> Комплект белья Montana Plus Size с цветочным принтом черный XXL-XXXL</t>
  </si>
  <si>
    <t xml:space="preserve"> Элегантный комплект белья Petra Plus Size с мелкими цветочками на кружеве черный XXL-XXXL</t>
  </si>
  <si>
    <t xml:space="preserve"> Комплект белья Suelo Plus Size с контрастным кружевом белый с черным XXL-XXXL</t>
  </si>
  <si>
    <t xml:space="preserve"> Чарующий комплект белья Olimpia с открытым лифом золотистый с черным L-XL</t>
  </si>
  <si>
    <t xml:space="preserve"> Чарующий комплект белья Olimpia с открытым лифом золотистый с черным S-M</t>
  </si>
  <si>
    <t xml:space="preserve"> Роскошный кружевной комплект белья Shaquila с аксессуарами для любовной игры черный S-M</t>
  </si>
  <si>
    <t xml:space="preserve"> Роскошный кружевной комплект белья Shaquila с аксессуарами для любовной игры черный L-XL</t>
  </si>
  <si>
    <t xml:space="preserve"> Дерзкий комплект белья Yvette с капюшоном черный L-XL</t>
  </si>
  <si>
    <t xml:space="preserve"> Дерзкий комплект белья Yvette с капюшоном черный S-M</t>
  </si>
  <si>
    <t xml:space="preserve"> Дерзкий комплект белья Yvette с капюшоном красный S-M</t>
  </si>
  <si>
    <t xml:space="preserve"> Дерзкий комплект белья Yvette с капюшоном красный L-XL</t>
  </si>
  <si>
    <t xml:space="preserve"> Кружевной комплект белья Aryana черный L-XL</t>
  </si>
  <si>
    <t xml:space="preserve"> Кружевной комплект белья Aryana черный S-M</t>
  </si>
  <si>
    <t xml:space="preserve"> Откровенный комплект белья Monroe с открытой грудью и молнией на трусиках черный S-M</t>
  </si>
  <si>
    <t xml:space="preserve"> Откровенный комплект белья Monroe с открытой грудью и молнией на трусиках красный S-M</t>
  </si>
  <si>
    <t xml:space="preserve"> Откровенный комплект белья Monroe с открытой грудью и молнией на трусиках белый S-M</t>
  </si>
  <si>
    <t xml:space="preserve"> Откровенный комплект белья Monroe с открытой грудью и молнией на трусиках черный L-XL</t>
  </si>
  <si>
    <t xml:space="preserve"> Откровенный комплект белья Monroe с открытой грудью и молнией на трусиках красный L-XL</t>
  </si>
  <si>
    <t xml:space="preserve"> Откровенный комплект белья Monroe с открытой грудью и молнией на трусиках белый L-XL</t>
  </si>
  <si>
    <t xml:space="preserve"> Откровенный комплект Monroe Plus Size с открытой грудью и молнией на трусиках белый XXL-XXXL</t>
  </si>
  <si>
    <t xml:space="preserve"> Откровенный комплект Monroe Plus Size с открытой грудью и молнией на трусиках черный XXL-XXXL</t>
  </si>
  <si>
    <t xml:space="preserve"> Откровенный комплект Monroe Plus Size с открытой грудью и молнией на трусиках красный XXL-XXXL</t>
  </si>
  <si>
    <t xml:space="preserve"> Ультра соблазнительный комплект белья Arietta Plus Size с прозрачными вставками черный XXL-XXXL</t>
  </si>
  <si>
    <t xml:space="preserve"> Провокационный комплект белья с бантиками Laura черный L-XL</t>
  </si>
  <si>
    <t xml:space="preserve"> Провокационный комплект белья с бантиками Laura черный S-M</t>
  </si>
  <si>
    <t xml:space="preserve"> Открытый стреп-комплект Valentina Plus Size с бантом на лифе черный XXL-XXXL</t>
  </si>
  <si>
    <t xml:space="preserve"> Оригинальный комплект Tess Plus Size черный XXL-XXXL</t>
  </si>
  <si>
    <t xml:space="preserve"> Откровенный комплект нижнего белья Rita с открытым лифом красный S-M</t>
  </si>
  <si>
    <t xml:space="preserve"> Откровенный комплект нижнего белья Rita с открытым лифом красный L-XL</t>
  </si>
  <si>
    <t xml:space="preserve"> Кружевной комплект белья Ida: бралетт и трусы-уверты черный S-M</t>
  </si>
  <si>
    <t xml:space="preserve"> Кружевной комплект белья Ida: бралетт и трусы-уверты черный M-L</t>
  </si>
  <si>
    <t xml:space="preserve"> Кружевной комплект нижнего белья Suzi черный с белым M-L</t>
  </si>
  <si>
    <t xml:space="preserve"> Кружевной комплект нижнего белья Suzi черный с белым S-M</t>
  </si>
  <si>
    <t xml:space="preserve"> Чувственный кружевной комплект белья Marilyn черный S-M</t>
  </si>
  <si>
    <t xml:space="preserve"> Чувственный кружевной комплект белья Marilyn черный L-XL</t>
  </si>
  <si>
    <t xml:space="preserve"> Кружевной комплект нижнего белья Belinda черный L-XL</t>
  </si>
  <si>
    <t xml:space="preserve"> Кружевной комплект нижнего белья Belinda черный S-M</t>
  </si>
  <si>
    <t xml:space="preserve"> Игривый комплект белья с открытыми сзади трусиками черный One Size</t>
  </si>
  <si>
    <t xml:space="preserve"> Нежный комплект нижнего белья с полупрозрачными деталями белый S-M</t>
  </si>
  <si>
    <t xml:space="preserve"> Нежный комплект нижнего белья с полупрозрачными деталями белый L-XL</t>
  </si>
  <si>
    <t xml:space="preserve"> Восхитительный комплект белья из 3 предметов с малиновым кружевом черный с малиновым L-XL</t>
  </si>
  <si>
    <t xml:space="preserve"> Восхитительный комплект белья из 3 предметов с малиновым кружевом черный с малиновым S-M</t>
  </si>
  <si>
    <t xml:space="preserve"> Яркий комплект нижнего белья с малиновым кружевом черный с малиновым S-M</t>
  </si>
  <si>
    <t xml:space="preserve"> Яркий комплект нижнего белья с малиновым кружевом черный с малиновым L-XL</t>
  </si>
  <si>
    <t xml:space="preserve"> Роскошный комплект белья Floris с двухцветным кружевом черный L-XL</t>
  </si>
  <si>
    <t xml:space="preserve"> Роскошный комплект белья Floris с двухцветным кружевом черный S-M</t>
  </si>
  <si>
    <t xml:space="preserve"> Роскошный комплект белья Floris Plus Size с двухцветным кружевом черный XXL-XXXL</t>
  </si>
  <si>
    <t xml:space="preserve"> Чувственный комплект белья Hagar со стреп-лентами черный S-M</t>
  </si>
  <si>
    <t xml:space="preserve"> Чувственный комплект белья Hagar со стреп-лентами черный L-XL</t>
  </si>
  <si>
    <t xml:space="preserve"> Чувственный комплект белья Hagar Plus Size со стреп-лентами черный XXL-XXXL</t>
  </si>
  <si>
    <t xml:space="preserve"> Интересный комплект белья Helia с широкими плотными бретелями черный L-XL</t>
  </si>
  <si>
    <t xml:space="preserve"> Интересный комплект белья Helia с широкими плотными бретелями черный S-M</t>
  </si>
  <si>
    <t xml:space="preserve"> Интересный комплект белья Helia Plus Size с широкими плотными бретелями черный XXL-XXXL</t>
  </si>
  <si>
    <t xml:space="preserve"> Пикантный комплект белья Hera с открытым лифом и колечками поверх сосков розовый с черным S-M</t>
  </si>
  <si>
    <t xml:space="preserve"> Пикантный комплект белья Hera с открытым лифом и колечками поверх сосков черный с красным S-M</t>
  </si>
  <si>
    <t xml:space="preserve"> Пикантный комплект белья Hera с открытым лифом и колечками поверх сосков розовый с черным L-XL</t>
  </si>
  <si>
    <t xml:space="preserve"> Пикантный комплект белья Hera с открытым лифом и колечками поверх сосков черный с красным L-XL</t>
  </si>
  <si>
    <t xml:space="preserve"> Пикантный комплект белья Hera Plus Size с открытым лифом и колечками поверх сосков черный с красным XXL-XXXL</t>
  </si>
  <si>
    <t xml:space="preserve"> Пикантный комплект белья Hera Plus Size с открытым лифом и колечками поверх сосков розовый с черным XXL-XXXL</t>
  </si>
  <si>
    <t xml:space="preserve"> Шикарный комплект белья Alcyone Plus Size из цветочного кружева черный XXL</t>
  </si>
  <si>
    <t xml:space="preserve"> Шикарный комплект белья Alcyone Plus Size из цветочного кружева черный XXXL</t>
  </si>
  <si>
    <t xml:space="preserve"> Шикарный комплект белья Alcyone из цветочного кружева черный M</t>
  </si>
  <si>
    <t xml:space="preserve"> Шикарный комплект белья Alcyone из цветочного кружева черный S</t>
  </si>
  <si>
    <t xml:space="preserve"> Шикарный комплект белья Alcyone из цветочного кружева черный L</t>
  </si>
  <si>
    <t xml:space="preserve"> Шикарный комплект белья Alcyone из цветочного кружева черный XL</t>
  </si>
  <si>
    <t xml:space="preserve"> Комплект белья Kyane Plus Size со стразами черный XXL</t>
  </si>
  <si>
    <t xml:space="preserve"> Комплект белья Kyane Plus Size со стразами черный XXXL</t>
  </si>
  <si>
    <t xml:space="preserve"> Эротический комплект белья Kyane со стразами черный XL</t>
  </si>
  <si>
    <t xml:space="preserve"> Эротический комплект белья Kyane со стразами черный L</t>
  </si>
  <si>
    <t xml:space="preserve"> Эротический комплект белья Kyane со стразами черный M</t>
  </si>
  <si>
    <t xml:space="preserve"> Эротический комплект белья Kyane со стразами черный S</t>
  </si>
  <si>
    <t xml:space="preserve"> Контактный комплект белья Echo Plus Size из стреп-лент черный XXXL</t>
  </si>
  <si>
    <t xml:space="preserve"> Контактный комплект белья Echo Plus Size из стреп-лент черный XXL</t>
  </si>
  <si>
    <t xml:space="preserve"> Контактный комплект нижнего белья Echo из стреп-лент черный L</t>
  </si>
  <si>
    <t xml:space="preserve"> Контактный комплект нижнего белья Echo из стреп-лент черный XL</t>
  </si>
  <si>
    <t xml:space="preserve"> Контактный комплект нижнего белья Echo из стреп-лент черный S</t>
  </si>
  <si>
    <t xml:space="preserve"> Контактный комплект нижнего белья Echo из стреп-лент черный M</t>
  </si>
  <si>
    <t xml:space="preserve"> Комплект белья с высокими трусиками Mireille черный M</t>
  </si>
  <si>
    <t xml:space="preserve"> Комплект белья с высокими трусиками Mireille черный S</t>
  </si>
  <si>
    <t xml:space="preserve"> Комплект белья с высокими трусиками Mireille черный L</t>
  </si>
  <si>
    <t xml:space="preserve"> Роскошный комплект белья Pola черный L</t>
  </si>
  <si>
    <t xml:space="preserve"> Роскошный комплект белья Pola черный S</t>
  </si>
  <si>
    <t xml:space="preserve"> Роскошный комплект белья Pola черный M</t>
  </si>
  <si>
    <t xml:space="preserve"> Комплект белья Yolande с нежными кружевными вставками черный M</t>
  </si>
  <si>
    <t xml:space="preserve"> Комплект белья Yolande с нежными кружевными вставками черный S</t>
  </si>
  <si>
    <t xml:space="preserve"> Комплект белья Yolande с нежными кружевными вставками черный L</t>
  </si>
  <si>
    <t xml:space="preserve"> Комплект белья Gabrielle с трусиками и эффектным бюстом черный L</t>
  </si>
  <si>
    <t xml:space="preserve"> Комплект белья Gabrielle с трусиками и эффектным бюстом черный S</t>
  </si>
  <si>
    <t xml:space="preserve"> Комплект белья Gabrielle с трусиками и эффектным бюстом черный M</t>
  </si>
  <si>
    <t xml:space="preserve"> Комплект белья Vanda с высоким поясом черный M</t>
  </si>
  <si>
    <t xml:space="preserve"> Комплект белья Vanda с высоким поясом черный S</t>
  </si>
  <si>
    <t xml:space="preserve"> Комплект белья Vanda с высоким поясом черный L</t>
  </si>
  <si>
    <t xml:space="preserve"> Комплект белья Grace с кружевом и контурными лентами черный L</t>
  </si>
  <si>
    <t xml:space="preserve"> Комплект белья Grace с кружевом и контурными лентами черный S</t>
  </si>
  <si>
    <t xml:space="preserve"> Комплект белья Grace с кружевом и контурными лентами черный 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</si>
  <si>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Эффектный комплект белья из сетки </d:t>
    </d:r>
    <d:r xmlns:d="http://schemas.openxmlformats.org/spreadsheetml/2006/main">
      <d:rPr>
        <d:sz val="11"/>
        <d:color rgb="FF000000"/>
        <d:rFont val="Calibri"/>
      </d:rPr>
      <d:t>розовый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</si>
  <si>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Эффектный комплект белья из 2 предметов CAGE ME IN 2PC BRA &amp; PANTY </d:t>
    </d:r>
    <d:r xmlns:d="http://schemas.openxmlformats.org/spreadsheetml/2006/main">
      <d:rPr>
        <d:sz val="11"/>
        <d:color rgb="FF000000"/>
        <d:rFont val="Calibri"/>
      </d:rPr>
      <d:t>розовый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</si>
  <si>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Сетчатый комплект из лифа и трусиков-стринг NICE SET FISHNET BIKINI SET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</si>
  <si>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Сетчатый комплект из лифа и трусиков-стринг NICE SET FISHNET BIKINI SET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</si>
  <si>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Женственный комплект белья на завязках 2PC LACE TIE-UP BRA &amp; THONG SET </d:t>
    </d:r>
    <d:r xmlns:d="http://schemas.openxmlformats.org/spreadsheetml/2006/main">
      <d:rPr>
        <d:sz val="11"/>
        <d:color rgb="FF000000"/>
        <d:rFont val="Calibri"/>
      </d:rPr>
      <d:t>ярко-розовый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</si>
  <si>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Mia с цветочным кружевом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</si>
  <si>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Mia с цветочным кружевом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</si>
  <si>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Mia Plus Size с кружевом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</si>
  <si>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North с пикантными вырезами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</si>
  <si>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North с пикантными вырезами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</si>
  <si>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North Plus Size с пикантными вырезами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</si>
  <si>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Элегантный комплект белья Tonya из 3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</si>
  <si>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Элегантный комплект белья Tonya из 3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</si>
  <si>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Провокационный комплект белья Morgan из 3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</si>
  <si>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Провокационный комплект белья Morgan из 3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</si>
  <si>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Яркий двухцветный комплект белья Akita из кружева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</si>
  <si>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Яркий двухцветный комплект белья Akita из кружева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</si>
  <si>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Яркий двухцветный комплект белья Akita Plus Size с широким поясом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</si>
  <si>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Jade с мелкими цветочками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</si>
  <si>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Jade с мелкими цветочками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</si>
  <si>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Откровенный контактный комплект белья Magali из 3 предметов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</si>
  <si>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Откровенный контактный комплект белья Magali из 3 предметов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</si>
  <si>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Игривый комплект белья Xante с доступом </d:t>
    </d:r>
    <d:r xmlns:d="http://schemas.openxmlformats.org/spreadsheetml/2006/main">
      <d:rPr>
        <d:sz val="11"/>
        <d:color rgb="FF000000"/>
        <d:rFont val="Calibri"/>
      </d:rPr>
      <d:t>голубой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</si>
  <si>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Игривый комплект белья Xante с доступом </d:t>
    </d:r>
    <d:r xmlns:d="http://schemas.openxmlformats.org/spreadsheetml/2006/main">
      <d:rPr>
        <d:sz val="11"/>
        <d:color rgb="FF000000"/>
        <d:rFont val="Calibri"/>
      </d:rPr>
      <d:t>голубой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</si>
  <si>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Нежный комплект белья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</si>
  <si>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Нежный комплект белья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</si>
  <si>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нижнего белья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</si>
  <si>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нижнего белья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</si>
  <si>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кружевной комплект белья из кружева с ресничками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</si>
  <si>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кружевной комплект белья из кружева с ресничками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</si>
  <si>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кружевной комплект белья из кружева с ресничками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</si>
  <si>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кружевной комплект белья из кружева с ресничками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</si>
  <si>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белья с кошачьими ушками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</si>
  <si>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белья Plus Size с «ресничками»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</si>
  <si>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Plus Size: топ, трусики-стринги, чулки, перчатки-митенки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</si>
  <si>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Черный комплект белья из 4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</si>
  <si>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Черный комплект белья из 4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</si>
  <si>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Черный комплект белья из 4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</si>
  <si>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Черный комплект белья из 4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</si>
  <si>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белья Plus Size: бралетт и трусики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</si>
  <si>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</si>
  <si>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</si>
  <si>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</si>
  <si>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</si>
  <si>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Роскошный комплект белья с широким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</si>
  <si>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Роскошный комплект белья с широким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</si>
  <si>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из двух предметов с открытым доступом </d:t>
    </d:r>
    <d:r xmlns:d="http://schemas.openxmlformats.org/spreadsheetml/2006/main">
      <d:rPr>
        <d:sz val="11"/>
        <d:color rgb="FF000000"/>
        <d:rFont val="Calibri"/>
      </d:rPr>
      <d:t>черный с красным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</si>
  <si>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 Janet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</si>
  <si>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 Janet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</si>
  <si>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 Janet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</si>
  <si>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 Janet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</si>
  <si>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 Janet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</si>
  <si>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нижнего белья Janet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</si>
  <si>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белья с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</si>
  <si>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белья с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</si>
  <si>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Костюм-трансформер - помощница Санты или алый комплект белья с оборками </d:t>
    </d:r>
    <d:r xmlns:d="http://schemas.openxmlformats.org/spreadsheetml/2006/main">
      <d:rPr>
        <d:sz val="11"/>
        <d:color rgb="FF000000"/>
        <d:rFont val="Calibri"/>
      </d:rPr>
      <d:t>красный с белым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</si>
  <si>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Костюм-трансформер - помощница Санты или алый комплект белья с оборками </d:t>
    </d:r>
    <d:r xmlns:d="http://schemas.openxmlformats.org/spreadsheetml/2006/main">
      <d:rPr>
        <d:sz val="11"/>
        <d:color rgb="FF000000"/>
        <d:rFont val="Calibri"/>
      </d:rPr>
      <d:t>красный с белым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</si>
  <si>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комплект белья Burlesque из тюля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</si>
  <si>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комплект белья Burlesque из тюля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</si>
  <si>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Coline с вставками из сеточки и ошейником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</si>
  <si>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комплект белья Coline с вставками из сеточки и ошейником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</si>
  <si>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двухцветный комплект белья Nea с цветочным кружевом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</si>
  <si>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двухцветный комплект белья Nea с цветочным кружевом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</si>
  <si>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Кокетливый комплект белья Ivone с изысканным темно-синим кружевом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</si>
  <si>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Кокетливый комплект белья Ivone с изысканным темно-синим кружевом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</si>
  <si>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эластичный комплект белья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</si>
  <si>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Эластичный комплект белья с дополнительными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</si>
  <si>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Игривый полупрозрачный комплект белья с гартерами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</si>
  <si>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Игривый полупрозрачный комплект белья с гартерами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</si>
  <si>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Эффектный кружевной комплект белья с чашечками на косточке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</si>
  <si>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Эффектный кружевной комплект белья с чашечками на косточке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</si>
  <si>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кружевной комплект белья Maxime с пикантными окошками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</si>
  <si>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кружевной комплект белья Maxime с пикантными окошками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</si>
  <si>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кружевной комплект белья Maxime с пикантными окошками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</si>
  <si>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кружевной комплект белья Maxime с пикантными окошками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</si>
  <si>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кружевной комплект белья Maxime Plus Size с пикантными окошками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</si>
  <si>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кружевной комплект белья Maxime Plus Size с пикантными окошками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</si>
  <si>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Волнующий кружевной комплект белья Lou из 3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</si>
  <si>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Волнующий кружевной комплект белья Lou из 3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</si>
  <si>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Волшебный комплект белья Rebecca с прозрачными вставками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</si>
  <si>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Волшебный комплект белья Rebecca с прозрачными вставками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</si>
  <si>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Aziza из стреп-лент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</si>
  <si>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Aziza из стреп-лент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</si>
  <si>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Экстравагантный комплект нижнего белья Lamis со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</si>
  <si>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Экстравагантный комплект нижнего белья Lamis со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</si>
  <si>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Экстравагантный комплект белья Lamis Plus Size со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</si>
  <si>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Откровенный комплект белья Midori с открытым лифом и перфорацией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</si>
  <si>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Откровенный комплект белья Midori с открытым лифом и перфорацией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</si>
  <si>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Откровенный комплект белья Midori Plus Size с открытым лифом и перфорацией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</si>
  <si>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Кокетливый комплект белья Praline с полуоткрытым лифом </d:t>
    </d:r>
    <d:r xmlns:d="http://schemas.openxmlformats.org/spreadsheetml/2006/main">
      <d:rPr>
        <d:sz val="11"/>
        <d:color rgb="FF000000"/>
        <d:rFont val="Calibri"/>
      </d:rPr>
      <d:t>черный с розовым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</si>
  <si>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Кокетливый комплект белья Praline с полуоткрытым лифом </d:t>
    </d:r>
    <d:r xmlns:d="http://schemas.openxmlformats.org/spreadsheetml/2006/main">
      <d:rPr>
        <d:sz val="11"/>
        <d:color rgb="FF000000"/>
        <d:rFont val="Calibri"/>
      </d:rPr>
      <d:t>черный с розовым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</si>
  <si>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белья Saria с открытым лифом и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</si>
  <si>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Кружевной комплект белья Saria с открытым лифом и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</si>
  <si>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Откровенный комплект белья Valery с открытым лифом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</si>
  <si>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Откровенный комплект белья Valery с открытым лифом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</si>
  <si>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Navel из ткани с wet-look эффектом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</si>
  <si>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Navel из ткани с wet-look эффектом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</si>
  <si>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Роскошный кружевной комплект из топа и трусиков-шортиков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</si>
  <si>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Роскошный кружевной комплект из топа и трусиков-шортиков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</si>
  <si>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кружевной комплект белья с высоким поясом для чулок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</si>
  <si>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кружевной комплект белья с высоким поясом для чулок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</si>
  <si>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кружевной комплект белья из 3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</si>
  <si>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кружевной комплект белья из 3 предметов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</si>
  <si>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ажурный комплект белья с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</si>
  <si>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ажурный комплект белья с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</si>
  <si>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комплект белья Plus Size с высоким кружевным поясом для чулок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</si>
  <si>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комплект белья из цветочного кружева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</si>
  <si>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комплект белья из цветочного кружева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</si>
  <si>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с кружевным воротником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</si>
  <si>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комплект белья с кружевным воротником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</si>
  <si>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из нежного цветочного кружева с тоненькими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</si>
  <si>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из нежного цветочного кружева с тоненькими бретелями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</si>
  <si>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из нежного цветочного кружева с тоненькими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</si>
  <si>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белья из нежного цветочного кружева с тоненькими бретелями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</si>
  <si>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t xml:space="preserve">    Комбинезоны, кэтсьюты</t>
  </si>
  <si>
    <t xml:space="preserve"> Костюм-сетка с рисунком черный One Size</t>
  </si>
  <si>
    <t xml:space="preserve"> Костюм-сетка с узором черный One Size</t>
  </si>
  <si>
    <t xml:space="preserve"> Полупрозрачное боди с чулками черный One Size</t>
  </si>
  <si>
    <t xml:space="preserve"> Комбинезон с открытым плечом черный One Size</t>
  </si>
  <si>
    <t xml:space="preserve"> Комбинезон с узорами в мелкую сетку черный One Size</t>
  </si>
  <si>
    <t xml:space="preserve"> Комбинезон с чулками и кожаными ремнями черный One Size</t>
  </si>
  <si>
    <t xml:space="preserve"> Кружевной комбинезон с длинными рукавами черный One Size</t>
  </si>
  <si>
    <t xml:space="preserve"> Комбинезон со шнуровкой и длинными рукавами черный One Size</t>
  </si>
  <si>
    <t xml:space="preserve"> Оригинальный комбинезон черный One Size</t>
  </si>
  <si>
    <t xml:space="preserve"> Комбинезон «Amkezia» черный One Size</t>
  </si>
  <si>
    <t xml:space="preserve"> Комбинезон-сетка с длинными рукавами и доступом 1X-2X-3X</t>
  </si>
  <si>
    <t xml:space="preserve"> Комбинезон-сетка с декоративной шнуровкой на груди черный 1X-2X-3X</t>
  </si>
  <si>
    <t xml:space="preserve"> Комбинезон-сетка с ажурным верхом черный 1X-2X-3X</t>
  </si>
  <si>
    <t xml:space="preserve"> Сетевой комбинезон с петлёй и доступом черный One Size</t>
  </si>
  <si>
    <t xml:space="preserve"> Сетевой комбинезон с петлёй и доступом красный One Size</t>
  </si>
  <si>
    <t xml:space="preserve"> Сетевой кэтсьюит с ажурным верхом черный One Size</t>
  </si>
  <si>
    <t xml:space="preserve"> Комбинезон-сетка с ромбовидным узором черный One Size</t>
  </si>
  <si>
    <t xml:space="preserve"> Комбинезон-сетка с ромбовидным узором ярко-розовый One Size</t>
  </si>
  <si>
    <t xml:space="preserve"> Костюм-сетка на бретелях черный</t>
  </si>
  <si>
    <t xml:space="preserve"> Леопардовый комбинезон-сетка на тонких розовых бретелях леопард с розовым One Size</t>
  </si>
  <si>
    <t xml:space="preserve"> Полупрозрачный комбинезон с замысловатым узором и доступом черный One Size</t>
  </si>
  <si>
    <t xml:space="preserve"> Ажурный комбинезон с крупным цветочным узором черный One Size</t>
  </si>
  <si>
    <t xml:space="preserve"> Комбинезон-чулок с перекрещенными на спинке бретелями и имитацией чулок белый S-M</t>
  </si>
  <si>
    <t xml:space="preserve"> Комбинезон-чулок с перекрещенными на спинке бретелями и имитацией чулок белый L-XL</t>
  </si>
  <si>
    <t xml:space="preserve"> Комбинезон-чулок с перекрещенными на спинке бретелями и имитацией чулок черный One Size</t>
  </si>
  <si>
    <t xml:space="preserve"> Кетсьюит с ассиметричным топом и чулками черный One Size</t>
  </si>
  <si>
    <t xml:space="preserve"> Облегающий комбинезон-чулок из крупной сетки черный One Size</t>
  </si>
  <si>
    <t xml:space="preserve"> Костюм-сетка с имитацией шнуровки черный One Size</t>
  </si>
  <si>
    <t xml:space="preserve"> Облегающий комбинезон-чулок со шнуровкой черный One Size</t>
  </si>
  <si>
    <t xml:space="preserve"> Комбинезон-чулок с глубоким кружевным вырезом черный One Size</t>
  </si>
  <si>
    <t xml:space="preserve"> Кэтсьюит с доступом черный 1X-2X-3X</t>
  </si>
  <si>
    <t xml:space="preserve"> Кэтсьюит с рисунком в виде бабочек черный One Size</t>
  </si>
  <si>
    <t xml:space="preserve"> Сетчатый кэтсьюит с открытой спиной черный One Size</t>
  </si>
  <si>
    <t xml:space="preserve"> Кэтсьюит на тонких бретелях черный One Size</t>
  </si>
  <si>
    <t xml:space="preserve"> Кэтсьюит с вырезом на животе черный One Size</t>
  </si>
  <si>
    <t xml:space="preserve"> Сетчатый кэтсьюит с розовым бантом черный One Size</t>
  </si>
  <si>
    <t xml:space="preserve"> Кэтсьюит в крупную сетку с длинными рукавами черный One Size</t>
  </si>
  <si>
    <t xml:space="preserve"> Кэтсьюит с оригинальным плетением сетки черный One Size</t>
  </si>
  <si>
    <t xml:space="preserve"> Очаровательный кружевной кэтсьюит белый S-M</t>
  </si>
  <si>
    <t xml:space="preserve"> Очаровательный кружевной кэтсьюит черный S-M</t>
  </si>
  <si>
    <t xml:space="preserve"> Очаровательный кружевной кэтсьюит белый L-XL</t>
  </si>
  <si>
    <t xml:space="preserve"> Ажурный кэтсьюит с чулками красный One Size</t>
  </si>
  <si>
    <t xml:space="preserve"> Ажурный кэтсьюит с чулками белый One Size</t>
  </si>
  <si>
    <t xml:space="preserve"> Ажурный кэтсьюит с чулками черный One Size</t>
  </si>
  <si>
    <t xml:space="preserve"> Женственный кэтсьюит с цветочным мотивом черный One Size</t>
  </si>
  <si>
    <t xml:space="preserve"> Сетчатый кэтсьюит со шнуровкой и разрезом черный One Size</t>
  </si>
  <si>
    <t xml:space="preserve"> Кэтсьюит со шнуровкой на спине и кружевной отделкой по лифу черный S-M</t>
  </si>
  <si>
    <t xml:space="preserve"> Кэтсьюит со шнуровкой на спине и кружевной отделкой по лифу черный L-XL</t>
  </si>
  <si>
    <t xml:space="preserve"> Кэтсьюит с вырезами по бокам черный One Size</t>
  </si>
  <si>
    <t xml:space="preserve"> Кэтсьюит с необычным цветочным орнаментом черный One Size</t>
  </si>
  <si>
    <t xml:space="preserve"> Кэтсьюит с необычным цветочным орнаментом красный One Size</t>
  </si>
  <si>
    <t xml:space="preserve"> Кэтсьюит в крупную сетку черный 1X-2X</t>
  </si>
  <si>
    <t xml:space="preserve"> Ажурный кэтсьюит с цветочными мотивами черный One Size</t>
  </si>
  <si>
    <t xml:space="preserve"> Кэтсьюит с круглыми отверстиями черный One Size</t>
  </si>
  <si>
    <t xml:space="preserve"> Кэтсьюит в вертикальную полоску с бретелью на шее черный 1X-2X</t>
  </si>
  <si>
    <t xml:space="preserve"> Комбинезон в сетку с кружевными узорами, вырезом-капелькой и бантом на лифе черный One Size</t>
  </si>
  <si>
    <t xml:space="preserve"> Комбинезон Debby на молнии черный S-M</t>
  </si>
  <si>
    <t xml:space="preserve"> Комбинезон Debby на молнии черный L-XL</t>
  </si>
  <si>
    <t xml:space="preserve"> Кэтсьюит с длинными рукавами и V-образным вырезом черный One Size</t>
  </si>
  <si>
    <t xml:space="preserve"> Кэтсьюит в мелкую сетку черный One Size</t>
  </si>
  <si>
    <t xml:space="preserve"> Полупрозрачный кэтсьюит с ажурным узором черный One Size</t>
  </si>
  <si>
    <t xml:space="preserve"> Полупрозрачный комбинезон с узором под зебру и доступом белый One Size-XL-XXL</t>
  </si>
  <si>
    <t xml:space="preserve"> Полупрозрачный комбинезон с узором под зебру и доступом черный One Size-XL-XXL</t>
  </si>
  <si>
    <t xml:space="preserve"> Ажурный комбинезон с цветочным узором, вырезом-капелькой на груди и доступом белый One Size-XL-XXL</t>
  </si>
  <si>
    <t xml:space="preserve"> Сетчатый комбинезон с имитацией чулок и доступом черный One Size-XL-XXL</t>
  </si>
  <si>
    <t xml:space="preserve"> Сетчатый комбинезон с имитацией чулок и доступом белый One Size-XL-XXL</t>
  </si>
  <si>
    <t xml:space="preserve"> Комбинезон с открытыми бёдрами черный One Size-XL-XXL</t>
  </si>
  <si>
    <t xml:space="preserve"> Комбинезон с открытыми бёдрами белый One Size-XL-XXL</t>
  </si>
  <si>
    <t xml:space="preserve"> Ажурный комбинезон с мелким клетчатым узором и доступом белый One Size-XL-XXL</t>
  </si>
  <si>
    <t xml:space="preserve"> Ажурный комбинезон с мелким клетчатым узором и доступом черный One Size-XL-XXL</t>
  </si>
  <si>
    <t xml:space="preserve"> Комбинезон с лямочкой на одно плечо и крупным цветочным узором красный One Size-XL-XXL</t>
  </si>
  <si>
    <t xml:space="preserve"> Комбинезон с лямочкой на одно плечо и крупным цветочным узором черный One Size-XL-XXL</t>
  </si>
  <si>
    <t xml:space="preserve"> Комбинезон с лямочкой на одно плечо и крупным цветочным узором белый One Size-XL-XXL</t>
  </si>
  <si>
    <t xml:space="preserve"> Полупрозрачный комбинезон с ажурной верхней частью черный One Size-XL-XXL</t>
  </si>
  <si>
    <t xml:space="preserve"> Полупрозрачный комбинезон с ажурной верхней частью белый One Size-XL-XXL</t>
  </si>
  <si>
    <t xml:space="preserve"> Комбинезон с круглыми вырезами на чулках и по бокам белый One Size-XL-XXL</t>
  </si>
  <si>
    <t xml:space="preserve"> Комбинезон с круглыми вырезами на чулках и по бокам черный One Size-XL-XXL</t>
  </si>
  <si>
    <t xml:space="preserve"> Комбинезон в крупную сетку с доступом черный One Size-XL-XXL</t>
  </si>
  <si>
    <t xml:space="preserve"> Комбинезон в крупную сетку с доступом белый One Size-XL-XXL</t>
  </si>
  <si>
    <t xml:space="preserve"> Ажурный комбинезон с открытыми бёдрами и узором в виде листиков белый One Size-XL-XXL</t>
  </si>
  <si>
    <t xml:space="preserve"> Ажурный комбинезон с открытыми бёдрами и узором в виде листиков черный One Size-XL-XXL</t>
  </si>
  <si>
    <t xml:space="preserve"> Комбинезон с узором в виде роз и веточек красный One Size-XL-XXL</t>
  </si>
  <si>
    <t xml:space="preserve"> Комбинезон с узором в виде роз и веточек белый One Size-XL-XXL</t>
  </si>
  <si>
    <t xml:space="preserve"> Комбинезон с узором в виде роз и веточек черный One Size-XL-XXL</t>
  </si>
  <si>
    <t xml:space="preserve"> Комбинезон с вырезами, доступом и узором из розовых бутонов черный One Size-XL-XXL</t>
  </si>
  <si>
    <t xml:space="preserve"> Комбинезон-сетка с пикантными вырезами и имитацией чулок черный One Size-XL-XXL</t>
  </si>
  <si>
    <t xml:space="preserve"> Комбинезон-сетка с пикантными вырезами и имитацией чулок белый One Size-XL-XXL</t>
  </si>
  <si>
    <t xml:space="preserve"> Комбинезон-сетка с пикантными вырезами и имитацией чулок красный One Size-XL-XXL</t>
  </si>
  <si>
    <t xml:space="preserve"> Комбинезон-чулок с открытыми бёдрами и имитацией шнуровки на животе черный One Size-XL-XXL</t>
  </si>
  <si>
    <t xml:space="preserve"> Комбинезон-чулок с открытыми бёдрами и имитацией шнуровки на животе красный One Size-XL-XXL</t>
  </si>
  <si>
    <t xml:space="preserve"> Комбинезон-чулок с открытыми бёдрами и имитацией шнуровки на животе белый One Size-XL-XXL</t>
  </si>
  <si>
    <t xml:space="preserve"> Комбинезон с замысловатым узором в виде лепестков, зигзагов и полос белый One Size-XL-XXL</t>
  </si>
  <si>
    <t xml:space="preserve"> Комбинезон с замысловатым узором в виде лепестков, зигзагов и полос красный One Size-XL-XXL</t>
  </si>
  <si>
    <t xml:space="preserve"> Комбинезон с замысловатым узором в виде лепестков, зигзагов и полос черный One Size-XL-XXL</t>
  </si>
  <si>
    <t xml:space="preserve"> Комбинезон с длинными рукавами, цветочным узором, открытой грудью и доступом черный One Size-XL-XXL</t>
  </si>
  <si>
    <t xml:space="preserve"> Комбинезон с длинными рукавами, цветочным узором, открытой грудью и доступом красный One Size-XL-XXL</t>
  </si>
  <si>
    <t xml:space="preserve"> Комбинезон с длинными рукавами, цветочным узором, открытой грудью и доступом белый One Size-XL-XXL</t>
  </si>
  <si>
    <t xml:space="preserve"> Комбинезон-сетка с ажурной верхней частью и доступом черный One Size-XL-XXL</t>
  </si>
  <si>
    <t xml:space="preserve"> Комбинезон-сетка с ажурной верхней частью и доступом белый One Size-XL-XXL</t>
  </si>
  <si>
    <t xml:space="preserve"> Комбинезон с длинными рукавами и цветочным узором белый One Size-XL-XXL</t>
  </si>
  <si>
    <t xml:space="preserve"> Комбинезон с длинными рукавами и цветочным узором черный One Size-XL-XXL</t>
  </si>
  <si>
    <t xml:space="preserve"> Комбинезон с открытыми бёдрами и узором в виде бантиков черный One Size-XL-XXL</t>
  </si>
  <si>
    <t xml:space="preserve"> Комбинезон с открытыми бёдрами и узором в виде бантиков белый One Size-XL-XXL</t>
  </si>
  <si>
    <t xml:space="preserve"> Комбинезон с ячейками различных форм и размеров черный One Size-XL-XXL</t>
  </si>
  <si>
    <t xml:space="preserve"> Комбинезон с ячейками различных форм и размеров красный One Size-XL-XXL</t>
  </si>
  <si>
    <t xml:space="preserve"> Комбинезон с ячейками различных форм и размеров белый One Size-XL-XXL</t>
  </si>
  <si>
    <t xml:space="preserve"> Комбинезон с двойными бретелями и узором в виде веточек белый One Size-XL-XXL</t>
  </si>
  <si>
    <t xml:space="preserve"> Комбинезон с двойными бретелями и узором в виде веточек черный One Size-XL-XXL</t>
  </si>
  <si>
    <t xml:space="preserve"> Ажурный комбинезон с крупными цветочными завитками и доступом белый One Size-XL-XXL</t>
  </si>
  <si>
    <t xml:space="preserve"> Ажурный комбинезон с крупными цветочными завитками и доступом черный One Size-XL-XXL</t>
  </si>
  <si>
    <t xml:space="preserve"> Комбинезон с зигзагообразным узором белый One Size-XL-XXL</t>
  </si>
  <si>
    <t xml:space="preserve"> Комбинезон с зигзагообразным узором черный One Size-XL-XXL</t>
  </si>
  <si>
    <t xml:space="preserve"> Откровенный комбинезон с цветочным узором и открытыми бёдрами белый One Size-XL-XXL</t>
  </si>
  <si>
    <t xml:space="preserve"> Откровенный комбинезон с цветочным узором и открытыми бёдрами черный One Size-XL-XXL</t>
  </si>
  <si>
    <t xml:space="preserve"> Комбинезон с узором, имитирующим боди и чулки черный One Size-XL-XXL</t>
  </si>
  <si>
    <t xml:space="preserve"> Комбинезон с узором, имитирующим боди и чулки белый One Size-XL-XXL</t>
  </si>
  <si>
    <t xml:space="preserve"> Комбинезон «Ilse» с прозрачными вставками черный L-XL</t>
  </si>
  <si>
    <t xml:space="preserve"> Комбинезон «Ilse» с прозрачными вставками черный S-M</t>
  </si>
  <si>
    <t xml:space="preserve"> Розовый ажурный комбинезон Appla с доступом розовый One Size</t>
  </si>
  <si>
    <t xml:space="preserve"> Откровенный комбинезон-сетка черный One Size</t>
  </si>
  <si>
    <t xml:space="preserve"> Прелестный комбинезон с ажурными крылышками на спинке черный One Size</t>
  </si>
  <si>
    <t xml:space="preserve"> Боди-чулок на тело из полупрозрачного материала с изысканным цветочным узором черный One Size</t>
  </si>
  <si>
    <t xml:space="preserve"> Комбинезон с бра «Hoshi» в комплекте с веревками для связывания черный с красным S</t>
  </si>
  <si>
    <t xml:space="preserve"> Комбинезон с бра «Hoshi» в комплекте с веревками для связывания черный с красным M</t>
  </si>
  <si>
    <t xml:space="preserve"> Комбинезон с бра «Hoshi» в комплекте с веревками для связывания черный с красным L</t>
  </si>
  <si>
    <t xml:space="preserve"> Фантастический комбинезон с цветочным рисунком и доступом черный One Size</t>
  </si>
  <si>
    <t xml:space="preserve"> Комбинезон-чулок с открытыми бёдрами и крупным ажурным рисунком черный One Size</t>
  </si>
  <si>
    <t xml:space="preserve"> Оригинальный комбинезон-сетка с завязками на шее и открытыми бёдрами черный One Size</t>
  </si>
  <si>
    <t xml:space="preserve"> Комбинезон-сетка с цветочным узором черный One Size</t>
  </si>
  <si>
    <t xml:space="preserve"> Оригинальный комбинезон с вырезами черный S-M</t>
  </si>
  <si>
    <t xml:space="preserve"> Облегающий комбинезон Demi с прозрачным верхом и экокожи черный L-XL</t>
  </si>
  <si>
    <t xml:space="preserve"> Облегающий комбинезон Demi с прозрачным верхом и экокожи черный S-M</t>
  </si>
  <si>
    <t xml:space="preserve"> Полупрозрачный коротенький комбинезон с кружевом розовый One Size</t>
  </si>
  <si>
    <t xml:space="preserve"> Комбинезон на тело из плотной сеточки с принтом черный S</t>
  </si>
  <si>
    <t xml:space="preserve"> Комбинезон с вырезами на бедрах черный S</t>
  </si>
  <si>
    <t xml:space="preserve"> Комбинезон сеточка в полоску черный S</t>
  </si>
  <si>
    <t xml:space="preserve"> Комбинезон-сеточка с бантом черный S</t>
  </si>
  <si>
    <t xml:space="preserve"> Игривый комбинезон с крупным цветочным принтом черный S</t>
  </si>
  <si>
    <t xml:space="preserve"> Кэтсьюит с глубоким декольте черный S</t>
  </si>
  <si>
    <t xml:space="preserve"> Комбинезон с несколькими видами узоров черный S</t>
  </si>
  <si>
    <t xml:space="preserve"> Классический комбинезон-сетка черный S</t>
  </si>
  <si>
    <t xml:space="preserve"> Комбинезон из сетки с крупными ажурными завитками черный S</t>
  </si>
  <si>
    <t xml:space="preserve"> Комбинезон с принтом-имитацией чулок и корсета черный S</t>
  </si>
  <si>
    <t xml:space="preserve"> Комбинезон на тонких лямочках с имитацией чулок черный One Size</t>
  </si>
  <si>
    <t xml:space="preserve"> Комбинезон на тонких лямочках с имитацией чулок белый One Size</t>
  </si>
  <si>
    <t xml:space="preserve"> Комбинезон на тонких лямочках с имитацией чулок красный One Size</t>
  </si>
  <si>
    <t xml:space="preserve"> Кэтсьюит-сетка с имитацией шнуровки, открытой спиной и доступом черный One Size</t>
  </si>
  <si>
    <t xml:space="preserve"> Кэтсьюит-сетка с открытыми бёдрами и крупным цветочным узором на животике черный One Size</t>
  </si>
  <si>
    <t xml:space="preserve"> Оригинальный кэтсьюит-сетка с силуэтными линиями черный One Size</t>
  </si>
  <si>
    <t xml:space="preserve"> Соблазнительный комбинезон со шнуровкой черный S</t>
  </si>
  <si>
    <t xml:space="preserve"> Эластичный костюм-сетка в тонкую полоску черный One Size-XL-XXL</t>
  </si>
  <si>
    <t xml:space="preserve"> Эластичный костюм-сетка в тонкую полоску белый One Size-XL-XXL</t>
  </si>
  <si>
    <t xml:space="preserve"> Костюм-сетка с вырезом на животике белый One Size-XL-XXL</t>
  </si>
  <si>
    <t xml:space="preserve"> Костюм-сетка с вырезом на животике черный One Size-XL-XXL</t>
  </si>
  <si>
    <t xml:space="preserve"> Костюм-сетка с открытой зоной декольте черный One Size-XL-XXL</t>
  </si>
  <si>
    <t xml:space="preserve"> Костюм-сетка с открытой зоной декольте красный One Size-XL-XXL</t>
  </si>
  <si>
    <t xml:space="preserve"> Костюм-сетка с открытой зоной декольте белый One Size-XL-XXL</t>
  </si>
  <si>
    <t xml:space="preserve"> Костюм-сетка с окошками по бокам белый One Size-XL-XXL</t>
  </si>
  <si>
    <t xml:space="preserve"> Костюм-сетка с окошками по бокам черный One Size-XL-XXL</t>
  </si>
  <si>
    <t xml:space="preserve"> Костюм-сетка с красивым декольте и открытыми бёдрами черный One Size-XL-XXL</t>
  </si>
  <si>
    <t xml:space="preserve"> Костюм-сетка с красивым декольте и открытыми бёдрами белый One Size-XL-XXL</t>
  </si>
  <si>
    <t xml:space="preserve"> Костюм-сетка без бретелей белый One Size-XL-XXL</t>
  </si>
  <si>
    <t xml:space="preserve"> Костюм-сетка без бретелей черный One Size-XL-XXL</t>
  </si>
  <si>
    <t xml:space="preserve"> Изысканный костюм-сетка с имитацией комплекта нижнего белья черный One Size-XL-XXL</t>
  </si>
  <si>
    <t xml:space="preserve"> Изысканный костюм-сетка с имитацией комплекта нижнего белья белый One Size-XL-XXL</t>
  </si>
  <si>
    <t xml:space="preserve"> Костюм-сетка с красивым переплетением бретелей белый One Size-XL-XXL</t>
  </si>
  <si>
    <t xml:space="preserve"> Костюм-сетка с красивым переплетением бретелей черный One Size-XL-XXL</t>
  </si>
  <si>
    <t xml:space="preserve"> Очаровательный костюм-сетка с открытыми бёдрами черный One Size-XL-XXL</t>
  </si>
  <si>
    <t xml:space="preserve"> Очаровательный костюм-сетка с открытыми бёдрами белый One Size-XL-XXL</t>
  </si>
  <si>
    <t xml:space="preserve"> Оригинальный костюм-сетка с открытой грудью белый One Size-XL-XXL</t>
  </si>
  <si>
    <t xml:space="preserve"> Оригинальный костюм-сетка с открытой грудью черный One Size-XL-XXL</t>
  </si>
  <si>
    <t xml:space="preserve"> Оригинальный костюм-сетка с открытой грудью красный One Size-XL-XXL</t>
  </si>
  <si>
    <t xml:space="preserve"> Провокационный костюм-сетка с узором в виде завитков красный One Size-XL-XXL</t>
  </si>
  <si>
    <t xml:space="preserve"> Провокационный костюм-сетка с узором в виде завитков черный One Size-XL-XXL</t>
  </si>
  <si>
    <t xml:space="preserve"> Провокационный костюм-сетка с узором в виде завитков белый One Size-XL-XXL</t>
  </si>
  <si>
    <t xml:space="preserve"> Комбинезон-паутинка с открытыми руками белый One Size-XL-XXL</t>
  </si>
  <si>
    <t xml:space="preserve"> Комбинезон-паутинка с открытыми руками черный One Size-XL-XXL</t>
  </si>
  <si>
    <t xml:space="preserve"> Красивый кэтсьюит Plus Size с ажурным узором черный XL-XXL</t>
  </si>
  <si>
    <t xml:space="preserve"> Ультра соблазнительный комбинезон из сетки черный One Size</t>
  </si>
  <si>
    <t xml:space="preserve"> Чувственный комбинезон в сетку черный One Size</t>
  </si>
  <si>
    <t xml:space="preserve"> Эффектный комбинезон Plus Size с открытыми бёдрами и узором в крупный горошек черный XL-XXL</t>
  </si>
  <si>
    <t xml:space="preserve"> Бежевый ажурный комбинезон с разрезами на бедрах бежевый One Size</t>
  </si>
  <si>
    <t xml:space="preserve"> Бежевый комбинезон с замысловатым узором и короткими рукавами бежевый One Size</t>
  </si>
  <si>
    <t xml:space="preserve"> Белый комбинезон c короткими рукавами и имитацией шнуровки на груди белый One Size</t>
  </si>
  <si>
    <t xml:space="preserve"> Белый ажурный комбинезон с интимным доступом белый One Size</t>
  </si>
  <si>
    <t xml:space="preserve"> Ажурный комбинезон с цветочным рисунком белый One Size</t>
  </si>
  <si>
    <t xml:space="preserve"> Красный комбинезон в крупную вертикальную полоску красный One Size</t>
  </si>
  <si>
    <t xml:space="preserve"> Красный комбинезон со сложным рисунком и интимным доступом красный One Size</t>
  </si>
  <si>
    <t xml:space="preserve"> Красный ажурный комбинезон с имитацией шнуровки на груди красный One Size</t>
  </si>
  <si>
    <t xml:space="preserve"> Красный ажурный комбинезон с вырезом-капелькой под грудью красный One Size</t>
  </si>
  <si>
    <t xml:space="preserve"> Эффектный ажурный комбинезон с чулками черный One Size</t>
  </si>
  <si>
    <t xml:space="preserve"> Чёрный комбинезон с ажурной верхней частью черный One Size</t>
  </si>
  <si>
    <t xml:space="preserve"> Чёрный комбинезон с красивым цветочным орнаментом черный One Size</t>
  </si>
  <si>
    <t xml:space="preserve"> Чёрный комбинезон в горизонтальную полоску черный One Size</t>
  </si>
  <si>
    <t xml:space="preserve"> Комбинезон в крупную вертикальную полоску черный One Size</t>
  </si>
  <si>
    <t xml:space="preserve"> Ажурный комбинезон с тонкими вертикальными полосками черный One Size</t>
  </si>
  <si>
    <t xml:space="preserve"> Чёрный комбинезон в сетку с ажурным рисунком черный One Size</t>
  </si>
  <si>
    <t xml:space="preserve"> Чёрный комбинезон со сложным геометрическим узором черный One Size</t>
  </si>
  <si>
    <t xml:space="preserve"> Ажурный комбинезон с узором, напоминающим чешуйки черный One Size</t>
  </si>
  <si>
    <t xml:space="preserve"> Комбинезон с широкой бретелью на одно плечо черный One Size</t>
  </si>
  <si>
    <t xml:space="preserve"> Комбинезон с цветочным рисунком и маленькими вырезами на груди черный One Size</t>
  </si>
  <si>
    <t xml:space="preserve"> Ажурный комбинезон с маленьким вырезом-сеткой на груди черный One Size</t>
  </si>
  <si>
    <t xml:space="preserve"> Комбинезон с длинными рукавами и узором, напоминающим ленты черный One Size</t>
  </si>
  <si>
    <t xml:space="preserve"> Комбинезон с цветочным узором с имитацией корсажа и чулок черный One Size</t>
  </si>
  <si>
    <t xml:space="preserve"> Чёрный комбинезон на тонких бретелях с узором-завитками в верхней части черный One Size</t>
  </si>
  <si>
    <t xml:space="preserve"> Чёрный комбинезон с  рваными  разрезами на бедрах черный One Size</t>
  </si>
  <si>
    <t xml:space="preserve"> Ажурный комбинезон с длинными рукавами черный One Size</t>
  </si>
  <si>
    <t xml:space="preserve"> Ажурный комбинезон с крупным цветочным рисунком черный One Size</t>
  </si>
  <si>
    <t xml:space="preserve"> Чёрный комбинезон с ажурной верхней частью и имитацией крупной сетки снизу черный One Size</t>
  </si>
  <si>
    <t xml:space="preserve"> Костюм-сетка Crazy из цветочного кружева черный XL-XXL-XXXL</t>
  </si>
  <si>
    <t xml:space="preserve"> Костюм-сетка Ligia с открытой спиной черный XL-XXL-XXXL</t>
  </si>
  <si>
    <t xml:space="preserve"> Эффектный комбинезон-сетка без рукавов с интимным доступом белый One Size-XL-XXL</t>
  </si>
  <si>
    <t xml:space="preserve"> Эффектный комбинезон-сетка без рукавов с интимным доступом красный One Size-XL-XXL</t>
  </si>
  <si>
    <t xml:space="preserve"> Эффектный комбинезон-сетка без рукавов с интимным доступом черный One Size-XL-XXL</t>
  </si>
  <si>
    <t xml:space="preserve"> Оригинальный комбинезон на широких бретелях черный One Size-XL-XXL</t>
  </si>
  <si>
    <t xml:space="preserve"> Оригинальный комбинезон на широких бретелях красный One Size-XL-XXL</t>
  </si>
  <si>
    <t xml:space="preserve"> Оригинальный комбинезон на широких бретелях белый One Size-XL-XXL</t>
  </si>
  <si>
    <t xml:space="preserve"> Пикантный комбинезон с красивой горловиной белый One Size-XL-XXL</t>
  </si>
  <si>
    <t xml:space="preserve"> Пикантный комбинезон с красивой горловиной красный One Size-XL-XXL</t>
  </si>
  <si>
    <t xml:space="preserve"> Пикантный комбинезон с красивой горловиной черный One Size-XL-XXL</t>
  </si>
  <si>
    <t xml:space="preserve"> Красивый комбинезон-сетка с «рваным» животиком черный One Size-XL-XXL</t>
  </si>
  <si>
    <t xml:space="preserve"> Красивый комбинезон-сетка с «рваным» животиком красный One Size-XL-XXL</t>
  </si>
  <si>
    <t xml:space="preserve"> Красивый комбинезон-сетка с «рваным» животиком белый One Size-XL-XXL</t>
  </si>
  <si>
    <t xml:space="preserve"> Пикантный комбинезон с вырезами и геометрическим рисунком белый One Size-XL-XXL</t>
  </si>
  <si>
    <t xml:space="preserve"> Пикантный комбинезон с вырезами и геометрическим рисунком красный One Size-XL-XXL</t>
  </si>
  <si>
    <t xml:space="preserve"> Пикантный комбинезон с вырезами и геометрическим рисунком черный One Size-XL-XXL</t>
  </si>
  <si>
    <t xml:space="preserve"> Комбинезон с длинными рукавами и интимным доступом черный One Size-XL-XXL</t>
  </si>
  <si>
    <t xml:space="preserve"> Комбинезон с длинными рукавами и интимным доступом красный One Size-XL-XXL</t>
  </si>
  <si>
    <t xml:space="preserve"> Комбинезон с длинными рукавами и интимным доступом белый One Size-XL-XXL</t>
  </si>
  <si>
    <t xml:space="preserve"> Комбинезон с имитацией комплекта белья белый One Size-XL-XXL</t>
  </si>
  <si>
    <t xml:space="preserve"> Комбинезон с имитацией комплекта белья красный One Size-XL-XXL</t>
  </si>
  <si>
    <t xml:space="preserve"> Комбинезон с имитацией комплекта белья черный One Size-XL-XXL</t>
  </si>
  <si>
    <t xml:space="preserve"> Эластичный комбинезон с перекрестным рисунком черный One Size-XL-XXL</t>
  </si>
  <si>
    <t xml:space="preserve"> Эластичный комбинезон с перекрестным рисунком красный One Size-XL-XXL</t>
  </si>
  <si>
    <t xml:space="preserve"> Эластичный комбинезон с перекрестным рисунком белый One Size-XL-XXL</t>
  </si>
  <si>
    <t xml:space="preserve"> Комбинезон-сетка с цветочным орнаментом белый One Size-XL-XXL</t>
  </si>
  <si>
    <t xml:space="preserve"> Комбинезон-сетка с цветочным орнаментом красный One Size-XL-XXL</t>
  </si>
  <si>
    <t xml:space="preserve"> Комбинезон-сетка с цветочным орнаментом черный One Size-XL-XXL</t>
  </si>
  <si>
    <t xml:space="preserve"> Комбинезон с имитацией шнуровки и петлями вокруг шеи черный One Size-XL-XXL</t>
  </si>
  <si>
    <t xml:space="preserve"> Комбинезон с имитацией шнуровки и петлями вокруг шеи красный One Size-XL-XXL</t>
  </si>
  <si>
    <t xml:space="preserve"> Комбинезон с имитацией шнуровки и петлями вокруг шеи белый One Size-XL-XXL</t>
  </si>
  <si>
    <t xml:space="preserve"> Оригинальное боди со слитными чулками и орнаментом в виде веточек белый One Size-XL-XXL</t>
  </si>
  <si>
    <t xml:space="preserve"> Оригинальное боди со слитными чулками и орнаментом в виде веточек красный One Size-XL-XXL</t>
  </si>
  <si>
    <t xml:space="preserve"> Оригинальное боди со слитными чулками и орнаментом в виде веточек черный One Size-XL-XXL</t>
  </si>
  <si>
    <t xml:space="preserve"> Сногсшибательный комбинезон с вырезами по линии талии черный One Size-XL-XXL</t>
  </si>
  <si>
    <t xml:space="preserve"> Комбинезон с крупным цветочным рисунком черный One Size</t>
  </si>
  <si>
    <t xml:space="preserve"> Ажурный комбинезон с интимным доступом и открытой спинкой черный One Size</t>
  </si>
  <si>
    <t xml:space="preserve"> Ажурный комбинезон с открытыми плечами и спиной черный One Size</t>
  </si>
  <si>
    <t xml:space="preserve"> Кэтсьюит с открытой спиной черный One Size</t>
  </si>
  <si>
    <t xml:space="preserve"> Комбинезон с многочисленными вырезами и доступом черный One Size</t>
  </si>
  <si>
    <t xml:space="preserve"> Сетчатый комбинезон с открытой грудью черный One Size</t>
  </si>
  <si>
    <t xml:space="preserve"> Комбинезон Yoko без бретелей с вырезами в нижней части красный L-XL</t>
  </si>
  <si>
    <t xml:space="preserve"> Комбинезон Yoko без бретелей с вырезами в нижней части черный L-XL</t>
  </si>
  <si>
    <t xml:space="preserve"> Комбинезон Yoko без бретелей с вырезами в нижней части красный S-M</t>
  </si>
  <si>
    <t xml:space="preserve"> Комбинезон Joyce в тонкую полоску и с интимным доступом черный S-M</t>
  </si>
  <si>
    <t xml:space="preserve"> Комбинезон Joyce в тонкую полоску и с интимным доступом красный S-M</t>
  </si>
  <si>
    <t xml:space="preserve"> Комбинезон Joyce в тонкую полоску и с интимным доступом красный L-XL</t>
  </si>
  <si>
    <t xml:space="preserve"> Комбинезон Joyce в тонкую полоску и с интимным доступом черный L-XL</t>
  </si>
  <si>
    <t xml:space="preserve"> Комбинезон из эко-кожи Debby Short черный L-XL</t>
  </si>
  <si>
    <t xml:space="preserve"> Комбинезон из эко-кожи Debby Short черный S-M</t>
  </si>
  <si>
    <t xml:space="preserve"> Облегающий комбинезон Demi Short с прозрачной верхней частью черный S-M</t>
  </si>
  <si>
    <t xml:space="preserve"> Облегающий комбинезон Demi Short с прозрачной верхней частью черный L-XL</t>
  </si>
  <si>
    <t xml:space="preserve"> Прозрачный кэтсьюит Donna на молнии черный L-XL</t>
  </si>
  <si>
    <t xml:space="preserve"> Прозрачный кэтсьюит Donna на молнии черный S-M</t>
  </si>
  <si>
    <t xml:space="preserve"> Короткий комбинезон Sinoe Plus Size из тюля и кружев черный XXL</t>
  </si>
  <si>
    <t xml:space="preserve"> Короткий комбинезон Sinoe Plus Size из тюля и кружев черный XXXL</t>
  </si>
  <si>
    <t xml:space="preserve"> Короткий комбинезон Sinoe из кружев и тюля черный XL</t>
  </si>
  <si>
    <t xml:space="preserve"> Короткий комбинезон Sinoe из кружев и тюля черный S</t>
  </si>
  <si>
    <t xml:space="preserve"> Короткий комбинезон Sinoe из кружев и тюля черный M</t>
  </si>
  <si>
    <t xml:space="preserve"> Короткий комбинезон Sinoe из кружев и тюля черный L</t>
  </si>
  <si>
    <t xml:space="preserve"> Облегающий комбинезон Doris со шнуровкой на спинке черный S-M</t>
  </si>
  <si>
    <t xml:space="preserve"> Облегающий комбинезон Doris со шнуровкой на спинке черный L-XL</t>
  </si>
  <si>
    <t xml:space="preserve"> Облегающий комбинезон Doris Plus Size со шнуровкой на спине черный XXL-XXXL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</si>
  <si>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Кэтсьюит-сетка с ромбовидным узором размером Plus Size </d:t>
    </d:r>
    <d:r xmlns:d="http://schemas.openxmlformats.org/spreadsheetml/2006/main">
      <d:rPr>
        <d:sz val="11"/>
        <d:color rgb="FF000000"/>
        <d:rFont val="Calibri"/>
      </d:rPr>
      <d:t>розовый </d:t>
    </d:r>
    <d:r xmlns:d="http://schemas.openxmlformats.org/spreadsheetml/2006/main">
      <d:rPr>
        <d:sz val="11"/>
        <d:color rgb="FF000000"/>
        <d:rFont val="Calibri"/>
      </d:rPr>
      <d:t xml:space="preserve">XL-XXL-XXXL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</si>
  <si>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Кэтсьюит-сетка с ромбовидным узором размером Plus Size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XL-XXL-XXXL </d:t>
    </d:r>
  </si>
  <si>
    <t xml:space="preserve"> Комбинезон Debby Short Plus Size из эко-кожи черный XXL-XXXL</t>
  </si>
  <si>
    <t xml:space="preserve"> Облегающий комбинезон Demi Short Plus Size с прозрачной верхней частью черный XXL-XXXL</t>
  </si>
  <si>
    <t xml:space="preserve"> Бесшовный костюм из топа с матовым рисунком и чулок из крупной сетки черный One Size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</si>
  <si>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комбинезон Shaquila с аксессуарами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</si>
  <si>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комбинезон Shaquila с аксессуарами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</si>
  <si>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Комбинезон с полуоткрытой спиной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</si>
  <si>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кэтсьюит с имитацией шнуровки на спине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</si>
  <si>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Ажурный комбинезон с красивой зоной декольте и интимным доступом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</si>
  <si>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Боди-комбинезон с интимным доступом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</si>
  <si>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кэтсьюит из сетки с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</si>
  <si>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t xml:space="preserve">    Корсеты, бюстье</t>
  </si>
  <si>
    <t xml:space="preserve"> Корсет в мелкую сетку и трусики-стринг «ALESSA» черный S-M</t>
  </si>
  <si>
    <t xml:space="preserve"> Корсет в мелкую сетку и трусики-стринг «ALESSA» черный M-L</t>
  </si>
  <si>
    <t xml:space="preserve"> Кружевной корсаж без бретелек «VALERIE» белый M-L</t>
  </si>
  <si>
    <t xml:space="preserve"> Кружевной корсаж без бретелек «VALERIE» черный M-L</t>
  </si>
  <si>
    <t xml:space="preserve"> Кружевной корсаж без бретелек «VALERIE» черный S-M</t>
  </si>
  <si>
    <t xml:space="preserve"> Кружевной корсаж без бретелек «VALERIE» белый S-M</t>
  </si>
  <si>
    <t xml:space="preserve"> Кружевной корсаж «ELODIE» черный M</t>
  </si>
  <si>
    <t xml:space="preserve"> Кружевной корсаж «ELODIE» белый M</t>
  </si>
  <si>
    <t xml:space="preserve"> Кружевной корсаж «ELODIE» черный S</t>
  </si>
  <si>
    <t xml:space="preserve"> Кружевной корсаж «ELODIE» белый S</t>
  </si>
  <si>
    <t xml:space="preserve"> Кружевной корсаж «ELODIE» белый L</t>
  </si>
  <si>
    <t xml:space="preserve"> Кружевной корсаж «ELODIE» черный L</t>
  </si>
  <si>
    <t xml:space="preserve"> Прозрачный корсет «CLAIRE» черный L</t>
  </si>
  <si>
    <t xml:space="preserve"> Прозрачный корсет «CLAIRE» белый L</t>
  </si>
  <si>
    <t xml:space="preserve"> Прозрачный корсет «CLAIRE» белый S</t>
  </si>
  <si>
    <t xml:space="preserve"> Прозрачный корсет «CLAIRE» черный S</t>
  </si>
  <si>
    <t xml:space="preserve"> Прозрачный корсет «CLAIRE» белый M</t>
  </si>
  <si>
    <t xml:space="preserve"> Прозрачный корсет «CLAIRE» черный M</t>
  </si>
  <si>
    <t xml:space="preserve"> Бюстье с ажурными чашечками «Colette» черный M</t>
  </si>
  <si>
    <t xml:space="preserve"> Бюстье с ажурными чашечками «Colette» белый M</t>
  </si>
  <si>
    <t xml:space="preserve"> Бюстье с ажурными чашечками «Colette» черный S</t>
  </si>
  <si>
    <t xml:space="preserve"> Бюстье с ажурными чашечками «Colette» белый S</t>
  </si>
  <si>
    <t xml:space="preserve"> Бюстье с ажурными чашечками «Colette» белый L</t>
  </si>
  <si>
    <t xml:space="preserve"> Бюстье с ажурными чашечками «Colette» черный L</t>
  </si>
  <si>
    <t xml:space="preserve"> Кружевное бюстье с лифом на косточках «Caroline» черный L</t>
  </si>
  <si>
    <t xml:space="preserve"> Кружевное бюстье с лифом на косточках «Caroline» белый L</t>
  </si>
  <si>
    <t xml:space="preserve"> Кружевное бюстье с лифом на косточках «Caroline» красный L</t>
  </si>
  <si>
    <t xml:space="preserve"> Кружевное бюстье с лифом на косточках «Caroline» красный S</t>
  </si>
  <si>
    <t xml:space="preserve"> Кружевное бюстье с лифом на косточках «Caroline» белый S</t>
  </si>
  <si>
    <t xml:space="preserve"> Кружевное бюстье с лифом на косточках «Caroline» красный M</t>
  </si>
  <si>
    <t xml:space="preserve"> Кружевное бюстье с лифом на косточках «Caroline» черный S</t>
  </si>
  <si>
    <t xml:space="preserve"> Кружевное бюстье с лифом на косточках «Caroline» белый M</t>
  </si>
  <si>
    <t xml:space="preserve"> Кружевное бюстье с лифом на косточках «Caroline» черный M</t>
  </si>
  <si>
    <t xml:space="preserve"> Корсаж «Blanchet» с озорными оборками и кружевами черный S-M</t>
  </si>
  <si>
    <t xml:space="preserve"> Корсаж «Blanchet» с озорными оборками и кружевами белый S-M</t>
  </si>
  <si>
    <t xml:space="preserve"> Корсаж «Blanchet» с озорными оборками и кружевами белый L-XL</t>
  </si>
  <si>
    <t xml:space="preserve"> Корсаж «Blanchet» с озорными оборками и кружевами черный L-XL</t>
  </si>
  <si>
    <t xml:space="preserve"> Корсаж «Blanchet» с озорными оборками и кружевами черный XXL-XXXL</t>
  </si>
  <si>
    <t xml:space="preserve"> Корсаж «Blanchet» с озорными оборками и кружевами белый XXL-XXXL</t>
  </si>
  <si>
    <t xml:space="preserve"> Корсаж с прозрачными вставками «Carisma» красный XXL-XXXL</t>
  </si>
  <si>
    <t xml:space="preserve"> Корсаж с прозрачными вставками «Carisma» красный L-XL</t>
  </si>
  <si>
    <t xml:space="preserve"> Корсаж с прозрачными вставками «Carisma» красный S-M</t>
  </si>
  <si>
    <t xml:space="preserve"> Тюлевый корсаж «Estera» с диагональной кружевной вставкой белый S-M</t>
  </si>
  <si>
    <t xml:space="preserve"> Тюлевый корсаж «Estera» с диагональной кружевной вставкой черный S-M</t>
  </si>
  <si>
    <t xml:space="preserve"> Тюлевый корсаж «Estera» с диагональной кружевной вставкой белый L-XL</t>
  </si>
  <si>
    <t xml:space="preserve"> Тюлевый корсаж «Estera» с диагональной кружевной вставкой черный XXL-XXXL</t>
  </si>
  <si>
    <t xml:space="preserve"> Тюлевый корсаж «Estera» с диагональной кружевной вставкой черный L-XL</t>
  </si>
  <si>
    <t xml:space="preserve"> Двухцветный корсаж «Eternity» красный XXL-XXXL</t>
  </si>
  <si>
    <t xml:space="preserve"> Двухцветный корсаж «Eternity» красный L-XL</t>
  </si>
  <si>
    <t xml:space="preserve"> Двухцветный корсаж «Eternity» красный S-M</t>
  </si>
  <si>
    <t xml:space="preserve"> Корсаж «Fabio» черный S-M</t>
  </si>
  <si>
    <t xml:space="preserve"> Корсаж «Fabio» черный L-XL</t>
  </si>
  <si>
    <t xml:space="preserve"> Корсаж «Fabio» черный XXL-XXXL</t>
  </si>
  <si>
    <t xml:space="preserve"> Корсаж со шнуровкой сзади «Ginger» черный XXL-XXXL</t>
  </si>
  <si>
    <t xml:space="preserve"> Корсаж со шнуровкой сзади «Ginger» черный L-XL</t>
  </si>
  <si>
    <t xml:space="preserve"> Корсаж со шнуровкой сзади «Ginger» черный S-M</t>
  </si>
  <si>
    <t xml:space="preserve"> Корсаж со шнуровкой спереди «Marcelle» черный S-M</t>
  </si>
  <si>
    <t xml:space="preserve"> Корсаж со шнуровкой спереди «Marcelle» белый S-M</t>
  </si>
  <si>
    <t xml:space="preserve"> Корсаж со шнуровкой спереди «Marcelle» черный L-XL</t>
  </si>
  <si>
    <t xml:space="preserve"> Корсаж со шнуровкой спереди «Marcelle» белый L-XL</t>
  </si>
  <si>
    <t xml:space="preserve"> Корсаж с открытой грудью «Deborah» черный L-XL</t>
  </si>
  <si>
    <t xml:space="preserve"> Корсаж с открытой грудью «Deborah» черный XXL-XXXL</t>
  </si>
  <si>
    <t xml:space="preserve"> Корсаж с открытой грудью «Deborah» черный S-M</t>
  </si>
  <si>
    <t xml:space="preserve"> Корсаж с перекрестной лентой «Tiffany Corset Black» черный S-M</t>
  </si>
  <si>
    <t xml:space="preserve"> Корсаж с перекрестной лентой «Tiffany Corset Black» красный с черным S-M</t>
  </si>
  <si>
    <t xml:space="preserve"> Корсаж с перекрестной лентой «Tiffany Corset Black» черный L-XL</t>
  </si>
  <si>
    <t xml:space="preserve"> Корсаж с перекрестной лентой «Tiffany Corset Black» красный с черным L-XL</t>
  </si>
  <si>
    <t xml:space="preserve"> Нежный корсаж «Eden» с кружевами голубой L-XL</t>
  </si>
  <si>
    <t xml:space="preserve"> Нежный корсаж «Eden» с кружевами голубой XXL-XXXL</t>
  </si>
  <si>
    <t xml:space="preserve"> Нежный корсаж «Eden» с кружевами голубой S-M</t>
  </si>
  <si>
    <t xml:space="preserve"> Удлинённый корсаж «Marylin» со шнуровкой и оборками белый L-XL</t>
  </si>
  <si>
    <t xml:space="preserve"> Удлинённый корсаж «Marylin» со шнуровкой и оборками белый XXL-XXXL</t>
  </si>
  <si>
    <t xml:space="preserve"> Удлинённый корсаж «Marylin» со шнуровкой и оборками белый S-M</t>
  </si>
  <si>
    <t xml:space="preserve"> Корсаж с оборочками  «Linda» кремовый S-M</t>
  </si>
  <si>
    <t xml:space="preserve"> Корсаж с оборочками  «Linda» кремовый L-XL</t>
  </si>
  <si>
    <t xml:space="preserve"> Корсаж с кружевами «Corinne» желтый S-M</t>
  </si>
  <si>
    <t xml:space="preserve"> Корсаж с кружевами «Corinne» желтый L-XL</t>
  </si>
  <si>
    <t xml:space="preserve"> Ажурный корсаж с полупрозрачными вставками по бокам белый S-M</t>
  </si>
  <si>
    <t xml:space="preserve"> Ажурный корсаж с полупрозрачными вставками по бокам черный S-M</t>
  </si>
  <si>
    <t xml:space="preserve"> Ажурный корсаж с полупрозрачными вставками по бокам черный M-L</t>
  </si>
  <si>
    <t xml:space="preserve"> Ажурный корсаж с полупрозрачными вставками по бокам белый M-L</t>
  </si>
  <si>
    <t xml:space="preserve"> Корсаж «Elise» с цветочным кружевом синий S-M</t>
  </si>
  <si>
    <t xml:space="preserve"> Пояс-корсет со шнуровкой черный S</t>
  </si>
  <si>
    <t xml:space="preserve"> Пояс-корсет со шнуровкой черный M</t>
  </si>
  <si>
    <t xml:space="preserve"> Пояс-корсет со шнуровкой черный L</t>
  </si>
  <si>
    <t xml:space="preserve"> Пояс-корсет со шнуровкой черный XL</t>
  </si>
  <si>
    <t xml:space="preserve"> Красное удлиненное бюстье из эластичного сатина красный M-L</t>
  </si>
  <si>
    <t xml:space="preserve"> Красное удлиненное бюстье из эластичного сатина красный S-M</t>
  </si>
  <si>
    <t xml:space="preserve"> Роскошный корсет «LUXURY» розовый с черным M</t>
  </si>
  <si>
    <t xml:space="preserve"> Роскошный корсет «LUXURY» черный с розовым M</t>
  </si>
  <si>
    <t xml:space="preserve"> Роскошный корсет «LUXURY» черный с розовым XL</t>
  </si>
  <si>
    <t xml:space="preserve"> Роскошный корсет «LUXURY» розовый с черным XL</t>
  </si>
  <si>
    <t xml:space="preserve"> Роскошный корсет «LUXURY» розовый с черным S</t>
  </si>
  <si>
    <t xml:space="preserve"> Роскошный корсет «LUXURY» черный с розовым L</t>
  </si>
  <si>
    <t xml:space="preserve"> Роскошный корсет «LUXURY» розовый с черным L</t>
  </si>
  <si>
    <t xml:space="preserve"> Черный корсет с красным лифом черный с красным L</t>
  </si>
  <si>
    <t xml:space="preserve"> Черный корсет с красным лифом черный с красным S</t>
  </si>
  <si>
    <t xml:space="preserve"> Черный корсет с красным лифом черный с красным M</t>
  </si>
  <si>
    <t xml:space="preserve"> Черный корсет с красным лифом черный с красным XL</t>
  </si>
  <si>
    <t xml:space="preserve"> Корсет с кружевом и резинками для чулок розовый с черным M</t>
  </si>
  <si>
    <t xml:space="preserve"> Корсет с кружевом и резинками для чулок розовый с черным S</t>
  </si>
  <si>
    <t xml:space="preserve"> Корсет с кружевом и резинками для чулок розовый с черным L</t>
  </si>
  <si>
    <t xml:space="preserve"> Корсет с кружевом и резинками для чулок розовый с черным XL</t>
  </si>
  <si>
    <t xml:space="preserve"> Кружевное бюстье с поясом и пажами белый L</t>
  </si>
  <si>
    <t xml:space="preserve"> Кружевное бюстье с поясом и пажами белый S</t>
  </si>
  <si>
    <t xml:space="preserve"> Кружевное бюстье с поясом и пажами белый M</t>
  </si>
  <si>
    <t xml:space="preserve"> Корсет с цветочным узором «Diamond» черный S-M</t>
  </si>
  <si>
    <t xml:space="preserve"> Корсет с цветочным узором «Diamond» белый S-M</t>
  </si>
  <si>
    <t xml:space="preserve"> Корсет с цветочным узором «Diamond» белый L-XL</t>
  </si>
  <si>
    <t xml:space="preserve"> Корсет с цветочным узором «Diamond» черный L-XL</t>
  </si>
  <si>
    <t xml:space="preserve"> Атласный корсет «Secred» с кружевной отделкой красный L-XL</t>
  </si>
  <si>
    <t xml:space="preserve"> Атласный корсет «Secred» с кружевной отделкой красный S-M</t>
  </si>
  <si>
    <t xml:space="preserve"> Атласный корсет с кружевом «Roseberry» розовый S-M</t>
  </si>
  <si>
    <t xml:space="preserve"> Атласный корсет с кружевом «Roseberry» розовый L-XL</t>
  </si>
  <si>
    <t xml:space="preserve"> Стильное бюстье с пажами и трусиками черный M</t>
  </si>
  <si>
    <t xml:space="preserve"> Стильное бюстье с пажами и трусиками черный S</t>
  </si>
  <si>
    <t xml:space="preserve"> Стильное бюстье с пажами и трусиками черный L</t>
  </si>
  <si>
    <t xml:space="preserve"> Ажурный корсаж «Fabra» черный S-M</t>
  </si>
  <si>
    <t xml:space="preserve"> Ажурный корсаж «Fabra» черный L-XL</t>
  </si>
  <si>
    <t xml:space="preserve"> Полупрозрачный корсаж «Abra» с бантиками белый с черным L-XL</t>
  </si>
  <si>
    <t xml:space="preserve"> Полупрозрачный корсаж «Abra» с бантиками черный с красным L-XL</t>
  </si>
  <si>
    <t xml:space="preserve"> Полупрозрачный корсаж «Abra» с бантиками черный S-M</t>
  </si>
  <si>
    <t xml:space="preserve"> Полупрозрачный корсаж «Abra» с бантиками белый с черным S-M</t>
  </si>
  <si>
    <t xml:space="preserve"> Серебристый корсет «Halla» с кружевными вставками серебро L-XL</t>
  </si>
  <si>
    <t xml:space="preserve"> Серебристый корсет «Halla» с кружевными вставками серебро XXL-XXXL</t>
  </si>
  <si>
    <t xml:space="preserve"> Серебристый корсет «Halla» с кружевными вставками серебро S-M</t>
  </si>
  <si>
    <t xml:space="preserve"> Женственный корсет «Empressia» черный S-M</t>
  </si>
  <si>
    <t xml:space="preserve"> Женственный корсет «Empressia» черный L-XL</t>
  </si>
  <si>
    <t xml:space="preserve"> Элегантный корсаж Zahara с кружевом черный S-M</t>
  </si>
  <si>
    <t xml:space="preserve"> Корсаж «Kalia» с оригинальным кружевом черный S-M</t>
  </si>
  <si>
    <t xml:space="preserve"> Корсаж Creda с ажурной верхней частью кремовый S-M</t>
  </si>
  <si>
    <t xml:space="preserve"> Ажурный корсаж Jessie с цветочным узором и оборками черный S-M</t>
  </si>
  <si>
    <t xml:space="preserve"> Ажурный корсаж Jessie с цветочным узором и оборками черный L-XL</t>
  </si>
  <si>
    <t xml:space="preserve"> Элегантный корсаж Gill со шнуровкой красный L-XL</t>
  </si>
  <si>
    <t xml:space="preserve"> Элегантный корсаж Gill со шнуровкой красный XXL-XXXL</t>
  </si>
  <si>
    <t xml:space="preserve"> Элегантный корсаж Gill со шнуровкой красный S-M</t>
  </si>
  <si>
    <t xml:space="preserve"> Полупрозрачный корсаж «Daria» с лифом на косточках черный L</t>
  </si>
  <si>
    <t xml:space="preserve"> Полупрозрачный корсаж «Daria» с лифом на косточках красный L</t>
  </si>
  <si>
    <t xml:space="preserve"> Полупрозрачный корсаж «Daria» с лифом на косточках черный S</t>
  </si>
  <si>
    <t xml:space="preserve"> Полупрозрачный корсаж «Daria» с лифом на косточках красный S</t>
  </si>
  <si>
    <t xml:space="preserve"> Полупрозрачный корсаж «Daria» с лифом на косточках черный M</t>
  </si>
  <si>
    <t xml:space="preserve"> Полупрозрачный корсаж «Daria» с лифом на косточках красный M</t>
  </si>
  <si>
    <t xml:space="preserve"> Оригинальный корсет с белыми, как на подарке, лентами красный с белым M</t>
  </si>
  <si>
    <t xml:space="preserve"> Оригинальный корсет с белыми, как на подарке, лентами красный с белым L</t>
  </si>
  <si>
    <t xml:space="preserve"> Оригинальный корсет с белыми, как на подарке, лентами красный с белым S</t>
  </si>
  <si>
    <t xml:space="preserve"> Корсаж Chantal с отстёгивающимся воланом черный L-XL</t>
  </si>
  <si>
    <t xml:space="preserve"> Корсаж Chantal с отстёгивающимся воланом белый L-XL</t>
  </si>
  <si>
    <t xml:space="preserve"> Корсаж Chantal с отстёгивающимся воланом красный L-XL</t>
  </si>
  <si>
    <t xml:space="preserve"> Корсаж Chantal с отстёгивающимся воланом черный S-M</t>
  </si>
  <si>
    <t xml:space="preserve"> Корсаж Chantal с отстёгивающимся воланом красный S-M</t>
  </si>
  <si>
    <t xml:space="preserve"> Корсаж Chantal с отстёгивающимся воланом белый S-M</t>
  </si>
  <si>
    <t xml:space="preserve"> Комплект из кружевного корсета с трусиками черный 1X-2X</t>
  </si>
  <si>
    <t xml:space="preserve"> Кружевное бюстье с рисунком  под леопард черный L</t>
  </si>
  <si>
    <t xml:space="preserve"> Кружевное бюстье с рисунком  под леопард черный M</t>
  </si>
  <si>
    <t xml:space="preserve"> Мягкое бюстье без косточек черный One Size</t>
  </si>
  <si>
    <t xml:space="preserve"> Корсет с блестящим кружевом фиолетовый L</t>
  </si>
  <si>
    <t xml:space="preserve"> Корсет с блестящим кружевом фиолетовый S</t>
  </si>
  <si>
    <t xml:space="preserve"> Корсет с блестящим кружевом фиолетовый M</t>
  </si>
  <si>
    <t xml:space="preserve"> Корсет с глубоким декольте и шнуровкой красный One Size</t>
  </si>
  <si>
    <t xml:space="preserve"> Комплект из кружевного корсета с оборкой и трусиков черный One Size</t>
  </si>
  <si>
    <t xml:space="preserve"> Мягкое бюстье без косточек черный 1X-2X</t>
  </si>
  <si>
    <t xml:space="preserve"> Корсаж «Victoria» с контрастной строчкой белый S</t>
  </si>
  <si>
    <t xml:space="preserve"> Корсаж «Victoria» с контрастной строчкой красный S</t>
  </si>
  <si>
    <t xml:space="preserve"> Корсаж «Victoria» с контрастной строчкой черный S</t>
  </si>
  <si>
    <t xml:space="preserve"> Корсаж «Victoria» с контрастной строчкой красный M</t>
  </si>
  <si>
    <t xml:space="preserve"> Корсаж «Victoria» с контрастной строчкой черный M</t>
  </si>
  <si>
    <t xml:space="preserve"> Корсаж «Elvire» с тонкими полосками сетки черный M</t>
  </si>
  <si>
    <t xml:space="preserve"> Корсаж «Elvire» с тонкими полосками сетки черный S</t>
  </si>
  <si>
    <t xml:space="preserve"> Корсаж «Elvire» с тонкими полосками сетки черный XL</t>
  </si>
  <si>
    <t xml:space="preserve"> Корсаж «Elvire» с тонкими полосками сетки черный L</t>
  </si>
  <si>
    <t xml:space="preserve"> Корсаж «Chloe» с цветочным рисунком черный M</t>
  </si>
  <si>
    <t xml:space="preserve"> Корсаж «Chloe» с цветочным рисунком красный M</t>
  </si>
  <si>
    <t xml:space="preserve"> Корсаж «Chloe» с цветочным рисунком красный S</t>
  </si>
  <si>
    <t xml:space="preserve"> Корсаж «Chloe» с цветочным рисунком черный S</t>
  </si>
  <si>
    <t xml:space="preserve"> Корсаж «Chloe» с цветочным рисунком белый S</t>
  </si>
  <si>
    <t xml:space="preserve"> Корсаж «Chloe» с цветочным рисунком черный L</t>
  </si>
  <si>
    <t xml:space="preserve"> Роскошный корсаж Fibi цвета кофе с молоком бежевый S-M</t>
  </si>
  <si>
    <t xml:space="preserve"> Роскошный корсаж Fibi цвета кофе с молоком бежевый L-XL</t>
  </si>
  <si>
    <t xml:space="preserve"> Ажурное бюстье с пажами черный L</t>
  </si>
  <si>
    <t xml:space="preserve"> Ажурное бюстье с пажами белый L</t>
  </si>
  <si>
    <t xml:space="preserve"> Ажурное бюстье с пажами белый S</t>
  </si>
  <si>
    <t xml:space="preserve"> Ажурное бюстье с пажами черный S</t>
  </si>
  <si>
    <t xml:space="preserve"> Ажурное бюстье с пажами черный M</t>
  </si>
  <si>
    <t xml:space="preserve"> Ажурное бюстье с пажами белый M</t>
  </si>
  <si>
    <t xml:space="preserve"> Дерзкий корсаж Agathe с эффектом мокрой ткани черный L-XL</t>
  </si>
  <si>
    <t xml:space="preserve"> Дерзкий корсаж Agathe с эффектом мокрой ткани черный S-M</t>
  </si>
  <si>
    <t xml:space="preserve"> Корсаж «Elvire Premium» с тонкими полосками сетки и чулками в комплекте черный M</t>
  </si>
  <si>
    <t xml:space="preserve"> Корсаж «Elvire Premium» с тонкими полосками сетки и чулками в комплекте черный S</t>
  </si>
  <si>
    <t xml:space="preserve"> Корсаж «Elvire Premium» с тонкими полосками сетки и чулками в комплекте черный L</t>
  </si>
  <si>
    <t xml:space="preserve"> Корсаж «Elvire Premium» с тонкими полосками сетки и чулками в комплекте черный XL</t>
  </si>
  <si>
    <t xml:space="preserve"> Корсаж «Lasedi» с вырезом-сердечком на груди черный S-M</t>
  </si>
  <si>
    <t xml:space="preserve"> Корсаж «Lasedi» с вырезом-сердечком на груди черный L-XL</t>
  </si>
  <si>
    <t xml:space="preserve"> Корсет Irma с кружевными вставками и рюшей по низу фиолетовый S-M</t>
  </si>
  <si>
    <t xml:space="preserve"> Корсет Irma с кружевными вставками и рюшей по низу фиолетовый L-XL</t>
  </si>
  <si>
    <t xml:space="preserve"> Корсаж «Blanchet» с оборками и кружевами черный XXL-XXXL</t>
  </si>
  <si>
    <t xml:space="preserve"> Корсаж «Blanchet» с оборками и кружевами белый XXL-XXXL</t>
  </si>
  <si>
    <t xml:space="preserve"> Корсаж-топ Miamor в комплекте с трусиками черный L-XL</t>
  </si>
  <si>
    <t xml:space="preserve"> Корсаж-топ Miamor в комплекте с трусиками черный S-M</t>
  </si>
  <si>
    <t xml:space="preserve"> Очаровательный корсаж Picantina черный S-M</t>
  </si>
  <si>
    <t xml:space="preserve"> Очаровательный корсаж Picantina черный L-XL</t>
  </si>
  <si>
    <t xml:space="preserve"> Полупрозрачный корсаж Musca с бордовым кружевом черный S-M</t>
  </si>
  <si>
    <t xml:space="preserve"> Полупрозрачный корсаж Musca с бордовым кружевом черный L-XL</t>
  </si>
  <si>
    <t xml:space="preserve"> Корсаж «Emi» с веревками для связывания черный с красным M</t>
  </si>
  <si>
    <t xml:space="preserve"> Корсаж «Emi» с веревками для связывания черный с красным S</t>
  </si>
  <si>
    <t xml:space="preserve"> Корсаж «Emi» с веревками для связывания черный с красным L</t>
  </si>
  <si>
    <t xml:space="preserve"> Корсаж «Emi» с веревками для связывания черный с красным XL</t>
  </si>
  <si>
    <t xml:space="preserve"> Бюстье с кружевной вставкой спереди и трусики серый XL</t>
  </si>
  <si>
    <t xml:space="preserve"> Бюстье с кружевной вставкой спереди и трусики серый S</t>
  </si>
  <si>
    <t xml:space="preserve"> Бюстье с кружевной вставкой спереди и трусики серый L</t>
  </si>
  <si>
    <t xml:space="preserve"> Бюстье с кружевной вставкой спереди и трусики серый M</t>
  </si>
  <si>
    <t xml:space="preserve"> Бюстье с полупрозрачной спинкой и лифом пуш-ап черный M</t>
  </si>
  <si>
    <t xml:space="preserve"> Бюстье с полупрозрачной спинкой и лифом пуш-ап черный S</t>
  </si>
  <si>
    <t xml:space="preserve"> Бюстье с полупрозрачной спинкой и лифом пуш-ап черный L</t>
  </si>
  <si>
    <t xml:space="preserve"> Бюстье с полупрозрачной спинкой и лифом пуш-ап черный XL</t>
  </si>
  <si>
    <t xml:space="preserve"> Облегающее бюстье с цветочным кружевом и трусики-стринг черный XL</t>
  </si>
  <si>
    <t xml:space="preserve"> Облегающее бюстье с цветочным кружевом и трусики-стринг черный L</t>
  </si>
  <si>
    <t xml:space="preserve"> Облегающее бюстье с цветочным кружевом и трусики-стринг черный S</t>
  </si>
  <si>
    <t xml:space="preserve"> Облегающее бюстье с цветочным кружевом и трусики-стринг черный M</t>
  </si>
  <si>
    <t xml:space="preserve"> Корсаж «Adel» с оборками и кружевной вставкой по центру красный XXL</t>
  </si>
  <si>
    <t xml:space="preserve"> Корсаж «Adel» с оборками и кружевной вставкой по центру красный XL</t>
  </si>
  <si>
    <t xml:space="preserve"> Корсаж «Adel» с оборками и кружевной вставкой по центру черный XL</t>
  </si>
  <si>
    <t xml:space="preserve"> Корсаж «Adel» с оборками и кружевной вставкой по центру белый XL</t>
  </si>
  <si>
    <t xml:space="preserve"> Корсаж «Adel» с оборками и кружевной вставкой по центру белый XXXL</t>
  </si>
  <si>
    <t xml:space="preserve"> Корсаж «Adel» с оборками и кружевной вставкой по центру красный XXXL</t>
  </si>
  <si>
    <t xml:space="preserve"> Корсаж «Adel» с оборками и кружевной вставкой по центру белый XXL</t>
  </si>
  <si>
    <t xml:space="preserve"> Корсаж «Adel» с оборками и кружевной вставкой по центру черный XXL</t>
  </si>
  <si>
    <t xml:space="preserve"> Корсаж «Adel» с оборками и кружевной вставкой по центру черный XXXL</t>
  </si>
  <si>
    <t xml:space="preserve"> Романтичный корсаж «Dafne» с пажами и трусиками-стрингами красный XXXL</t>
  </si>
  <si>
    <t xml:space="preserve"> Романтичный корсаж «Dafne» с пажами и трусиками-стрингами черный XXXL</t>
  </si>
  <si>
    <t xml:space="preserve"> Романтичный корсаж «Dafne» с пажами и трусиками-стрингами черный XXL</t>
  </si>
  <si>
    <t xml:space="preserve"> Романтичный корсаж «Dafne» с пажами и трусиками-стрингами черный XL</t>
  </si>
  <si>
    <t xml:space="preserve"> Романтичный корсаж «Dafne» с пажами и трусиками-стрингами красный XL</t>
  </si>
  <si>
    <t xml:space="preserve"> Романтичный корсаж «Dafne» с пажами и трусиками-стрингами красный XXL</t>
  </si>
  <si>
    <t xml:space="preserve"> Полупрозрачный корсаж «Emma» с трусиками-стринг черный XL</t>
  </si>
  <si>
    <t xml:space="preserve"> Полупрозрачный корсаж «Emma» с трусиками-стринг черный XXXL</t>
  </si>
  <si>
    <t xml:space="preserve"> Полупрозрачный корсаж «Emma» с трусиками-стринг черный XXL</t>
  </si>
  <si>
    <t xml:space="preserve"> Кружевной корсаж «Lisa» с пажами белый XL</t>
  </si>
  <si>
    <t xml:space="preserve"> Кружевной корсаж «Lisa» с пажами черный XL</t>
  </si>
  <si>
    <t xml:space="preserve"> Кружевной корсаж «Lisa» с пажами белый XXL</t>
  </si>
  <si>
    <t xml:space="preserve"> Кружевной корсаж «Lisa» с пажами черный XXXL</t>
  </si>
  <si>
    <t xml:space="preserve"> Кружевной корсаж «Lisa» с пажами черный XXL</t>
  </si>
  <si>
    <t xml:space="preserve"> Кружевной корсаж «Lisa» с пажами белый XXXL</t>
  </si>
  <si>
    <t xml:space="preserve"> Ажурный корсаж «Elena» с трусиками-стринг черный XXXL</t>
  </si>
  <si>
    <t xml:space="preserve"> Ажурный корсаж «Elena» с трусиками-стринг черный XXL</t>
  </si>
  <si>
    <t xml:space="preserve"> Ажурный корсаж «Elena» с трусиками-стринг белый XXL</t>
  </si>
  <si>
    <t xml:space="preserve"> Ажурный корсаж «Elena» с трусиками-стринг белый XXXL</t>
  </si>
  <si>
    <t xml:space="preserve"> Ажурный корсаж «Elena» с трусиками-стринг черный XL</t>
  </si>
  <si>
    <t xml:space="preserve"> Ажурный корсаж «Elena» с трусиками-стринг белый XL</t>
  </si>
  <si>
    <t xml:space="preserve"> Корсаж в горошек Dotina с бантиком на лифе черный S-M</t>
  </si>
  <si>
    <t xml:space="preserve"> Удлинённый корсаж Lovica с изысканным цветочным узором красный L-XL</t>
  </si>
  <si>
    <t xml:space="preserve"> Удлинённый корсаж Lovica с изысканным цветочным узором красный S-M</t>
  </si>
  <si>
    <t xml:space="preserve"> Ажурный корсаж Heartina с маленькой подвеской-сердечком красный S-M</t>
  </si>
  <si>
    <t xml:space="preserve"> Ажурный корсаж Heartina с маленькой подвеской-сердечком красный L-XL</t>
  </si>
  <si>
    <t xml:space="preserve"> Ажурный корсаж Jessie Plus Size с цветочным узором и оборочками черный XXL-XXXL</t>
  </si>
  <si>
    <t xml:space="preserve"> Золотистый корсаж Martina с имитацией молнии золото L-XL</t>
  </si>
  <si>
    <t xml:space="preserve"> Золотистый корсаж Martina с имитацией молнии золотой S-M</t>
  </si>
  <si>
    <t xml:space="preserve"> Прелестный корсаж «Connie» с двухцветным кружевом и оборками кремовый S-M</t>
  </si>
  <si>
    <t xml:space="preserve"> Прелестный корсаж «Connie» с двухцветным кружевом и оборками черный S-M</t>
  </si>
  <si>
    <t xml:space="preserve"> Игривый укороченный корсаж «Dallas» черный S-M</t>
  </si>
  <si>
    <t xml:space="preserve"> Игривый укороченный корсаж «Dallas» черный L-XL</t>
  </si>
  <si>
    <t xml:space="preserve"> Элегантный корсаж Giorgia с ажурным лифом черный S-M</t>
  </si>
  <si>
    <t xml:space="preserve"> Элегантный корсаж Sissey с полупрозрачными оборками черный S-M</t>
  </si>
  <si>
    <t xml:space="preserve"> Элегантный корсаж Sissey с полупрозрачными оборками черный L-XL</t>
  </si>
  <si>
    <t xml:space="preserve"> Чувственный корсаж Lanka с алой вышивкой черный L-XL</t>
  </si>
  <si>
    <t xml:space="preserve"> Чувственный корсаж Lanka с алой вышивкой черный XXL-XXXL</t>
  </si>
  <si>
    <t xml:space="preserve"> Чувственный корсаж Lanka с алой вышивкой черный S-M</t>
  </si>
  <si>
    <t xml:space="preserve"> Элегантный корсаж Mayah с кружевными оборками понизу черный S-M</t>
  </si>
  <si>
    <t xml:space="preserve"> Роскошный корсаж Nell с открытой грудью серый S-M</t>
  </si>
  <si>
    <t xml:space="preserve"> Роскошный корсаж Nell с открытой грудью серый L-XL</t>
  </si>
  <si>
    <t xml:space="preserve"> Шикарный корсаж Nell Plus Size с открытой грудью серый XXL-XXXL</t>
  </si>
  <si>
    <t xml:space="preserve"> Полупрозрачный корсаж с трусиками-стринг черный One Size</t>
  </si>
  <si>
    <t xml:space="preserve"> Чёрный корсаж Sexy Pony с конским хвостом и аксессуарами черный S-M</t>
  </si>
  <si>
    <t xml:space="preserve"> Чёрный корсаж Sexy Pony с конским хвостом и аксессуарами черный L-XL</t>
  </si>
  <si>
    <t xml:space="preserve"> Корсаж Carole с утонченной цветочной вышивкой черный L</t>
  </si>
  <si>
    <t xml:space="preserve"> Корсаж Carole с утонченной цветочной вышивкой черный S</t>
  </si>
  <si>
    <t xml:space="preserve"> Корсаж Carole с утонченной цветочной вышивкой черный M</t>
  </si>
  <si>
    <t xml:space="preserve"> Эффектный корсаж Greyla с бантом на лифе черный с серым S-M</t>
  </si>
  <si>
    <t xml:space="preserve"> Эффектный корсаж Greyla с бантом на лифе черный с серым L-XL</t>
  </si>
  <si>
    <t xml:space="preserve"> Чарующий корсаж Charmea с кружевами и бантом на лифе черный L-XL</t>
  </si>
  <si>
    <t xml:space="preserve"> Чарующий корсаж Charmea с кружевами и бантом на лифе черный S-M</t>
  </si>
  <si>
    <t xml:space="preserve"> Корсет Etheria на косточках белый S-M</t>
  </si>
  <si>
    <t xml:space="preserve"> Корсет Etheria на косточках белый L-XL</t>
  </si>
  <si>
    <t xml:space="preserve"> Корсаж Janet с лифом в форме сердца и пажами для чулок белый L-XL</t>
  </si>
  <si>
    <t xml:space="preserve"> Корсаж Janet с лифом в форме сердца и пажами для чулок белый S-M</t>
  </si>
  <si>
    <t xml:space="preserve"> Корсаж Jolene с открытой грудью черный S-M</t>
  </si>
  <si>
    <t xml:space="preserve"> Корсаж Jolene с открытой грудью черный L-XL</t>
  </si>
  <si>
    <t xml:space="preserve"> Корсаж из сетки Katriss со шнуровкой черный L-XL</t>
  </si>
  <si>
    <t xml:space="preserve"> Корсаж из сетки Katriss со шнуровкой черный S-M</t>
  </si>
  <si>
    <t xml:space="preserve"> Удлинённый корсаж Paloma с цветочным кружевом белый S-M</t>
  </si>
  <si>
    <t xml:space="preserve"> Удлинённый корсаж Paloma с цветочным кружевом белый L-XL</t>
  </si>
  <si>
    <t xml:space="preserve"> Эластичный корсаж с кружевом белый L-XL</t>
  </si>
  <si>
    <t xml:space="preserve"> Эластичный корсаж с кружевом черный L-XL</t>
  </si>
  <si>
    <t xml:space="preserve"> Эластичный корсаж с кружевом белый S-M</t>
  </si>
  <si>
    <t xml:space="preserve"> Эластичный корсаж с кружевом черный S-M</t>
  </si>
  <si>
    <t xml:space="preserve"> Прозрачный удлинённый корсаж с бусинками черный S-M</t>
  </si>
  <si>
    <t xml:space="preserve"> Прозрачный удлинённый корсаж с бусинками черный L-XL</t>
  </si>
  <si>
    <t xml:space="preserve"> Эффектный корсаж Sandra из стрейч-материала черный L-XL</t>
  </si>
  <si>
    <t xml:space="preserve"> Эффектный корсаж Sandra из стрейч-материала красный с черным L-XL</t>
  </si>
  <si>
    <t xml:space="preserve"> Эффектный корсаж Sandra из стрейч-материала черный S-M</t>
  </si>
  <si>
    <t xml:space="preserve"> Эффектный корсаж Sandra из стрейч-материала красный с черным S-M</t>
  </si>
  <si>
    <t xml:space="preserve"> Бюстье Jade с контрастной отделкой черный с красным M</t>
  </si>
  <si>
    <t xml:space="preserve"> Бюстье Jade с контрастной отделкой черный с красным XL</t>
  </si>
  <si>
    <t xml:space="preserve"> Бюстье Jade с контрастной отделкой черный с красным L</t>
  </si>
  <si>
    <t xml:space="preserve"> Бюстье Jade с контрастной отделкой черный с красным S</t>
  </si>
  <si>
    <t xml:space="preserve"> Бюстье Jade Plus Size с полуоткрытой грудью черный с красным XXL</t>
  </si>
  <si>
    <t xml:space="preserve"> Бюстье Jade Plus Size с полуоткрытой грудью черный с красным XXXL</t>
  </si>
  <si>
    <t xml:space="preserve"> Корсаж Nadya с прозрачными деталями черный L-XL</t>
  </si>
  <si>
    <t xml:space="preserve"> Корсаж Nadya с прозрачными деталями черный S-M</t>
  </si>
  <si>
    <t xml:space="preserve"> Откровенный корсаж Justina с открытой грудью черный S-M</t>
  </si>
  <si>
    <t xml:space="preserve"> Откровенный корсаж Justina с открытой грудью черный L-XL</t>
  </si>
  <si>
    <t xml:space="preserve"> Чувственный корсаж Aurora с цветочным рисунком черный L-XL</t>
  </si>
  <si>
    <t xml:space="preserve"> Чувственный корсаж Aurora с цветочным рисунком черный S-M</t>
  </si>
  <si>
    <t xml:space="preserve"> Полупрозрачный корсаж Enna с кружевами черный S-M</t>
  </si>
  <si>
    <t xml:space="preserve"> Полупрозрачный корсаж Enna с кружевами черный L-XL</t>
  </si>
  <si>
    <t xml:space="preserve"> Корсаж Gigi с ажурной верхней частью и дополнительными бретелями черный L-XL</t>
  </si>
  <si>
    <t xml:space="preserve"> Корсаж Gigi с ажурной верхней частью и дополнительными бретелями черный S-M</t>
  </si>
  <si>
    <t xml:space="preserve"> Корсаж Effi с открытым бюстом и оборками поверх черный S-M</t>
  </si>
  <si>
    <t xml:space="preserve"> Корсаж Effi с открытым бюстом и оборками поверх белый S-M</t>
  </si>
  <si>
    <t xml:space="preserve"> Корсаж Effi с открытым бюстом и оборками поверх черный L-XL</t>
  </si>
  <si>
    <t xml:space="preserve"> Корсаж Effi с открытым бюстом и оборками поверх белый L-XL</t>
  </si>
  <si>
    <t xml:space="preserve"> Манящий корсаж Ginette с комплекте с трусиками черный M</t>
  </si>
  <si>
    <t xml:space="preserve"> Корсаж с кружевом и оригинальным дизайном спинки черный M</t>
  </si>
  <si>
    <t xml:space="preserve"> Корсаж с кружевом и оригинальным дизайном спинки черный S</t>
  </si>
  <si>
    <t xml:space="preserve"> Корсаж с кружевом и оригинальным дизайном спинки черный L</t>
  </si>
  <si>
    <t xml:space="preserve"> Корсаж с пажами Christina из нежного кружева черный XL</t>
  </si>
  <si>
    <t xml:space="preserve"> Корсаж с пажами Christina из нежного кружева черный XXL</t>
  </si>
  <si>
    <t xml:space="preserve"> Корсаж с пажами Christina из нежного кружева черный XXXL</t>
  </si>
  <si>
    <t xml:space="preserve"> Соблазнительный корсаж Luna из цветочного кружева черный L-XL</t>
  </si>
  <si>
    <t xml:space="preserve"> Соблазнительный корсаж Luna из цветочного кружева черный S-M</t>
  </si>
  <si>
    <t xml:space="preserve"> Роскошный облегающий двухцветный корсаж синий с черным S-M</t>
  </si>
  <si>
    <t xml:space="preserve"> Роскошный облегающий двухцветный корсаж синий с черным L-XL</t>
  </si>
  <si>
    <t xml:space="preserve"> Красный корсаж с кружевами красный L-XL</t>
  </si>
  <si>
    <t xml:space="preserve"> Красный корсаж с кружевами красный S-M</t>
  </si>
  <si>
    <t xml:space="preserve"> Полупрозрачный корсаж с кружевами черный S-M</t>
  </si>
  <si>
    <t xml:space="preserve"> Полупрозрачный корсаж с кружевами черный L-XL</t>
  </si>
  <si>
    <t xml:space="preserve"> Корсаж из материала в крапинку черный L-XL</t>
  </si>
  <si>
    <t xml:space="preserve"> Корсаж из материала в крапинку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</si>
  <si>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Корсаж Zalika с цветочным рисунком кружева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</si>
  <si>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Корсаж Zalika с цветочным рисунком кружева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</si>
  <si>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t xml:space="preserve"> Корсаж Montana с цветочным рисунком на полупрозрачных вставках черный с бежевым L-XL</t>
  </si>
  <si>
    <t xml:space="preserve"> Корсаж Montana с цветочным рисунком на полупрозрачных вставках черный с бежевым S-M</t>
  </si>
  <si>
    <t xml:space="preserve"> Полупрозрачный корсаж с рюшевой отделкой черный S-M</t>
  </si>
  <si>
    <t xml:space="preserve"> Полупрозрачный корсаж с рюшевой отделкой черный L-XL</t>
  </si>
  <si>
    <t xml:space="preserve"> Полупрозрачный корсаж с отделкой рюшами черный XXL</t>
  </si>
  <si>
    <t xml:space="preserve"> Полупрозрачный корсаж с ажурным декором и контрастной строчкой черный L-XL</t>
  </si>
  <si>
    <t xml:space="preserve"> Полупрозрачный корсаж с ажурным декором и контрастной строчкой черный S-M</t>
  </si>
  <si>
    <t xml:space="preserve"> Корсаж с ажурным лифом черный S-M</t>
  </si>
  <si>
    <t xml:space="preserve"> Корсаж с ажурным лифом черный L-XL</t>
  </si>
  <si>
    <t xml:space="preserve"> Корсаж Dominique с фальш-шнуровкой из лент черный с красным L-XL</t>
  </si>
  <si>
    <t xml:space="preserve"> Корсаж Dominique с фальш-шнуровкой из лент черный с белым L-XL</t>
  </si>
  <si>
    <t xml:space="preserve"> Корсаж Dominique с фальш-шнуровкой из лент белый с черным L-XL</t>
  </si>
  <si>
    <t xml:space="preserve"> Корсаж Dominique с фальш-шнуровкой из лент белый с черным S-M</t>
  </si>
  <si>
    <t xml:space="preserve"> Корсаж Dominique с фальш-шнуровкой из лент черный с красным S-M</t>
  </si>
  <si>
    <t xml:space="preserve"> Корсаж Dominique с фальш-шнуровкой из лент черный с белым S-M</t>
  </si>
  <si>
    <t xml:space="preserve"> Корсаж Dominique с фальш-шнуровкой из лент белый с черным XXL-XXXL</t>
  </si>
  <si>
    <t xml:space="preserve"> Корсаж Dominique с фальш-шнуровкой из лент черный с белым XXL-XXXL</t>
  </si>
  <si>
    <t xml:space="preserve"> Корсаж Dominique с фальш-шнуровкой из лент черный с красным XXL-XXXL</t>
  </si>
  <si>
    <t xml:space="preserve"> Корсет Catty Plus Size из материала с виниловым напылением черный XXL-XXXL</t>
  </si>
  <si>
    <t xml:space="preserve"> Корсет Bes со шнуровкой спереди и пажами для чулок черный 6X-7X</t>
  </si>
  <si>
    <t xml:space="preserve"> Корсет Bes со шнуровкой спереди и пажами для чулок черный 4X-5X</t>
  </si>
  <si>
    <t xml:space="preserve"> Корсаж Janet Plus Size с лифом в форме сердца и подвязками для чулок белый XXL-XXXL</t>
  </si>
  <si>
    <t xml:space="preserve"> Корсаж Katriss Plus Size из сетки со шнуровкой черный XXL-XXXL</t>
  </si>
  <si>
    <t xml:space="preserve"> Удлинённый корсаж Paloma Plus Size с цветочным кружевом белый XXL-XXXL</t>
  </si>
  <si>
    <t xml:space="preserve"> Кружевной корсаж Xena с крупным цветочным рисунком белый L-XL</t>
  </si>
  <si>
    <t xml:space="preserve"> Кружевной корсаж Xena с крупным цветочным рисунком белый S-M</t>
  </si>
  <si>
    <t xml:space="preserve"> Ажурный корсаж Xena Plus Size с крупным цветочным рисунком белый XXL-XXXL</t>
  </si>
  <si>
    <t xml:space="preserve"> Корсаж без бретелей Zola Plus Size с прозрачной вставкой по центру черный XXL-XXXL</t>
  </si>
  <si>
    <t xml:space="preserve"> Роскошный корсаж Brasiliana с вышивкой белый XXL-XXXL</t>
  </si>
  <si>
    <t xml:space="preserve"> Роскошный корсаж Brasiliana с вышивкой черный 4X-5X</t>
  </si>
  <si>
    <t xml:space="preserve"> Роскошный корсаж Brasiliana с вышивкой черный 6X-7X</t>
  </si>
  <si>
    <t xml:space="preserve"> Соблазнительный корсаж Brasiliana с вышивкой белый L-XL</t>
  </si>
  <si>
    <t xml:space="preserve"> Соблазнительный корсаж Brasiliana с вышивкой белый S-M</t>
  </si>
  <si>
    <t xml:space="preserve"> Чувственный корсаж Carolyn Plus Size с нежным кружевом и оборками черный 6X-7X</t>
  </si>
  <si>
    <t xml:space="preserve"> Чувственный корсаж Carolyn Plus Size с нежным кружевом и оборками черный 4X-5X</t>
  </si>
  <si>
    <t xml:space="preserve"> Корсаж без бретелей Valencia с прозрачными элементами черный L-XL</t>
  </si>
  <si>
    <t xml:space="preserve"> Корсаж без бретелей Valencia с прозрачными элементами черный S-M</t>
  </si>
  <si>
    <t xml:space="preserve"> Прозрачный тюлевый корсаж Josslyn с вставкой из ажура на животике черный S-M</t>
  </si>
  <si>
    <t xml:space="preserve"> Прозрачный тюлевый корсаж Josslyn с вставкой из ажура на животике черный L-XL</t>
  </si>
  <si>
    <t xml:space="preserve"> Прозрачный тюлевый корсаж Josslyn Plus Size с вставкой из ажура на животике черный XXL-XXXL</t>
  </si>
  <si>
    <t xml:space="preserve"> Роскошный корсаж Karmina с открытым животиком красный с черным L-XL</t>
  </si>
  <si>
    <t xml:space="preserve"> Роскошный корсаж Karmina с открытым животиком красный с черным S-M</t>
  </si>
  <si>
    <t xml:space="preserve"> Корсаж Nora с прозрачными элементами и розовыми бантами черный S-M</t>
  </si>
  <si>
    <t xml:space="preserve"> Корсаж Nora с прозрачными элементами и розовыми бантами черный L-XL</t>
  </si>
  <si>
    <t xml:space="preserve"> Прелестный корсаж Ana с ромбовидным узором черный L-XL</t>
  </si>
  <si>
    <t xml:space="preserve"> Прелестный корсаж Ana с ромбовидным узором черный S-M</t>
  </si>
  <si>
    <t xml:space="preserve"> Корсаж Ana Plus Size с ромбовидным узором и полупрозрачными элементами черный XXL-XXXL</t>
  </si>
  <si>
    <t xml:space="preserve"> Полупрозрачный корсаж Gracia с бантами и цветочным рисунком черный L-XL</t>
  </si>
  <si>
    <t xml:space="preserve"> Полупрозрачный корсаж Gracia с бантами и цветочным рисунком черный S-M</t>
  </si>
  <si>
    <t xml:space="preserve"> Полупрозрачный корсаж Gracia Plus Size с бантами и цветочным узором черный XXL-XXXL</t>
  </si>
  <si>
    <t xml:space="preserve"> Корсаж Nadya Plus Size с прозрачными деталями и вырезами черный XXL-XXXL</t>
  </si>
  <si>
    <t xml:space="preserve"> Эффектный полупрозрачный корсаж Sandra Plus Size из стрейч-материала черный XXL-XXXL</t>
  </si>
  <si>
    <t xml:space="preserve"> Эффектный полупрозрачный корсаж Sandra Plus Size из стрейч-материала черный с красным XXL-XXXL</t>
  </si>
  <si>
    <t xml:space="preserve"> Чувственный корсаж Aurora Plus Size с цветочным рисунком черный XXL-XXXL</t>
  </si>
  <si>
    <t xml:space="preserve"> Нежный корсаж Catalina со шнуровкой по центру и оборками белый L-XL</t>
  </si>
  <si>
    <t xml:space="preserve"> Нежный корсаж Catalina со шнуровкой по центру и оборками белый S-M</t>
  </si>
  <si>
    <t xml:space="preserve"> Нежный корсаж Catalina Plus Size со шнуровкой по центру и оборками белый XXL-XXXL</t>
  </si>
  <si>
    <t xml:space="preserve"> Корсаж Effi с открытым лифом и оборками поверх белый XXL-XXXL</t>
  </si>
  <si>
    <t xml:space="preserve"> Корсаж Effi с открытым лифом и оборками поверх черный XXL-XXXL</t>
  </si>
  <si>
    <t xml:space="preserve"> Полупрозрачный корсаж Enna Plus Size с кружевами черный XXL-XXXL</t>
  </si>
  <si>
    <t xml:space="preserve"> Корсаж Gloria с двухцветным кружевом черный с малиновым L-XL</t>
  </si>
  <si>
    <t xml:space="preserve"> Корсаж Gloria с двухцветным кружевом черный с малиновым S-M</t>
  </si>
  <si>
    <t xml:space="preserve"> Нежный корсаж Eleni с изысканным кружевом белый с синим 6X-7X</t>
  </si>
  <si>
    <t xml:space="preserve"> Нежный корсаж Eleni с изысканным кружевом белый с синим 4X-5X</t>
  </si>
  <si>
    <t xml:space="preserve"> Чувственный корсаж Larisa со шнуровкой и оборками черный с белым 4X-5X</t>
  </si>
  <si>
    <t xml:space="preserve"> Чувственный корсаж Larisa со шнуровкой и оборками черный с белым 6X-7X</t>
  </si>
  <si>
    <t xml:space="preserve"> Корсаж Zoja в тонкую полоску с оборками и шнуровкой черный 6X-7X</t>
  </si>
  <si>
    <t xml:space="preserve"> Корсаж Zoja в тонкую полоску с оборками и шнуровкой черный 4X-5X</t>
  </si>
  <si>
    <t xml:space="preserve"> Корсаж Zoja в тонкую полоску с оборками и шнуровкой черный XXL-XXXL</t>
  </si>
  <si>
    <t xml:space="preserve"> Корсаж в тонкую полоску Zoja с оборками и шнуровкой черный L-XL</t>
  </si>
  <si>
    <t xml:space="preserve"> Корсаж в тонкую полоску Zoja с оборками и шнуровкой черный S-M</t>
  </si>
  <si>
    <t xml:space="preserve"> Ажурный корсаж Henriette с узором в виде паутинок черный S-M</t>
  </si>
  <si>
    <t xml:space="preserve"> Ажурный корсаж Henriette с узором в виде паутинок черный L-XL</t>
  </si>
  <si>
    <t xml:space="preserve"> Полупрозрачный корсаж Hellen с кружевным лифом черный L-XL</t>
  </si>
  <si>
    <t xml:space="preserve"> Полупрозрачный корсаж Hellen с кружевным лифом черный S-M</t>
  </si>
  <si>
    <t xml:space="preserve"> Эффектный корсет Dorothy с юбочкой черный S-M</t>
  </si>
  <si>
    <t xml:space="preserve"> Эффектный корсет Dorothy с юбочкой черный L-XL</t>
  </si>
  <si>
    <t xml:space="preserve"> Корсет Shirley с кружевами и косточками белый S-M</t>
  </si>
  <si>
    <t xml:space="preserve"> Корсет Shirley с кружевами и косточками синий с черным S-M</t>
  </si>
  <si>
    <t xml:space="preserve"> Корсет Shirley с кружевами и косточками красный с черным S-M</t>
  </si>
  <si>
    <t xml:space="preserve"> Корсет Shirley с кружевами и косточками черный S-M</t>
  </si>
  <si>
    <t xml:space="preserve"> Корсет Shirley с кружевами и косточками белый L-XL</t>
  </si>
  <si>
    <t xml:space="preserve"> Корсет Shirley с кружевами и косточками красный с черным L-XL</t>
  </si>
  <si>
    <t xml:space="preserve"> Корсет Shirley с кружевами и косточками черный L-XL</t>
  </si>
  <si>
    <t xml:space="preserve"> Корсет Shirley с кружевами и косточками синий с черным L-XL</t>
  </si>
  <si>
    <t xml:space="preserve"> Соблазнительный корсаж Brida с полупрозрачным цветочным кружевом и шнуровкой красный с черным L-XL</t>
  </si>
  <si>
    <t xml:space="preserve"> Соблазнительный корсаж Brida с полупрозрачным цветочным кружевом и шнуровкой черный L-XL</t>
  </si>
  <si>
    <t xml:space="preserve"> Соблазнительный корсаж Brida с полупрозрачным цветочным кружевом и шнуровкой черный S-M</t>
  </si>
  <si>
    <t xml:space="preserve"> Соблазнительный корсаж Brida с полупрозрачным цветочным кружевом и шнуровкой красный с черным S-M</t>
  </si>
  <si>
    <t xml:space="preserve"> Соблазнительный корсаж Brida Plus Size с полупрозрачным цветочным ажуром и шнуровкой черный XXL-XXXL</t>
  </si>
  <si>
    <t xml:space="preserve"> Соблазнительный корсаж Brida Plus Size с полупрозрачным цветочным ажуром и шнуровкой красный с черным XXL-XXXL</t>
  </si>
  <si>
    <t xml:space="preserve"> Корсаж Haya с цветочным узором на кружеве черный L-XL</t>
  </si>
  <si>
    <t xml:space="preserve"> Корсаж Haya с цветочным узором на кружеве черный S-M</t>
  </si>
  <si>
    <t xml:space="preserve"> Чувственный корсаж Haya Plus Size с цветочным узором на кружеве черный XXL-XXXL</t>
  </si>
  <si>
    <t xml:space="preserve"> Обворожительный корсаж Loraine Plus Size с нежным кружевом красный XXL-XXXL</t>
  </si>
  <si>
    <t xml:space="preserve"> Корсет Catty из материала с виниловым напылением черный S-M</t>
  </si>
  <si>
    <t xml:space="preserve"> Корсет Catty из материала с виниловым напылением черный L-XL</t>
  </si>
  <si>
    <t xml:space="preserve"> Полупрозрачный корсаж Abra Plus Size с бантиками белый с черным XXL-XXXL</t>
  </si>
  <si>
    <t xml:space="preserve"> Полупрозрачный корсаж Abra Plus Size с бантиками черный с красным XXL-XXXL</t>
  </si>
  <si>
    <t xml:space="preserve"> Корсаж без бретелей Valencia Plus Size с прозрачными элементами черный XXL-XXXL</t>
  </si>
  <si>
    <t xml:space="preserve"> Корсаж без бретелей Zola с прозрачной вставкой по центру черный L-XL</t>
  </si>
  <si>
    <t xml:space="preserve"> Корсаж без бретелей Zola с прозрачной вставкой по центру черный S-M</t>
  </si>
  <si>
    <t xml:space="preserve"> Роскошный корсаж Karmina Plus Size с открытым животиком красный с черным XXL-XXXL</t>
  </si>
  <si>
    <t xml:space="preserve"> Пикантный пояс-корсет Bella красный с черным L-XL</t>
  </si>
  <si>
    <t xml:space="preserve"> Пикантный пояс-корсет Bella красный с черным S-M</t>
  </si>
  <si>
    <t xml:space="preserve"> Корсет Loveliness с подвеской-капелькой белый S-M</t>
  </si>
  <si>
    <t xml:space="preserve"> Корсет Loveliness с подвеской-капелькой белый L-XL</t>
  </si>
  <si>
    <t xml:space="preserve"> Корсаж Joana с пышными оборками и пажами черный с красным L-XL</t>
  </si>
  <si>
    <t xml:space="preserve"> Корсаж Joana с пышными оборками и пажами черный с красным S-M</t>
  </si>
  <si>
    <t xml:space="preserve"> Соблазнительный корсаж Mailys из кружева с  ресничками черный S-M</t>
  </si>
  <si>
    <t xml:space="preserve"> Соблазнительный корсаж Mailys из кружева с  ресничками черный L-XL</t>
  </si>
  <si>
    <t xml:space="preserve"> Роскошный корсаж Suelo с лифом на косточках белый с черным L-XL</t>
  </si>
  <si>
    <t xml:space="preserve"> Роскошный корсаж Suelo с лифом на косточках белый с черным S-M</t>
  </si>
  <si>
    <t xml:space="preserve"> Роскошный корсаж Suelo Plus Size с лифом на косточках белый с черным XXL-XXXL</t>
  </si>
  <si>
    <t xml:space="preserve"> Корсаж Rodos со шнуровками черный с красным L-XL</t>
  </si>
  <si>
    <t xml:space="preserve"> Корсаж Rodos со шнуровками черный с красным S-M</t>
  </si>
  <si>
    <t xml:space="preserve"> Изысканный корсаж Lotus с цветочным кружевом кремовый S-M</t>
  </si>
  <si>
    <t xml:space="preserve"> Изысканный корсаж Lotus с цветочным кружевом черный с бежевым S-M</t>
  </si>
  <si>
    <t xml:space="preserve"> Изысканный корсаж Lotus с цветочным кружевом кремовый L-XL</t>
  </si>
  <si>
    <t xml:space="preserve"> Изысканный корсаж Lotus с цветочным кружевом черный с бежевым L-XL</t>
  </si>
  <si>
    <t xml:space="preserve"> Изысканный корсаж Lotus с цветочным кружевом черный с бежевым XXL-XXXL</t>
  </si>
  <si>
    <t xml:space="preserve"> Изысканный корсаж Lotus с цветочным кружевом кремовый XXL-XXXL</t>
  </si>
  <si>
    <t xml:space="preserve"> Кружевной корсаж Tiffany Plus Size со шнуровкой красный с черным XXL-XXXL</t>
  </si>
  <si>
    <t xml:space="preserve"> Кружевной корсаж Tiffany Plus Size со шнуровкой черный XXL-XXXL</t>
  </si>
  <si>
    <t xml:space="preserve"> Ажурный корсет Fabra Plus Size черный XXL-XXXL</t>
  </si>
  <si>
    <t xml:space="preserve"> Чарующий корсаж Fleur с вышивкой темно-синий L-XL</t>
  </si>
  <si>
    <t xml:space="preserve"> Чарующий корсаж Fleur с вышивкой темно-синий S-M</t>
  </si>
  <si>
    <t xml:space="preserve"> Корсет Marilyn с кружевными вставками черный S-M</t>
  </si>
  <si>
    <t xml:space="preserve"> Корсет Marilyn с кружевными вставками черный L-XL</t>
  </si>
  <si>
    <t xml:space="preserve"> Шикарный корсет Ravenna с тонким пояском черный с бежевым L-XL</t>
  </si>
  <si>
    <t xml:space="preserve"> Шикарный корсет Ravenna с тонким пояском черный L-XL</t>
  </si>
  <si>
    <t xml:space="preserve"> Шикарный корсет Ravenna с тонким пояском черный с бежевым S-M</t>
  </si>
  <si>
    <t xml:space="preserve"> Шикарный корсет Ravenna с тонким пояском черный S-M</t>
  </si>
  <si>
    <t xml:space="preserve"> Корсаж Rodos Plus Size со шнуровками черный с красным XXL-XXXL</t>
  </si>
  <si>
    <t xml:space="preserve"> Полупрозрачный корсаж с кружевным лифом Hellen Plus Size черный XXL-XXXL</t>
  </si>
  <si>
    <t xml:space="preserve"> Соблазнительный полупрозрачный корсаж с кружевом и шнуровкой на спинке черный L-XL</t>
  </si>
  <si>
    <t xml:space="preserve"> Соблазнительный полупрозрачный корсаж с кружевом и шнуровкой на спинке черный S-M</t>
  </si>
  <si>
    <t xml:space="preserve"> Корсаж Joana Plus Size с пышными оборками и пажами черный с красным XXL-XXXL</t>
  </si>
  <si>
    <t xml:space="preserve"> Восхитительный комплект: мягкий корсаж с пажами, трусики-стринги и чулки голубой с черным One Size</t>
  </si>
  <si>
    <t xml:space="preserve"> Полупрозрачный корсаж с подвеской на лифе белый L-XL</t>
  </si>
  <si>
    <t xml:space="preserve"> Полупрозрачный корсаж с подвеской на лифе белый S-M</t>
  </si>
  <si>
    <t xml:space="preserve"> Корсаж Montana Plus Size с цветочным рисунком на полупрозрачных вставках черный с бежевым XXL-XXXL</t>
  </si>
  <si>
    <t xml:space="preserve"> Роскошный корсаж Floris с двухцветным кружевным лифом черный L-XL</t>
  </si>
  <si>
    <t xml:space="preserve"> Роскошный корсаж Floris с двухцветным кружевным лифом черный S-M</t>
  </si>
  <si>
    <t xml:space="preserve"> Игривый корсаж Hagar со стреп-лентами черный S-M</t>
  </si>
  <si>
    <t xml:space="preserve"> Игривый корсаж Hagar со стреп-лентами черный L-XL</t>
  </si>
  <si>
    <t xml:space="preserve"> Игривый корсаж Hagar Plus Size со стреп-лентами черный XXL-XXXL</t>
  </si>
  <si>
    <t xml:space="preserve"> Пикантный корсаж Hera с открытым лифом и колечками поверх сосков черный с красным L-XL</t>
  </si>
  <si>
    <t xml:space="preserve"> Пикантный корсаж Hera с открытым лифом и колечками поверх сосков розовый с черным L-XL</t>
  </si>
  <si>
    <t xml:space="preserve"> Пикантный корсаж Hera с открытым лифом и колечками поверх сосков черный с красным S-M</t>
  </si>
  <si>
    <t xml:space="preserve"> Пикантный корсаж Hera с открытым лифом и колечками поверх сосков розовый с черным S-M</t>
  </si>
  <si>
    <t xml:space="preserve"> Пикантный корсаж Hera Plus Size с открытым лифом и колечками поверх сосков розовый с черным XXL-XXXL</t>
  </si>
  <si>
    <t xml:space="preserve"> Пикантный корсаж Hera Plus Size с открытым лифом и колечками поверх сосков черный с красным XXL-XXXL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</si>
  <si>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Удлинённый корсаж Mia с кружевными элементами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</si>
  <si>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Удлинённый корсаж Mia с кружевными элементами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</si>
  <si>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Удлинённый корсаж Mia Plus Size с кружевным воротом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</si>
  <si>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корсет North со шнуровкой и открытым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</si>
  <si>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корсет North со шнуровкой и открытым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</si>
  <si>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Очаровательный корсет Tonya с кружевом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</si>
  <si>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Очаровательный корсет Tonya с кружевом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</si>
  <si>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Малиновый корсаж с оборками по бокам </d:t>
    </d:r>
    <d:r xmlns:d="http://schemas.openxmlformats.org/spreadsheetml/2006/main">
      <d:rPr>
        <d:sz val="11"/>
        <d:color rgb="FF000000"/>
        <d:rFont val="Calibri"/>
      </d:rPr>
      <d:t>малиновый с чёрным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</si>
  <si>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Малиновый корсаж с оборками по бокам </d:t>
    </d:r>
    <d:r xmlns:d="http://schemas.openxmlformats.org/spreadsheetml/2006/main">
      <d:rPr>
        <d:sz val="11"/>
        <d:color rgb="FF000000"/>
        <d:rFont val="Calibri"/>
      </d:rPr>
      <d:t>малиновый с чёрным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</si>
  <si>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Корсет Angela с двойными лямками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</si>
  <si>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Корсет Angela с двойными лямками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</si>
  <si>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Корсет Angela с двойными лямками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</si>
  <si>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Корсет Angela с двойными лямками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</si>
  <si>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Корсет Angela с двойными лямками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</si>
  <si>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полупрозрачный корсаж с синим кружевом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</si>
  <si>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полупрозрачный корсаж с синим кружевом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</si>
  <si>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корсаж Coline с ошейником из мягкой сетки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</si>
  <si>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корсаж Coline с ошейником из мягкой сетки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</si>
  <si>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корсаж Nea с нежными кружевами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</si>
  <si>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корсаж Nea с нежными кружевами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</si>
  <si>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Ivone со вставками из темно-синего кружева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</si>
  <si>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Ivone со вставками из темно-синего кружева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</si>
  <si>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Maxime с вырезами для сосков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</si>
  <si>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Maxime с вырезами для сосков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</si>
  <si>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Maxime с вырезами для сосков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</si>
  <si>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Maxime с вырезами для сосков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</si>
  <si>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Чарующий корсаж Nea Plus Size с нежными кружевами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</si>
  <si>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Ivone Plus Size со вставками из темно-синего кружева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</si>
  <si>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Короткий корсаж Lou с кружевным лифом и вставкой из сетки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</si>
  <si>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Короткий корсаж Lou с кружевным лифом и вставкой из сетки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</si>
  <si>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Двухцветный корсаж Valentine с полупрозрачными вставками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</si>
  <si>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Двухцветный корсаж Valentine с полупрозрачными вставками </d:t>
    </d:r>
    <d:r xmlns:d="http://schemas.openxmlformats.org/spreadsheetml/2006/main">
      <d:rPr>
        <d:sz val="11"/>
        <d:color rgb="FF000000"/>
        <d:rFont val="Calibri"/>
      </d:rPr>
      <d:t>черный с красным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</si>
  <si>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Двухцветный корсаж Valentine с полупрозрачными вставками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</si>
  <si>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Двухцветный корсаж Valentine с полупрозрачными вставками </d:t>
    </d:r>
    <d:r xmlns:d="http://schemas.openxmlformats.org/spreadsheetml/2006/main">
      <d:rPr>
        <d:sz val="11"/>
        <d:color rgb="FF000000"/>
        <d:rFont val="Calibri"/>
      </d:rPr>
      <d:t>черный с красным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</si>
  <si>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Провокационный корсаж Midori с открытым лифом и перфорацией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</si>
  <si>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Провокационный корсаж Midori с открытым лифом и перфорацией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</si>
  <si>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Провокационный корсаж Midori Plus Size с открытым лифом и перфорацией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</si>
  <si>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корсаж Praline с бантиками </d:t>
    </d:r>
    <d:r xmlns:d="http://schemas.openxmlformats.org/spreadsheetml/2006/main">
      <d:rPr>
        <d:sz val="11"/>
        <d:color rgb="FF000000"/>
        <d:rFont val="Calibri"/>
      </d:rPr>
      <d:t>черный с розовым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</si>
  <si>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Оригинальный корсаж Praline с бантиками </d:t>
    </d:r>
    <d:r xmlns:d="http://schemas.openxmlformats.org/spreadsheetml/2006/main">
      <d:rPr>
        <d:sz val="11"/>
        <d:color rgb="FF000000"/>
        <d:rFont val="Calibri"/>
      </d:rPr>
      <d:t>черный с розовым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</si>
  <si>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с цветочным кружевом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</si>
  <si>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с цветочным кружевом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</si>
  <si>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Plus Size с цветочным ажуром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</si>
  <si>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Kiri Plus Size с кружевной отделкой и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3X-4X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</si>
  <si>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Kiri Plus Size с кружевной отделкой и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5X-6X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</si>
  <si>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корсаж Kiri Plus Size с кружевной отделкой и стреп-лентами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XL-XXL </d:t>
    </d:r>
  </si>
  <si>
    <t xml:space="preserve">    Латекс, кожа, лаковое белье</t>
  </si>
  <si>
    <t xml:space="preserve"> Черный костюм дьяволицы S-M</t>
  </si>
  <si>
    <t xml:space="preserve"> Чернй костюм медсестры S-M</t>
  </si>
  <si>
    <t xml:space="preserve"> Ультракороткая глянцевая юбка на молнии нежно-розовый L</t>
  </si>
  <si>
    <t xml:space="preserve"> Ультракороткая глянцевая юбка на молнии черный L</t>
  </si>
  <si>
    <t xml:space="preserve"> Ультракороткая глянцевая юбка на молнии нежно-розовый S</t>
  </si>
  <si>
    <t xml:space="preserve"> Ультракороткая глянцевая юбка на молнии черный S</t>
  </si>
  <si>
    <t xml:space="preserve"> Ультракороткая глянцевая юбка на молнии нежно-розовый M</t>
  </si>
  <si>
    <t xml:space="preserve"> Ультракороткая глянцевая юбка на молнии черный M</t>
  </si>
  <si>
    <t xml:space="preserve"> Короткая плиссированная юбка цвета металлик с молнией металлик серебро M</t>
  </si>
  <si>
    <t xml:space="preserve"> Короткая плиссированная юбка цвета металлик с молнией металлик серебро S</t>
  </si>
  <si>
    <t xml:space="preserve"> Короткая плиссированная юбка цвета металлик с молнией металлик серебро L</t>
  </si>
  <si>
    <t xml:space="preserve"> Черная лаковая мини-юбка черный M</t>
  </si>
  <si>
    <t xml:space="preserve"> Черная лаковая мини-юбка черный S</t>
  </si>
  <si>
    <t xml:space="preserve"> Черная лаковая мини-юбка черный L</t>
  </si>
  <si>
    <t xml:space="preserve"> Трусики-стринги с цепочкой «HARD LOVE» черный One Size</t>
  </si>
  <si>
    <t xml:space="preserve"> Короткое платье с серебристой отделкой черный с серебристым S</t>
  </si>
  <si>
    <t xml:space="preserve"> Короткое платье с серебристой отделкой черный с серебристым L</t>
  </si>
  <si>
    <t xml:space="preserve"> Короткое платье с серебристой отделкой черный с серебристым M</t>
  </si>
  <si>
    <t xml:space="preserve"> Платье с лаковой вставкой черный с красным M</t>
  </si>
  <si>
    <t xml:space="preserve"> Платье с лаковой вставкой черный с красным L</t>
  </si>
  <si>
    <t xml:space="preserve"> Платье с лаковой вставкой черный с красным S</t>
  </si>
  <si>
    <t xml:space="preserve"> Чулки с красивым узором сзади черный One Size</t>
  </si>
  <si>
    <t xml:space="preserve"> Пояс под винил с подвязками для чулок черный S</t>
  </si>
  <si>
    <t xml:space="preserve"> Пояс под винил с подвязками для чулок черный XL</t>
  </si>
  <si>
    <t xml:space="preserve"> Пояс под винил с подвязками для чулок черный L</t>
  </si>
  <si>
    <t xml:space="preserve"> Пояс под винил с подвязками для чулок черный M</t>
  </si>
  <si>
    <t xml:space="preserve"> Платье с открытой спиной «Beltis» черный L-XL</t>
  </si>
  <si>
    <t xml:space="preserve"> Платье с открытой спиной «Beltis» белый L-XL</t>
  </si>
  <si>
    <t xml:space="preserve"> Платье с открытой спиной «Beltis» черный S-M</t>
  </si>
  <si>
    <t xml:space="preserve"> Платье с открытой спиной «Beltis» белый S-M</t>
  </si>
  <si>
    <t xml:space="preserve"> Платье Xymena с колечками на поясе черный L-XL</t>
  </si>
  <si>
    <t xml:space="preserve"> Платье Xymena с колечками на поясе черный S-M</t>
  </si>
  <si>
    <t xml:space="preserve"> Облегающее платье Lea с эффектом мокрого блеска черный S-M</t>
  </si>
  <si>
    <t xml:space="preserve"> Облегающее платье Lea с эффектом мокрого блеска черный L-XL</t>
  </si>
  <si>
    <t xml:space="preserve"> Платье «Beatrix» с открытой грудью черный S</t>
  </si>
  <si>
    <t xml:space="preserve"> Платье «Beatrix» с открытой грудью черный L</t>
  </si>
  <si>
    <t xml:space="preserve"> Платье «Beatrix» с открытой грудью черный M</t>
  </si>
  <si>
    <t xml:space="preserve"> Длинное платье «Dorothea» с вырезами по всей длине черный S-M</t>
  </si>
  <si>
    <t xml:space="preserve"> Длинное платье «Dorothea» с вырезами по всей длине черный L-XL</t>
  </si>
  <si>
    <t xml:space="preserve"> Откровенное платье «Ursel» с полуоткрытой попкой черный S-M</t>
  </si>
  <si>
    <t xml:space="preserve"> Откровенное платье «Ursel» с полуоткрытой попкой черный L-XL</t>
  </si>
  <si>
    <t xml:space="preserve"> Двухстороннее платье с цепями «Veronique» черный L-XL</t>
  </si>
  <si>
    <t xml:space="preserve"> Двухстороннее платье с цепями «Veronique» черный S-M</t>
  </si>
  <si>
    <t xml:space="preserve"> Пикантное платье «Anette» с цепочками черный S-M</t>
  </si>
  <si>
    <t xml:space="preserve"> Пикантное платье «Anette» с цепочками черный L-XL</t>
  </si>
  <si>
    <t xml:space="preserve"> Платье Iris Premium с корсетной частью и чулками черный M</t>
  </si>
  <si>
    <t xml:space="preserve"> Платье Iris Premium с корсетной частью и чулками черный S</t>
  </si>
  <si>
    <t xml:space="preserve"> Платье «Veronique 3» с эффектом мокрой ткани черный L-XL</t>
  </si>
  <si>
    <t xml:space="preserve"> Платье «Veronique 3» с эффектом мокрой ткани черный S-M</t>
  </si>
  <si>
    <t xml:space="preserve"> Кожаные нарукавники на шнуровке черный</t>
  </si>
  <si>
    <t xml:space="preserve"> Дерзкое платье Martha с оборками черный S-M</t>
  </si>
  <si>
    <t xml:space="preserve"> Платье Martha premium в комплекте с чулками черный S-M</t>
  </si>
  <si>
    <t xml:space="preserve"> Беби-долл Tsuki с открытой спиной и верёвками для связывания черный с красным M</t>
  </si>
  <si>
    <t xml:space="preserve"> Длинное платье Jacqueline с глубоким декольте и вырезом на спине черный M</t>
  </si>
  <si>
    <t xml:space="preserve"> Длинное платье Jacqueline с глубоким декольте и вырезом на спине черный S</t>
  </si>
  <si>
    <t xml:space="preserve"> Длинное платье Jacqueline с глубоким декольте и вырезом на спине черный L</t>
  </si>
  <si>
    <t xml:space="preserve"> Черный чокер со шнуровкой Berra черный</t>
  </si>
  <si>
    <t xml:space="preserve"> Кепка из экокожи черный</t>
  </si>
  <si>
    <t xml:space="preserve"> Чёрная пилотка из искусственной кожи черный</t>
  </si>
  <si>
    <t xml:space="preserve"> Платье Chantal Plus Size с отстёгивающимся воланом красный XXL-XXXL</t>
  </si>
  <si>
    <t xml:space="preserve"> Платье Chantal Plus Size с отстёгивающимся воланом черный XXL-XXXL</t>
  </si>
  <si>
    <t xml:space="preserve"> Эротическое wet-look платье Jasmin Plus Size со шлейфом черный XXL-XXXL</t>
  </si>
  <si>
    <t xml:space="preserve"> Трусики Doris metallic с открытой попкой черный S-M</t>
  </si>
  <si>
    <t xml:space="preserve"> Трусики Doris metallic с открытой попкой черный L-XL</t>
  </si>
  <si>
    <t xml:space="preserve"> Платье Roxana Plus Size с верхней частью в виде портупеи черный XXL-XXXL</t>
  </si>
  <si>
    <t xml:space="preserve"> Платье Roxana Plus Size с верхней частью в виде портупеи белый XXL-XXXL</t>
  </si>
  <si>
    <t xml:space="preserve"> Платье Roxana Plus Size с верхней частью в виде портупеи красный XXL-XXXL</t>
  </si>
  <si>
    <t xml:space="preserve"> Комплект Danika с открытой грудью черный S</t>
  </si>
  <si>
    <t xml:space="preserve"> Комплект Danika с открытой грудью черный 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</si>
  <si>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Erna с открытой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</si>
  <si>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Erna с открытой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</si>
  <si>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Платье Kerstin с открытой грудью и вырезом в форме сердца сзади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</si>
  <si>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Платье Kerstin с открытой грудью и вырезом в форме сердца сзади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</si>
  <si>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Платье Laureen с открытой грудью и вырезом в форме сердца сзади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</si>
  <si>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Платье Laureen с открытой грудью и вырезом в форме сердца сзади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</si>
  <si>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t xml:space="preserve"> Длинные перчатки Gertrude с открытыми пальчиками черный S-M</t>
  </si>
  <si>
    <t xml:space="preserve"> Длинные перчатки Gertrude с открытыми пальчиками черный L-XL</t>
  </si>
  <si>
    <t xml:space="preserve"> Чёрная кожаная подвязка черный One Size</t>
  </si>
  <si>
    <t xml:space="preserve"> Двойная кожаная подвязка на ногу с бантом черный One Size</t>
  </si>
  <si>
    <t xml:space="preserve"> Чёрные латексные чулочки черный L</t>
  </si>
  <si>
    <t xml:space="preserve"> Чёрные латексные чулочки черный S</t>
  </si>
  <si>
    <t xml:space="preserve"> Чёрные латексные чулочки черный M</t>
  </si>
  <si>
    <t xml:space="preserve"> Платье Xymena Plus Size с колечками на поясе черный XXL-XXXL</t>
  </si>
  <si>
    <t xml:space="preserve"> Чулки wetlook с декоративной шнуровкой из лент черный L-XL</t>
  </si>
  <si>
    <t xml:space="preserve"> Чулки wetlook с декоративной шнуровкой из лент черный S-M</t>
  </si>
  <si>
    <t xml:space="preserve"> Чулки из wetlook-материала с декоративной шнуровкой из лент черный XXL-XXXL</t>
  </si>
  <si>
    <t xml:space="preserve"> Облегающее платье Lea Plus Size с эффектом мокрого блеска черный XXL-XXXL</t>
  </si>
  <si>
    <t xml:space="preserve"> Маска на глаза с ушками черный</t>
  </si>
  <si>
    <t xml:space="preserve"> Маска на глаза с ушками красный</t>
  </si>
  <si>
    <t xml:space="preserve"> Маска на глаза с ушками белый</t>
  </si>
  <si>
    <t xml:space="preserve"> Маска на глаза из материала под винил с ушками белый</t>
  </si>
  <si>
    <t xml:space="preserve"> Маска на глаза из материала под винил с ушками черный</t>
  </si>
  <si>
    <t xml:space="preserve"> Маска на глаза из материала под винил с ушками красный</t>
  </si>
  <si>
    <t xml:space="preserve"> Чулки wet-look с открытой пяткой и носком красный XXL-XXXL</t>
  </si>
  <si>
    <t xml:space="preserve"> Пикантная сорочка Viviane Plus Size с открытой грудью черный XXL-XXXL</t>
  </si>
  <si>
    <t xml:space="preserve"> Облегающее платье Joline Plus Size из материала под кожу черный XXL-XXXL</t>
  </si>
  <si>
    <t xml:space="preserve"> Необычные чулки с блеском черный L-XL</t>
  </si>
  <si>
    <t xml:space="preserve"> Необычные чулки с блеском красный L-XL</t>
  </si>
  <si>
    <t xml:space="preserve"> Необычные чулки с блеском красный S-M</t>
  </si>
  <si>
    <t xml:space="preserve"> Необычные чулки с блеском черный S-M</t>
  </si>
  <si>
    <t xml:space="preserve"> Оригинальные чулки с блеском красный XXL-XXXL</t>
  </si>
  <si>
    <t xml:space="preserve"> Оригинальные чулки с блеском черный XXL-XXXL</t>
  </si>
  <si>
    <t xml:space="preserve"> Подтяжки для белья и чулок SUSPENDER BELT FOR UNDERWEAR and STOCKINGS бежевый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</si>
  <si>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Чулочки wetlook с открытой пяткой и носком размером Plus Size </d:t>
    </d:r>
    <d:r xmlns:d="http://schemas.openxmlformats.org/spreadsheetml/2006/main">
      <d:rPr>
        <d:sz val="11"/>
        <d:color rgb="FF000000"/>
        <d:rFont val="Calibri"/>
      </d:rPr>
      <d:t>серебристый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</si>
  <si>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Чулочки wetlook с открытой пяткой и носком размером Plus Size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</si>
  <si>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t xml:space="preserve">    Леггинсы, гольфы, носки</t>
  </si>
  <si>
    <t xml:space="preserve"> Чёрные гольфы «High School girl» черный S-M</t>
  </si>
  <si>
    <t xml:space="preserve"> Высокие черно-розовые гетры с изображением черепа розовый с черным One Size</t>
  </si>
  <si>
    <t xml:space="preserve"> Дырявые леггинсы «Rock and Roll» черный One Size</t>
  </si>
  <si>
    <t xml:space="preserve"> Высокие розовые гетры на узкой резинке розовый One Size</t>
  </si>
  <si>
    <t xml:space="preserve"> Сетчатые розовые гетры со шнуровкой розовый БЕЗРАЗМЕРНЫЙ</t>
  </si>
  <si>
    <t xml:space="preserve"> Черные гольфы «Hustler» черный One Size</t>
  </si>
  <si>
    <t xml:space="preserve"> Леггинсы в сетку с бантиками на щиколотках черный БЕЗРАЗМЕРНЫЙ</t>
  </si>
  <si>
    <t xml:space="preserve"> Леггинсы в крупную сетку с плотными шортиками черный One Size</t>
  </si>
  <si>
    <t xml:space="preserve"> Леггинсы в мелкую сетку черный One Size</t>
  </si>
  <si>
    <t xml:space="preserve"> Париджины в черно-белую полоску черный с белым One Size</t>
  </si>
  <si>
    <t xml:space="preserve"> Париджины с рисунком в виде вишенок черный One Size</t>
  </si>
  <si>
    <t xml:space="preserve"> Кружевные леггинсы черный One Size</t>
  </si>
  <si>
    <t xml:space="preserve"> Кружевные леггинсы синий One Size</t>
  </si>
  <si>
    <t xml:space="preserve"> Кружевные леггинсы черный 1X-2X</t>
  </si>
  <si>
    <t xml:space="preserve"> Кружевные леггинсы синий 1X-2X</t>
  </si>
  <si>
    <t xml:space="preserve"> Гетры со шнуровкой черный One Size</t>
  </si>
  <si>
    <t xml:space="preserve"> Гольфы школьницы с красными бантами белый с красным One Size</t>
  </si>
  <si>
    <t xml:space="preserve"> Носки с котиками BLACK CAT OPAQUE ANKLET черный</t>
  </si>
  <si>
    <t xml:space="preserve"> Носочки с кружевным верхом CROCHET NET LACE TOP ANKLETS белый</t>
  </si>
  <si>
    <t xml:space="preserve"> Носочки с кружевным верхом CROCHET NET LACE TOP ANKLETS черный</t>
  </si>
  <si>
    <t xml:space="preserve"> Гольфы Medica 20 den с эффектом массажа черный One Size</t>
  </si>
  <si>
    <t xml:space="preserve"> Гольфы Medica 20 den с эффектом массажа телесный One Size</t>
  </si>
  <si>
    <t xml:space="preserve"> Гольфы Medica 40 den с эффектом массажа стопы телесный One Size</t>
  </si>
  <si>
    <t xml:space="preserve"> Гольфы Medica 40 den с эффектом массажа стопы черный One Size</t>
  </si>
  <si>
    <t xml:space="preserve"> Черные леггинсы из микрофибры Microfibre Leggings Plus Size 100 den черный 5-6 РАЗМЕР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</si>
  <si>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леггинсы с боковыми прорезями LUXX LEGS SEAMLESS LEGGINGS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</si>
  <si>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Утепленные леггинсы Leggins Arctic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1-2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</si>
  <si>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Утепленные леггинсы Leggins Arctic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</si>
  <si>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t xml:space="preserve">    Перчатки</t>
  </si>
  <si>
    <t xml:space="preserve"> Длинные атласные перчатки черный One Size</t>
  </si>
  <si>
    <t xml:space="preserve"> Длинные атласные перчатки белый One Size</t>
  </si>
  <si>
    <t xml:space="preserve"> Длинные атласные перчатки красный One Size</t>
  </si>
  <si>
    <t xml:space="preserve"> Короткие кружевные перчатки на пальчик белый One Size</t>
  </si>
  <si>
    <t xml:space="preserve"> Короткие кружевные перчатки на пальчик черный One Size</t>
  </si>
  <si>
    <t xml:space="preserve"> Длинные кружевные перчатки на пальчик черный One Size</t>
  </si>
  <si>
    <t xml:space="preserve"> Длинные кружевные перчатки на пальчик белый One Size</t>
  </si>
  <si>
    <t xml:space="preserve"> Перчатки с петелькой на пальчик черный БЕЗРАЗМЕРНЫЙ</t>
  </si>
  <si>
    <t xml:space="preserve"> Перчатки с петелькой на пальчик белый БЕЗРАЗМЕРНЫЙ</t>
  </si>
  <si>
    <t xml:space="preserve"> Перчатки с петелькой на пальчик красный БЕЗРАЗМЕРНЫЙ</t>
  </si>
  <si>
    <t xml:space="preserve"> Длинные перчатки-нарукавники из сетки черный БЕЗРАЗМЕРНЫЙ</t>
  </si>
  <si>
    <t xml:space="preserve"> Длинные перчатки-нарукавники из сетки розовый БЕЗРАЗМЕРНЫЙ</t>
  </si>
  <si>
    <t xml:space="preserve"> Перчатки медсестры белый One Size</t>
  </si>
  <si>
    <t xml:space="preserve"> Длинные ажурные перчатки белый One Size</t>
  </si>
  <si>
    <t xml:space="preserve"> Длинные ажурные перчатки синий One Size</t>
  </si>
  <si>
    <t xml:space="preserve"> Длинные ажурные перчатки черный One Size</t>
  </si>
  <si>
    <t xml:space="preserve"> Длинные ажурные перчатки красный One Size</t>
  </si>
  <si>
    <t xml:space="preserve"> Длинные ажурные перчатки розовый One Size</t>
  </si>
  <si>
    <t xml:space="preserve"> Длинные перчатки в сетку розовый One Size</t>
  </si>
  <si>
    <t xml:space="preserve"> Длинные перчатки в сетку фиолетовый One Size</t>
  </si>
  <si>
    <t xml:space="preserve"> Длинные перчатки в сетку белый One Size</t>
  </si>
  <si>
    <t xml:space="preserve"> Длинные перчатки в сетку черный One Size</t>
  </si>
  <si>
    <t xml:space="preserve"> Длинные перчатки в сетку красный One Size</t>
  </si>
  <si>
    <t xml:space="preserve"> Короткие перчатки-митенки в мелкую сетку фиолетовый БЕЗРАЗМЕРНЫЙ</t>
  </si>
  <si>
    <t xml:space="preserve"> Короткие перчатки-митенки в мелкую сетку красный БЕЗРАЗМЕРНЫЙ</t>
  </si>
  <si>
    <t xml:space="preserve"> Короткие перчатки-митенки в мелкую сетку черный БЕЗРАЗМЕРНЫЙ</t>
  </si>
  <si>
    <t xml:space="preserve"> Короткие перчатки-митенки в мелкую сетку белый БЕЗРАЗМЕРНЫЙ</t>
  </si>
  <si>
    <t xml:space="preserve"> Короткие перчатки-митенки в мелкую сетку розовый БЕЗРАЗМЕРНЫЙ</t>
  </si>
  <si>
    <t xml:space="preserve"> Кружевные перчатки с открытыми пальчиками черный 42-44</t>
  </si>
  <si>
    <t xml:space="preserve"> Кружевные перчатки с открытыми пальчиками черный 46-48</t>
  </si>
  <si>
    <t xml:space="preserve"> Ажурные чёрные наручники-манжеты VILLA SATINE на шнуровке черный</t>
  </si>
  <si>
    <t xml:space="preserve"> Перчатки с эффектом мокрой ткани черный One Size</t>
  </si>
  <si>
    <t xml:space="preserve"> Короткие кружевные перчатки с открытыми пальчиками черный One Size</t>
  </si>
  <si>
    <t xml:space="preserve"> Атласные перчатки с бантом черный One Size</t>
  </si>
  <si>
    <t xml:space="preserve"> Атласные перчатки с бантом красный One Size</t>
  </si>
  <si>
    <t xml:space="preserve"> Кружевные длинные перчатки с открытыми пальчиками черный One Size</t>
  </si>
  <si>
    <t xml:space="preserve"> Ультракороткие атласные перчатки белый One Size</t>
  </si>
  <si>
    <t xml:space="preserve"> Роскошные кружевные манжеты Еstasi красный S-M</t>
  </si>
  <si>
    <t xml:space="preserve"> Перчатки Luiza с ажурными вставками черный</t>
  </si>
  <si>
    <t xml:space="preserve"> Короткие перчатки Etheria с оборками из тонкого цветочного кружева белый S-M</t>
  </si>
  <si>
    <t xml:space="preserve"> Длинные перчатки Miamor с кружевной оторочкой черный</t>
  </si>
  <si>
    <t xml:space="preserve"> Коротенькие кружевные перчатки-митенки Picantina черный</t>
  </si>
  <si>
    <t xml:space="preserve"> Перчатки-митенки Piccorosa черный</t>
  </si>
  <si>
    <t xml:space="preserve"> Манжеты с бахромой Queen of hearts Arabesque черный</t>
  </si>
  <si>
    <t xml:space="preserve"> Манжеты с бахромой Queen of hearts Arabesque красный</t>
  </si>
  <si>
    <t xml:space="preserve"> Манжеты с бахромой Queen of hearts Arabesque белый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</si>
  <si>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Нежные кружевные высокие митенки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</si>
  <si>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t xml:space="preserve">    Платья</t>
  </si>
  <si>
    <t xml:space="preserve"> Платье с длинными рукавами «LAMIA» белый S-M</t>
  </si>
  <si>
    <t xml:space="preserve"> Платье с длинными рукавами «LAMIA» черный S-M</t>
  </si>
  <si>
    <t xml:space="preserve"> Платье с длинными рукавами «LAMIA» белый M-L</t>
  </si>
  <si>
    <t xml:space="preserve"> Платье с длинными рукавами «LAMIA» черный M-L</t>
  </si>
  <si>
    <t xml:space="preserve"> Миниплатье «TYLER» с открытыми плечами и длинными рукавами черный M</t>
  </si>
  <si>
    <t xml:space="preserve"> Миниплатье «TYLER» с открытыми плечами и длинными рукавами красный M</t>
  </si>
  <si>
    <t xml:space="preserve"> Миниплатье «TYLER» с открытыми плечами и длинными рукавами черный S</t>
  </si>
  <si>
    <t xml:space="preserve"> Миниплатье «TYLER» с открытыми плечами и длинными рукавами красный S</t>
  </si>
  <si>
    <t xml:space="preserve"> Миниплатье «TYLER» с открытыми плечами и длинными рукавами красный L</t>
  </si>
  <si>
    <t xml:space="preserve"> Миниплатье «TYLER» с открытыми плечами и длинными рукавами черный L</t>
  </si>
  <si>
    <t xml:space="preserve"> Черное платье черный M-L</t>
  </si>
  <si>
    <t xml:space="preserve"> Черное платье черный S-M</t>
  </si>
  <si>
    <t xml:space="preserve"> Чёрное платье с пайетками и глубоким декольте черный S-M</t>
  </si>
  <si>
    <t xml:space="preserve"> Чёрное платье с пайетками и глубоким декольте черный M-L</t>
  </si>
  <si>
    <t xml:space="preserve"> Чёрное платье с пайетками и глубоким декольте розовый M-L</t>
  </si>
  <si>
    <t xml:space="preserve"> Чёрно-розовое платье-сетка с глубоким декольте черный с розовым One Size</t>
  </si>
  <si>
    <t xml:space="preserve"> Платье без бретелек со стразами на бюсте и кружевными боками черный M</t>
  </si>
  <si>
    <t xml:space="preserve"> Платье без бретелек со стразами на бюсте и кружевными боками черный L</t>
  </si>
  <si>
    <t xml:space="preserve"> Платье без бретелек со стразами на бюсте и кружевными боками черный S</t>
  </si>
  <si>
    <t xml:space="preserve"> Платье с бретельками на плечи «Adeline» белый M-L</t>
  </si>
  <si>
    <t xml:space="preserve"> Платье с бретельками на плечи «Adeline» красный M-L</t>
  </si>
  <si>
    <t xml:space="preserve"> Платье с бретельками на плечи «Adeline» черный M-L</t>
  </si>
  <si>
    <t xml:space="preserve"> Платье с бретельками на плечи «Adeline» черный S-M</t>
  </si>
  <si>
    <t xml:space="preserve"> Платье с бретельками на плечи «Adeline» белый S-M</t>
  </si>
  <si>
    <t xml:space="preserve"> Платье с бретельками на плечи «Adeline» красный S-M</t>
  </si>
  <si>
    <t xml:space="preserve"> Миниплатье «Casabella» с кружевной вставкой белый S-M</t>
  </si>
  <si>
    <t xml:space="preserve"> Миниплатье «Casabella» с кружевной вставкой белый L-XL</t>
  </si>
  <si>
    <t xml:space="preserve"> Миниплатье «Tiffany Red» черный XXL-XXXL</t>
  </si>
  <si>
    <t xml:space="preserve"> Миниплатье «Tiffany Red» красный с черным XXL-XXXL</t>
  </si>
  <si>
    <t xml:space="preserve"> Миниплатье «Tiffany Red» красный S-M</t>
  </si>
  <si>
    <t xml:space="preserve"> Миниплатье «Tiffany Red» красный L-XL</t>
  </si>
  <si>
    <t xml:space="preserve"> Сорочка «Beverly» черный S-M</t>
  </si>
  <si>
    <t xml:space="preserve"> Сорочка «Beverly» черный L-XL</t>
  </si>
  <si>
    <t xml:space="preserve"> Миниплатье «Tiffany Black» черный L-XL</t>
  </si>
  <si>
    <t xml:space="preserve"> Миниплатье «Tiffany Black» красный с черным L-XL</t>
  </si>
  <si>
    <t xml:space="preserve"> Миниплатье «Tiffany Black» черный XXL-XXXL</t>
  </si>
  <si>
    <t xml:space="preserve"> Миниплатье «Tiffany Black» черный S-M</t>
  </si>
  <si>
    <t xml:space="preserve"> Миниплатье «Tiffany Black» красный с черным S-M</t>
  </si>
  <si>
    <t xml:space="preserve"> Эффектное платье «Sila» из кружев и ткани с wet-эффектом черный S-M</t>
  </si>
  <si>
    <t xml:space="preserve"> Эффектное платье «Sila» из кружев и ткани с wet-эффектом черный XXL-XXXL</t>
  </si>
  <si>
    <t xml:space="preserve"> Эффектное платье «Sila» из кружев и ткани с wet-эффектом черный L-XL</t>
  </si>
  <si>
    <t xml:space="preserve"> Сорочка «Donna» черный L-XL</t>
  </si>
  <si>
    <t xml:space="preserve"> Сорочка «Donna» черный XXL-XXXL</t>
  </si>
  <si>
    <t xml:space="preserve"> Сорочка «Donna» черный S-M</t>
  </si>
  <si>
    <t xml:space="preserve"> Мини-платье «Mohana» черный S-M</t>
  </si>
  <si>
    <t xml:space="preserve"> Мини-платье «Mohana» черный L-XL</t>
  </si>
  <si>
    <t xml:space="preserve"> Сорочка «Marylin» белый L-XL</t>
  </si>
  <si>
    <t xml:space="preserve"> Сорочка «Marylin» белый S-M</t>
  </si>
  <si>
    <t xml:space="preserve"> Платье с красивым декольте черный L</t>
  </si>
  <si>
    <t xml:space="preserve"> Платье с красивым декольте черный S</t>
  </si>
  <si>
    <t xml:space="preserve"> Платье с красивым декольте черный M</t>
  </si>
  <si>
    <t xml:space="preserve"> Платье с открытой спиной и разрезом «Aditi» черный S-M</t>
  </si>
  <si>
    <t xml:space="preserve"> Платье с открытой спиной и разрезом «Aditi» черный L-XL</t>
  </si>
  <si>
    <t xml:space="preserve"> Бесшовное мини-платье с разрезами на спине белый M-L</t>
  </si>
  <si>
    <t xml:space="preserve"> Бесшовное мини-платье с разрезами на спине желтый M-L</t>
  </si>
  <si>
    <t xml:space="preserve"> Бесшовное мини-платье с разрезами на спине черный M-L</t>
  </si>
  <si>
    <t xml:space="preserve"> Бесшовное мини-платье с разрезами на спине розовый M-L</t>
  </si>
  <si>
    <t xml:space="preserve"> Платье с рукавами 2/3 черный One Size</t>
  </si>
  <si>
    <t xml:space="preserve"> Платье с рукавами 2/3 черный XL</t>
  </si>
  <si>
    <t xml:space="preserve"> Клубное платье с ассиметричным вырезом черный One Size</t>
  </si>
  <si>
    <t xml:space="preserve"> Клубное платье с ассиметричным вырезом фиолетовый One Size</t>
  </si>
  <si>
    <t xml:space="preserve"> Клубное платье с ассиметричным вырезом голубой One Size</t>
  </si>
  <si>
    <t xml:space="preserve"> Клубное платье с открытым плечом черный XL</t>
  </si>
  <si>
    <t xml:space="preserve"> Клубное платье с открытым плечом черный One Size</t>
  </si>
  <si>
    <t xml:space="preserve"> Облегающее платье с прозрачными вставками на спине черный One Size</t>
  </si>
  <si>
    <t xml:space="preserve"> Облегающее платье с прозрачными вставками на спине черный XL</t>
  </si>
  <si>
    <t xml:space="preserve"> Платье с вставкой-сердечком и открытой спиной черный One Size</t>
  </si>
  <si>
    <t xml:space="preserve"> Платье с открытым плечом черный One Size</t>
  </si>
  <si>
    <t xml:space="preserve"> Платье-сетка в полоску черный One Size</t>
  </si>
  <si>
    <t xml:space="preserve"> Черное мини платье «Adelis» M-L</t>
  </si>
  <si>
    <t xml:space="preserve"> Черное мини платье «Adelis» S-M</t>
  </si>
  <si>
    <t xml:space="preserve"> Облегающая сорочка «Mayah» с двухцветным кружевом под лифом черный S-M</t>
  </si>
  <si>
    <t xml:space="preserve"> Облегающая сорочка «Mayah» с двухцветным кружевом под лифом черный L-XL</t>
  </si>
  <si>
    <t xml:space="preserve"> Кружевное платье «Dressita» белый S-M</t>
  </si>
  <si>
    <t xml:space="preserve"> Кружевное платье «Dressita» черный S-M</t>
  </si>
  <si>
    <t xml:space="preserve"> Кружевное платье «Dressita» белый L-XL</t>
  </si>
  <si>
    <t xml:space="preserve"> Кружевное платье «Dressita» черный L-XL</t>
  </si>
  <si>
    <t xml:space="preserve"> Ультракороткое платье из прозрачной сетки черный One Size</t>
  </si>
  <si>
    <t xml:space="preserve"> Ультракороткое платье из прозрачной сетки голубой One Size</t>
  </si>
  <si>
    <t xml:space="preserve"> Ультракороткое платье из прозрачной сетки розовый One Size</t>
  </si>
  <si>
    <t xml:space="preserve"> Сетчатое платье с плотными вставками по бокам голубой S-M</t>
  </si>
  <si>
    <t xml:space="preserve"> Сетчатое платье с плотными вставками по бокам голубой M-L</t>
  </si>
  <si>
    <t xml:space="preserve"> Платье без бретелей со сверкающей надписью HUSTLER на правом бедре красный M-L</t>
  </si>
  <si>
    <t xml:space="preserve"> Платье без бретелей со сверкающей надписью HUSTLER на правом бедре черный M-L</t>
  </si>
  <si>
    <t xml:space="preserve"> Платье без бретелей со сверкающей надписью HUSTLER на правом бедре розовый M-L</t>
  </si>
  <si>
    <t xml:space="preserve"> Платье без бретелей со сверкающей надписью HUSTLER на правом бедре розовый S-M</t>
  </si>
  <si>
    <t xml:space="preserve"> Платье без бретелей со сверкающей надписью HUSTLER на правом бедре красный S-M</t>
  </si>
  <si>
    <t xml:space="preserve"> Платье без бретелей со сверкающей надписью HUSTLER на правом бедре черный S-M</t>
  </si>
  <si>
    <t xml:space="preserve"> Полупрозрачное платье с ажурной оторочкой розовый One Size</t>
  </si>
  <si>
    <t xml:space="preserve"> Платье из сетки с непрозрачными элементами черный One Size</t>
  </si>
  <si>
    <t xml:space="preserve"> Черное платье с металлическим кольцом черный One Size</t>
  </si>
  <si>
    <t xml:space="preserve"> Вечернее платье в пол с нарядным декольте белый S-M</t>
  </si>
  <si>
    <t xml:space="preserve"> Вечернее платье в пол с нарядным декольте белый M-L</t>
  </si>
  <si>
    <t xml:space="preserve"> Черное вечернее платье в пол с открытой спиной черный M-L</t>
  </si>
  <si>
    <t xml:space="preserve"> Черное вечернее платье в пол с открытой спиной черный S-M</t>
  </si>
  <si>
    <t xml:space="preserve"> Вечернее розовое платье в пол розовый S-M</t>
  </si>
  <si>
    <t xml:space="preserve"> Вечернее розовое платье в пол розовый M-L</t>
  </si>
  <si>
    <t xml:space="preserve"> Вечернее черное платье в пол черный M-L</t>
  </si>
  <si>
    <t xml:space="preserve"> Вечернее черное платье в пол черный S-M</t>
  </si>
  <si>
    <t xml:space="preserve"> Роскошное платье цвета фуксии с бретелью через шею фуксия M</t>
  </si>
  <si>
    <t xml:space="preserve"> Роскошное платье цвета фуксии с бретелью через шею фуксия S</t>
  </si>
  <si>
    <t xml:space="preserve"> Роскошное платье цвета фуксии с бретелью через шею фуксия L</t>
  </si>
  <si>
    <t xml:space="preserve"> Комбинированное платье под золотого леопарда леопард L</t>
  </si>
  <si>
    <t xml:space="preserve"> Комбинированное платье под золотого леопарда леопард S</t>
  </si>
  <si>
    <t xml:space="preserve"> Комбинированное платье под золотого леопарда леопард M</t>
  </si>
  <si>
    <t xml:space="preserve"> Облегающее розово-черное платье розовый с черным M</t>
  </si>
  <si>
    <t xml:space="preserve"> Облегающее розово-черное платье розовый с черным L</t>
  </si>
  <si>
    <t xml:space="preserve"> Облегающее розово-черное платье розовый с черным S</t>
  </si>
  <si>
    <t xml:space="preserve"> Леопардовое платье расшитое пайетками леопард L</t>
  </si>
  <si>
    <t xml:space="preserve"> Леопардовое платье расшитое пайетками леопард S</t>
  </si>
  <si>
    <t xml:space="preserve"> Леопардовое платье расшитое пайетками леопард M</t>
  </si>
  <si>
    <t xml:space="preserve"> Розовое платье-бандо, расшитое пайетками розовый M</t>
  </si>
  <si>
    <t xml:space="preserve"> Розовое платье-бандо, расшитое пайетками розовый S</t>
  </si>
  <si>
    <t xml:space="preserve"> Розовое платье-бандо, расшитое пайетками розовый L</t>
  </si>
  <si>
    <t xml:space="preserve"> Черное платье-бандо, расшитое пайетками черный L</t>
  </si>
  <si>
    <t xml:space="preserve"> Черное платье-бандо, расшитое пайетками черный M</t>
  </si>
  <si>
    <t xml:space="preserve"> Черное платье-бандо, расшитое пайетками черный S</t>
  </si>
  <si>
    <t xml:space="preserve"> Облегающее клубное платье с прозрачной вставкой черный S</t>
  </si>
  <si>
    <t xml:space="preserve"> Облегающее клубное платье с прозрачной вставкой черный M</t>
  </si>
  <si>
    <t xml:space="preserve"> Облегающее клубное платье с прозрачной вставкой черный L</t>
  </si>
  <si>
    <t xml:space="preserve"> Двуцветное присборенное платье черный с розовым L</t>
  </si>
  <si>
    <t xml:space="preserve"> Двуцветное присборенное платье черный с розовым S</t>
  </si>
  <si>
    <t xml:space="preserve"> Двуцветное присборенное платье черный с розовым M</t>
  </si>
  <si>
    <t xml:space="preserve"> Платье-сетка с бретелью на одно плечо черный One Size</t>
  </si>
  <si>
    <t xml:space="preserve"> Черное ажурное платье-футляр черный One Size</t>
  </si>
  <si>
    <t xml:space="preserve"> Черное платье с вырезом-капелькой черный One Size</t>
  </si>
  <si>
    <t xml:space="preserve"> Платье в круглую сетку черный One Size</t>
  </si>
  <si>
    <t xml:space="preserve"> Розовое платье с длинными рукавами из тонкой эластичной сетки розовый One Size</t>
  </si>
  <si>
    <t xml:space="preserve"> Легкое плате в крупную сетку черный One Size</t>
  </si>
  <si>
    <t xml:space="preserve"> Розовое платье с блеском розовый M</t>
  </si>
  <si>
    <t xml:space="preserve"> Розовое платье с блеском розовый S</t>
  </si>
  <si>
    <t xml:space="preserve"> Розовое платье с блеском розовый L</t>
  </si>
  <si>
    <t xml:space="preserve"> Клубное платье-бандо с надписью HUSTLER на груди серебристый с черным M-L</t>
  </si>
  <si>
    <t xml:space="preserve"> Клубное платье-бандо с надписью HUSTLER на груди золото с черным M-L</t>
  </si>
  <si>
    <t xml:space="preserve"> Клубное платье-бандо с надписью HUSTLER на груди серебристый с черным S-M</t>
  </si>
  <si>
    <t xml:space="preserve"> Клубное платье-бандо с надписью HUSTLER на груди золото с черным S-M</t>
  </si>
  <si>
    <t xml:space="preserve"> Коротенькое мини-платье с открытой спинкой черный One Size</t>
  </si>
  <si>
    <t xml:space="preserve"> Платье со сложным ажурным рисунком черный One Size</t>
  </si>
  <si>
    <t xml:space="preserve"> Откровенное платье в крупную сетку черный One Size</t>
  </si>
  <si>
    <t xml:space="preserve"> Откровенное платье в крупную сетку белый One Size</t>
  </si>
  <si>
    <t xml:space="preserve"> Откровенное платье в крупную сетку красный One Size</t>
  </si>
  <si>
    <t xml:space="preserve"> Облегающее платье с открытыми плечами черный One Size</t>
  </si>
  <si>
    <t xml:space="preserve"> Платье «WILD» облегающего покроя черный One Size</t>
  </si>
  <si>
    <t xml:space="preserve"> Двустороннее платье с горизонтальными вырезами черный One Size</t>
  </si>
  <si>
    <t xml:space="preserve"> Двустороннее платье с горизонтальными вырезами розовый One Size</t>
  </si>
  <si>
    <t xml:space="preserve"> Двустороннее платье с горизонтальными вырезами желтый One Size</t>
  </si>
  <si>
    <t xml:space="preserve"> Сверкающее платье с пайетками розовый One Size</t>
  </si>
  <si>
    <t xml:space="preserve"> Платье-футляр в сетку фиолетовый One Size</t>
  </si>
  <si>
    <t xml:space="preserve"> Платье-футляр в сетку розовый One Size</t>
  </si>
  <si>
    <t xml:space="preserve"> Платье-футляр в сетку черный One Size</t>
  </si>
  <si>
    <t xml:space="preserve"> Короткое эластичное полупрозрачное платье черный One Size</t>
  </si>
  <si>
    <t xml:space="preserve"> Короткое эластичное полупрозрачное платье фиолетовый One Size</t>
  </si>
  <si>
    <t xml:space="preserve"> Платье с разнообразием ажурных переплетений черный 1X-2X</t>
  </si>
  <si>
    <t xml:space="preserve"> Маленькое короткое платье в полоску розовый 1X-2X</t>
  </si>
  <si>
    <t xml:space="preserve"> Маленькое короткое платье в полоску синий 1X-2X</t>
  </si>
  <si>
    <t xml:space="preserve"> Маленькое короткое платье в полоску зеленый 1X-2X</t>
  </si>
  <si>
    <t xml:space="preserve"> Маленькое короткое платье в полоску черный 1X-2X</t>
  </si>
  <si>
    <t xml:space="preserve"> Роскошное мини-платье из кружева красный 1X-2X</t>
  </si>
  <si>
    <t xml:space="preserve"> Короткое однотонное полупрозрачное платье фиолетовый 1X-2X</t>
  </si>
  <si>
    <t xml:space="preserve"> Короткое однотонное полупрозрачное платье черный 1X-2X</t>
  </si>
  <si>
    <t xml:space="preserve"> Сверкающее платье с пайетками розовый 1X-2X</t>
  </si>
  <si>
    <t xml:space="preserve"> Облегающее платье «SEXY DRIVE» черный 1X-2X</t>
  </si>
  <si>
    <t xml:space="preserve"> Платье с открытой спиной леопард One Size</t>
  </si>
  <si>
    <t xml:space="preserve"> Прозрачное платье с длинными рукавами черный 1X-2X</t>
  </si>
  <si>
    <t xml:space="preserve"> Платье с поддерживающим лифом на косточках черный с серебристым XL</t>
  </si>
  <si>
    <t xml:space="preserve"> Платье с поддерживающим лифом на косточках черный с серебристым L</t>
  </si>
  <si>
    <t xml:space="preserve"> Платье с поддерживающим лифом на косточках черный с серебристым S</t>
  </si>
  <si>
    <t xml:space="preserve"> Платье с поддерживающим лифом на косточках черный с серебристым M</t>
  </si>
  <si>
    <t xml:space="preserve"> Обтягивающее платье с кружевными вставками голубой с розовым M</t>
  </si>
  <si>
    <t xml:space="preserve"> Обтягивающее платье с кружевными вставками голубой с розовым L</t>
  </si>
  <si>
    <t xml:space="preserve"> Обтягивающее платье с кружевными вставками голубой с розовым S</t>
  </si>
  <si>
    <t xml:space="preserve"> Обтягивающее платье с кружевными вставками голубой с розовым XL</t>
  </si>
  <si>
    <t xml:space="preserve"> Кружевное платье с овальным вырезом черный One Size</t>
  </si>
  <si>
    <t xml:space="preserve"> Обтягивающее платье из крупной сетки с застежкой-молнией черный 1X-2X</t>
  </si>
  <si>
    <t xml:space="preserve"> Серебристое платье «Halla» с кружевными вставками серебро L-XL</t>
  </si>
  <si>
    <t xml:space="preserve"> Серебристое платье «Halla» с кружевными вставками серебро XXL-XXXL</t>
  </si>
  <si>
    <t xml:space="preserve"> Серебристое платье «Halla» с кружевными вставками серебро S-M</t>
  </si>
  <si>
    <t xml:space="preserve"> Платье «Femi» с глубоким декольте и открытой спиной черный L-XL</t>
  </si>
  <si>
    <t xml:space="preserve"> Платье «Femi» с глубоким декольте и открытой спиной белый L-XL</t>
  </si>
  <si>
    <t xml:space="preserve"> Платье «Femi» с глубоким декольте и открытой спиной белый S-M</t>
  </si>
  <si>
    <t xml:space="preserve"> Кружевное платье «Rayen» с длинными рукавами черный S-M</t>
  </si>
  <si>
    <t xml:space="preserve"> Кружевное платье «Rayen» с длинными рукавами красный S-M</t>
  </si>
  <si>
    <t xml:space="preserve"> Кружевное платье «Rayen» с длинными рукавами черный L-XL</t>
  </si>
  <si>
    <t xml:space="preserve"> Кружевное платье «Rayen» с длинными рукавами красный L-XL</t>
  </si>
  <si>
    <t xml:space="preserve"> Полупрозрачная сорочка «Эксин» с горловиной-американка черный M</t>
  </si>
  <si>
    <t xml:space="preserve"> Полупрозрачная сорочка «Эксин» с горловиной-американка черный S</t>
  </si>
  <si>
    <t xml:space="preserve"> Полупрозрачная сорочка «Эксин» с горловиной-американка черный L</t>
  </si>
  <si>
    <t xml:space="preserve"> Облегающее платье с горизонтальными разрезами черный One Size</t>
  </si>
  <si>
    <t xml:space="preserve"> Ультракороткое облегающее платье-бюстье черный One Size</t>
  </si>
  <si>
    <t xml:space="preserve"> Облегающее полупрозрачное платье на одной лямке черный One Size</t>
  </si>
  <si>
    <t xml:space="preserve"> Облегающее полупрозрачное платье на одной лямке белый One Size</t>
  </si>
  <si>
    <t xml:space="preserve"> Облегающее полупрозрачное платье на одной лямке красный One Size</t>
  </si>
  <si>
    <t xml:space="preserve"> Облегающее полупрозрачное платье на одной лямке розовый One Size</t>
  </si>
  <si>
    <t xml:space="preserve"> Новогоднее мини-платье с меховой отделкой красный с белым L</t>
  </si>
  <si>
    <t xml:space="preserve"> Новогоднее мини-платье с меховой отделкой красный с белым M</t>
  </si>
  <si>
    <t xml:space="preserve"> Двустороннее платье на бретелях черный One Size</t>
  </si>
  <si>
    <t xml:space="preserve"> Платье «Red Heart» из цветочного гипюра красный One Size</t>
  </si>
  <si>
    <t xml:space="preserve"> Облегающее платье с кружевной вставкой черный One Size</t>
  </si>
  <si>
    <t xml:space="preserve"> Эффектное платье-сетка с горизонтальными полосами черный One Size-XL-XXL</t>
  </si>
  <si>
    <t xml:space="preserve"> Эффектное платье-сетка с горизонтальными полосами белый One Size-XL-XXL</t>
  </si>
  <si>
    <t xml:space="preserve"> Эффектное платье-сетка с горизонтальными полосами зеленый One Size-XL-XXL</t>
  </si>
  <si>
    <t xml:space="preserve"> Платье-сетка с V-образной плотной вставкой красный One Size-XL-XXL</t>
  </si>
  <si>
    <t xml:space="preserve"> Платье-сетка с V-образной плотной вставкой белый One Size-XL-XXL</t>
  </si>
  <si>
    <t xml:space="preserve"> Платье-сетка с V-образной плотной вставкой черный One Size-XL-XXL</t>
  </si>
  <si>
    <t xml:space="preserve"> Облегающее платье с сетевыми вставками по бокам белый One Size-XL-XXL</t>
  </si>
  <si>
    <t xml:space="preserve"> Облегающее платье с сетевыми вставками по бокам черный One Size-XL-XXL</t>
  </si>
  <si>
    <t xml:space="preserve"> Эффектное платье с сетчатыми длинными рукавами черный One Size-XL-XXL</t>
  </si>
  <si>
    <t xml:space="preserve"> Эффектное платье с сетчатыми длинными рукавами белый One Size-XL-XXL</t>
  </si>
  <si>
    <t xml:space="preserve"> Ажурное платье «Azure» с открытой спиной черный M</t>
  </si>
  <si>
    <t xml:space="preserve"> Ажурное платье «Azure» с открытой спиной красный M</t>
  </si>
  <si>
    <t xml:space="preserve"> Ажурное платье «Azure» с открытой спиной розовый M</t>
  </si>
  <si>
    <t xml:space="preserve"> Ажурное платье «Azure» с открытой спиной черный S</t>
  </si>
  <si>
    <t xml:space="preserve"> Ажурное платье «Azure» с открытой спиной розовый S</t>
  </si>
  <si>
    <t xml:space="preserve"> Ажурное платье «Azure» с открытой спиной красный S</t>
  </si>
  <si>
    <t xml:space="preserve"> Ажурное платье «Azure» с открытой спиной черный L</t>
  </si>
  <si>
    <t xml:space="preserve"> Платье «Iris» с корсетной частью черный L</t>
  </si>
  <si>
    <t xml:space="preserve"> Платье «Iris» с корсетной частью черный S</t>
  </si>
  <si>
    <t xml:space="preserve"> Платье-сетка «Malvina» с полосами черный S-M</t>
  </si>
  <si>
    <t xml:space="preserve"> Платье-сетка «Malvina» с полосами черный L-XL</t>
  </si>
  <si>
    <t xml:space="preserve"> Кружевное платье Maxime черный S-M</t>
  </si>
  <si>
    <t xml:space="preserve"> Бондажное платье Lucie из широких полос черный S-M</t>
  </si>
  <si>
    <t xml:space="preserve"> Длинное облегающее платье без бретелей BIG SPENDER SEAMLESS LONG DRESS розовый One Size</t>
  </si>
  <si>
    <t xml:space="preserve"> Длинное платье «Anastasia» черный S-M</t>
  </si>
  <si>
    <t xml:space="preserve"> Мини-платье «Dagmar» с вырезами на спине и попе черный S-M</t>
  </si>
  <si>
    <t xml:space="preserve"> Платье с открытой грудью «Yuriko» с веревками для связывания в комплекте черный с красным S</t>
  </si>
  <si>
    <t xml:space="preserve"> Платье с открытой грудью «Yuriko» с веревками для связывания в комплекте черный с красным L</t>
  </si>
  <si>
    <t xml:space="preserve"> Платье с открытой грудью «Yuriko» с веревками для связывания в комплекте черный с красным M</t>
  </si>
  <si>
    <t xml:space="preserve"> Короткое платье Marissa с цветочной вышивкой черный M</t>
  </si>
  <si>
    <t xml:space="preserve"> Короткое платье Marissa с цветочной вышивкой черный L</t>
  </si>
  <si>
    <t xml:space="preserve"> Короткое платье Marissa с цветочной вышивкой черный S</t>
  </si>
  <si>
    <t xml:space="preserve"> Платье «Anita» в виде сетки из стреп-лент красный S-M</t>
  </si>
  <si>
    <t xml:space="preserve"> Платье «Anita» в виде сетки из стреп-лент черный S-M</t>
  </si>
  <si>
    <t xml:space="preserve"> Платье «Anita» в виде сетки из стреп-лент белый S-M</t>
  </si>
  <si>
    <t xml:space="preserve"> Платье «Anita» в виде сетки из стреп-лент красный L-XL</t>
  </si>
  <si>
    <t xml:space="preserve"> Платье «Anita» в виде сетки из стреп-лент черный L-XL</t>
  </si>
  <si>
    <t xml:space="preserve"> Платье «Anita» в виде сетки из стреп-лент белый L-XL</t>
  </si>
  <si>
    <t xml:space="preserve"> Платье без бретелей «Yukiko» с веревками для связывания черный с красным S</t>
  </si>
  <si>
    <t xml:space="preserve"> Оригинальное платье «Yvone» с прозрачным подолом черный S-M</t>
  </si>
  <si>
    <t xml:space="preserve"> Откровенное платье «Colette» из лент белый L-XL</t>
  </si>
  <si>
    <t xml:space="preserve"> Откровенное платье «Colette» из лент черный L-XL</t>
  </si>
  <si>
    <t xml:space="preserve"> Откровенное платье «Colette» из лент красный L-XL</t>
  </si>
  <si>
    <t xml:space="preserve"> Откровенное платье «Colette» из лент белый S-M</t>
  </si>
  <si>
    <t xml:space="preserve"> Откровенное платье «Colette» из лент красный S-M</t>
  </si>
  <si>
    <t xml:space="preserve"> Откровенное платье «Colette» из лент черный S-M</t>
  </si>
  <si>
    <t xml:space="preserve"> Провокационное платье «Adele» из стреп-лент черный S-M</t>
  </si>
  <si>
    <t xml:space="preserve"> Провокационное платье «Adele» из стреп-лент красный S-M</t>
  </si>
  <si>
    <t xml:space="preserve"> Провокационное платье «Adele» из стреп-лент белый S-M</t>
  </si>
  <si>
    <t xml:space="preserve"> Провокационное платье «Adele» из стреп-лент красный L-XL</t>
  </si>
  <si>
    <t xml:space="preserve"> Провокационное платье «Adele» из стреп-лент черный L-XL</t>
  </si>
  <si>
    <t xml:space="preserve"> Провокационное платье «Adele» из стреп-лент белый L-XL</t>
  </si>
  <si>
    <t xml:space="preserve"> Платье-майка «Marise» в мелкую сетку розовый XL</t>
  </si>
  <si>
    <t xml:space="preserve"> Платье-майка «Marise» в мелкую сетку черный XL</t>
  </si>
  <si>
    <t xml:space="preserve"> Платье-майка «Marise» в мелкую сетку черный M-L</t>
  </si>
  <si>
    <t xml:space="preserve"> Платье-майка «Marise» в мелкую сетку розовый M-L</t>
  </si>
  <si>
    <t xml:space="preserve"> Платье-майка «Marise» в мелкую сетку розовый S-M</t>
  </si>
  <si>
    <t xml:space="preserve"> Платье-майка «Marise» в мелкую сетку черный S-M</t>
  </si>
  <si>
    <t xml:space="preserve"> Платье-бондаж черный S</t>
  </si>
  <si>
    <t xml:space="preserve"> Платье-бондаж черный L-XL</t>
  </si>
  <si>
    <t xml:space="preserve"> Мини-платье с разрезами черный S</t>
  </si>
  <si>
    <t xml:space="preserve"> Яркое платьице красный One Size</t>
  </si>
  <si>
    <t xml:space="preserve"> Романтическое мини-платье с украшением на груди черный One Size</t>
  </si>
  <si>
    <t xml:space="preserve"> Соблазнительное платье-сетка с имитацией шнуровки черный S</t>
  </si>
  <si>
    <t xml:space="preserve"> Прозрачное мини-платье с цветочным узором сбоку черный S</t>
  </si>
  <si>
    <t xml:space="preserve"> Эффектное сетчатое платье с имитацией шнуровки на животике и лифе черный One Size</t>
  </si>
  <si>
    <t xml:space="preserve"> Платьице с зигзагообразным узором черный One Size</t>
  </si>
  <si>
    <t xml:space="preserve"> Ажурное платье с открытой спиной черный One Size</t>
  </si>
  <si>
    <t xml:space="preserve"> Ажурное платье с открытой спиной черный XL</t>
  </si>
  <si>
    <t xml:space="preserve"> Платье Bellatrix со шнуровкой во всю длину черный L-XL</t>
  </si>
  <si>
    <t xml:space="preserve"> Платье Bellatrix со шнуровкой во всю длину черный S-M</t>
  </si>
  <si>
    <t xml:space="preserve"> Сексуальное платье Cornelia с мокрым блеском черный S-M</t>
  </si>
  <si>
    <t xml:space="preserve"> Сексуальное платье Cornelia с мокрым блеском белый S-M</t>
  </si>
  <si>
    <t xml:space="preserve"> Сексуальное платье Cornelia с мокрым блеском черный L-XL</t>
  </si>
  <si>
    <t xml:space="preserve"> Сексуальное платье Cornelia с мокрым блеском белый L-XL</t>
  </si>
  <si>
    <t xml:space="preserve"> Эффектное платье Plus Size с сетчатой верхней частью черный XL-XXL</t>
  </si>
  <si>
    <t xml:space="preserve"> Нитяное коротенькое платье Samantha красный XS-S</t>
  </si>
  <si>
    <t xml:space="preserve"> Нитяное коротенькое платье Samantha черный XS-S</t>
  </si>
  <si>
    <t xml:space="preserve"> Нитяное коротенькое платье Samantha белый XS-S</t>
  </si>
  <si>
    <t xml:space="preserve"> Черное платье с открытой попой черный S-M</t>
  </si>
  <si>
    <t xml:space="preserve"> Облегающее платье с 3 шнуровками черный S-M</t>
  </si>
  <si>
    <t xml:space="preserve"> Платье с открытой грудью из материала под кожу черный S-M</t>
  </si>
  <si>
    <t xml:space="preserve"> Платье с открытой грудью из материала под кожу черный M-L</t>
  </si>
  <si>
    <t xml:space="preserve"> Кружевное платье с широкой бретелью на одно плечо черный One Size</t>
  </si>
  <si>
    <t xml:space="preserve"> Чёрное платье-сетка с длинными рукавчиками черный One Size</t>
  </si>
  <si>
    <t xml:space="preserve"> Облегающее платье Sophie с кружевами черный XXL</t>
  </si>
  <si>
    <t xml:space="preserve"> Облегающее платье Sophie с кружевами черный XXXL</t>
  </si>
  <si>
    <t xml:space="preserve"> Облегающее платье Sophie с кружевами черный XL</t>
  </si>
  <si>
    <t xml:space="preserve"> Полупрозрачное длинное платье Sarah черный S-M</t>
  </si>
  <si>
    <t xml:space="preserve"> Полупрозрачное длинное платье Sarah белый S-M</t>
  </si>
  <si>
    <t xml:space="preserve"> Полупрозрачное длинное платье Sarah красный S-M</t>
  </si>
  <si>
    <t xml:space="preserve"> Полупрозрачное длинное платье Sarah белый L-XL</t>
  </si>
  <si>
    <t xml:space="preserve"> Полупрозрачное длинное платье Sarah черный L-XL</t>
  </si>
  <si>
    <t xml:space="preserve"> Полупрозрачное длинное платье Sarah красный L-XL</t>
  </si>
  <si>
    <t xml:space="preserve"> Платье с бахромой и люрексом черный L-XL</t>
  </si>
  <si>
    <t xml:space="preserve"> Платье с бахромой и люрексом черный S-M</t>
  </si>
  <si>
    <t xml:space="preserve"> Платье Beltis с открытой спиной черный XXL-XXXL</t>
  </si>
  <si>
    <t xml:space="preserve"> Платье Beltis с открытой спиной черный 6X-7X</t>
  </si>
  <si>
    <t xml:space="preserve"> Платье Beltis с открытой спиной черный 4X-5X</t>
  </si>
  <si>
    <t xml:space="preserve"> Строгое платье Hellen с открытой спиной и wet-блеском черный L-XL</t>
  </si>
  <si>
    <t xml:space="preserve"> Строгое платье Hellen с открытой спиной и wet-блеском черный S-M</t>
  </si>
  <si>
    <t xml:space="preserve"> Кружевное платье Dressita Plus Size белый XXL</t>
  </si>
  <si>
    <t xml:space="preserve"> Черное wet-look платье Jasmin со шлейфом черный L-XL</t>
  </si>
  <si>
    <t xml:space="preserve"> Черное wet-look платье Jasmin со шлейфом черный S-M</t>
  </si>
  <si>
    <t xml:space="preserve"> Провокационное платье Adele Plus Size из стреп-лент черный XXL-XXXL</t>
  </si>
  <si>
    <t xml:space="preserve"> Провокационное платье Adele Plus Size из стреп-лент красный XXL-XXXL</t>
  </si>
  <si>
    <t xml:space="preserve"> Провокационное платье Adele Plus Size из стреп-лент белый XXL-XXXL</t>
  </si>
  <si>
    <t xml:space="preserve"> Платье Anita Plus Size в виде сетки из стреп-лент белый XXL-XXXL</t>
  </si>
  <si>
    <t xml:space="preserve"> Платье Anita Plus Size в виде сетки из стреп-лент красный XXL-XXXL</t>
  </si>
  <si>
    <t xml:space="preserve"> Платье Anita Plus Size в виде сетки из стреп-лент черный XXL-XXXL</t>
  </si>
  <si>
    <t xml:space="preserve"> Откровенное платье Colette Plus Size из лент черный XXL-XXXL</t>
  </si>
  <si>
    <t xml:space="preserve"> Откровенное платье Colette Plus Size из лент белый XXL-XXXL</t>
  </si>
  <si>
    <t xml:space="preserve"> Откровенное платье Colette Plus Size из лент красный XXL-XXXL</t>
  </si>
  <si>
    <t xml:space="preserve"> Роскошное платье Miracle с глубоким декольте черный 6X-7X</t>
  </si>
  <si>
    <t xml:space="preserve"> Роскошное платье Miracle с глубоким декольте белый 6X-7X</t>
  </si>
  <si>
    <t xml:space="preserve"> Роскошное платье Miracle с глубоким декольте розовый 6X-7X</t>
  </si>
  <si>
    <t xml:space="preserve"> Роскошное платье Miracle с глубоким декольте черный 4X-5X</t>
  </si>
  <si>
    <t xml:space="preserve"> Роскошное платье Miracle с глубоким декольте розовый 4X-5X</t>
  </si>
  <si>
    <t xml:space="preserve"> Роскошное платье Miracle с глубоким декольте белый 4X-5X</t>
  </si>
  <si>
    <t xml:space="preserve"> Кружевное платье Rayen Plus Size с длинными рукавами красный XXL-XXXL</t>
  </si>
  <si>
    <t xml:space="preserve"> Кружевное платье Rayen Plus Size с длинными рукавами черный XXL-XXXL</t>
  </si>
  <si>
    <t xml:space="preserve"> Кружевное платье Rika с коротким рукавом черный L-XL</t>
  </si>
  <si>
    <t xml:space="preserve"> Кружевное платье Rika с коротким рукавом красный L-XL</t>
  </si>
  <si>
    <t xml:space="preserve"> Кружевное платье Rika с коротким рукавом красный S-M</t>
  </si>
  <si>
    <t xml:space="preserve"> Кружевное платье Rika с коротким рукавом черный S-M</t>
  </si>
  <si>
    <t xml:space="preserve"> Ажурное платье Rika Plus Size с коротким рукавом черный XXL-XXXL</t>
  </si>
  <si>
    <t xml:space="preserve"> Ажурное платье Rika Plus Size с коротким рукавом красный XXL-XXXL</t>
  </si>
  <si>
    <t xml:space="preserve"> Платье с открытым лифом Roxana из материала wetlook черный L-XL</t>
  </si>
  <si>
    <t xml:space="preserve"> Платье с открытым лифом Roxana из материала wetlook белый L-XL</t>
  </si>
  <si>
    <t xml:space="preserve"> Платье с открытым лифом Roxana из материала wetlook красный S-M</t>
  </si>
  <si>
    <t xml:space="preserve"> Платье с открытым лифом Roxana из материала wetlook белый S-M</t>
  </si>
  <si>
    <t xml:space="preserve"> Платье с открытым лифом Roxana из материала wetlook красный L-XL</t>
  </si>
  <si>
    <t xml:space="preserve"> Платье с открытым лифом Roxana из материала wetlook черный S-M</t>
  </si>
  <si>
    <t xml:space="preserve"> Платье Anija с открытой грудью черный S</t>
  </si>
  <si>
    <t xml:space="preserve"> Платье Anija с открытой грудью черный M</t>
  </si>
  <si>
    <t xml:space="preserve"> Длинное платье Christine c открытой грудью черный M</t>
  </si>
  <si>
    <t xml:space="preserve"> Длинное платье Christine c открытой грудью черный S</t>
  </si>
  <si>
    <t xml:space="preserve"> Платье Astrid с вертикальной открытой шнуровкой черный S</t>
  </si>
  <si>
    <t xml:space="preserve"> Платье Astrid с вертикальной открытой шнуровкой черный M</t>
  </si>
  <si>
    <t xml:space="preserve"> Платье Astrid с вертикальной открытой шнуровкой черный XS</t>
  </si>
  <si>
    <t xml:space="preserve"> Платье Ingrid с открытой грудью и вырезом-сердцем на попе черный M</t>
  </si>
  <si>
    <t xml:space="preserve"> Платье Ingrid с открытой грудью и вырезом-сердцем на попе черный S</t>
  </si>
  <si>
    <t xml:space="preserve"> Откровенное мини-платье Mirror черный S-M</t>
  </si>
  <si>
    <t xml:space="preserve"> Откровенное мини-платье Mirror черный L-XL</t>
  </si>
  <si>
    <t xml:space="preserve"> Коротенькое платье Lara с открытой спинкой черный L-XL</t>
  </si>
  <si>
    <t xml:space="preserve"> Коротенькое платье Lara с открытой спинкой черный S-M</t>
  </si>
  <si>
    <t xml:space="preserve"> Коротенькое платье Lara с открытой спинкой красный L-XL</t>
  </si>
  <si>
    <t xml:space="preserve"> Коротенькое платье Lara с открытой спинкой красный S-M</t>
  </si>
  <si>
    <t xml:space="preserve"> Коротенькое платье Lara Plus Size с открытой спинкой черный XXL-XXXL</t>
  </si>
  <si>
    <t xml:space="preserve"> Коротенькое платье Lara Plus Size с открытой спинкой красный XXL-XXXL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</si>
  <si>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Полупрозрачное длинное платье Sarah Plus Size с воротником-стойкой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</si>
  <si>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Полупрозрачное длинное платье Sarah Plus Size с воротником-стойкой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</si>
  <si>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Полупрозрачное длинное платье Sarah Plus Size с воротником-стойкой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</si>
  <si>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t xml:space="preserve"> Платье-труба Xenia без бретелей белый L-XL</t>
  </si>
  <si>
    <t xml:space="preserve"> Платье-труба Xenia без бретелей черный L-XL</t>
  </si>
  <si>
    <t xml:space="preserve"> Платье-труба Xenia без бретелей черный S-M</t>
  </si>
  <si>
    <t xml:space="preserve"> Платье-труба Xenia без бретелей белый S-M</t>
  </si>
  <si>
    <t xml:space="preserve"> Облегающее платье Joline из материала под кожу черный S-M</t>
  </si>
  <si>
    <t xml:space="preserve"> Облегающее платье Joline из материала под кожу черный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</si>
  <si>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Платье GLITTERATI с открытым плечом и пайетками </d:t>
    </d:r>
    <d:r xmlns:d="http://schemas.openxmlformats.org/spreadsheetml/2006/main">
      <d:rPr>
        <d:sz val="11"/>
        <d:color rgb="FF000000"/>
        <d:rFont val="Calibri"/>
      </d:rPr>
      <d:t>розовый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</si>
  <si>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Сетчатое платье TEASER DIAMOND Plus Size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1X-2X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</si>
  <si>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Платье-сетка NOTHING BUT NET SEAMLESS DRESS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</si>
  <si>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Коротенькое ажурное платье-сетка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</si>
  <si>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Облегающее платье с имитацией шнуровок по бокам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</si>
  <si>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Платье в сетку с изображением костей SKELETON BONE NET DRESS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</si>
  <si>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Эффектное платье-сетка с завязками вокруг шеи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</si>
  <si>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t xml:space="preserve">    Подвязки</t>
  </si>
  <si>
    <t xml:space="preserve"> Широкая кружевная подвязка на ногу черный</t>
  </si>
  <si>
    <t xml:space="preserve"> Широкая кружевная подвязка на ногу красный</t>
  </si>
  <si>
    <t xml:space="preserve"> Широкая кружевная подвязка на ногу белый</t>
  </si>
  <si>
    <t xml:space="preserve"> Кружевная повязка на шею черный БЕЗРАЗМЕРНЫЙ</t>
  </si>
  <si>
    <t xml:space="preserve"> Кружевная подвязка с бантиком красный 1X-2X-3X</t>
  </si>
  <si>
    <t xml:space="preserve"> Кружевная подвязка с бантиком белый 1X-2X-3X</t>
  </si>
  <si>
    <t xml:space="preserve"> Кружевная подвязка с бантиком черный 1X-2X-3X</t>
  </si>
  <si>
    <t xml:space="preserve"> Подвязка на ногу красный One Size</t>
  </si>
  <si>
    <t xml:space="preserve"> Подвязка на ногу черный One Size</t>
  </si>
  <si>
    <t xml:space="preserve"> Подвязка на ногу белый One Size</t>
  </si>
  <si>
    <t xml:space="preserve"> Подвязка морячки One Size</t>
  </si>
  <si>
    <t xml:space="preserve"> Ажурная подвязка с бантом и сердечком белый с голубым One Size</t>
  </si>
  <si>
    <t xml:space="preserve"> Ажурная подвязка на ножку «Hustler» красный One Size</t>
  </si>
  <si>
    <t xml:space="preserve"> Ажурная подвязка на ножку «Hustler» черный One Size</t>
  </si>
  <si>
    <t xml:space="preserve"> Ажурная подвязка на ножку «Hustler» белый One Size</t>
  </si>
  <si>
    <t xml:space="preserve"> Кружевная подвязка голубой One Size</t>
  </si>
  <si>
    <t xml:space="preserve"> Кружевная подвязка черный One Size</t>
  </si>
  <si>
    <t xml:space="preserve"> Кружевная подвязка белый One Size</t>
  </si>
  <si>
    <t xml:space="preserve"> Кружевной комплект «Magnolia» из 3 предметов черный с розовым M</t>
  </si>
  <si>
    <t xml:space="preserve"> Кружевной комплект «Magnolia» из 3 предметов черный с розовым S</t>
  </si>
  <si>
    <t xml:space="preserve"> Кружевной комплект «Magnolia» из 3 предметов черный с розовым L</t>
  </si>
  <si>
    <t xml:space="preserve"> Кружевная подвязка на ножку Swanita белый S-M</t>
  </si>
  <si>
    <t xml:space="preserve"> Комплект Allure из 2 подвязок с рюшевыми оборками белый S-M</t>
  </si>
  <si>
    <t xml:space="preserve"> Комплект Allure из 2 подвязок с рюшевыми оборками красный S-M</t>
  </si>
  <si>
    <t xml:space="preserve"> Комплект Allure из 2 подвязок с рюшевыми оборками черный S-M</t>
  </si>
  <si>
    <t xml:space="preserve"> Комплект из 2 подвязок Bonita с бантиками красный S-M</t>
  </si>
  <si>
    <t xml:space="preserve"> Комплект из 2 подвязок Bonita с бантиками белый S-M</t>
  </si>
  <si>
    <t xml:space="preserve"> Комплект из 2 подвязок Bonita с бантиками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</si>
  <si>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Двойная кожаная подвязка на ногу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</si>
  <si>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Подвязка со сборками и бантом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</si>
  <si>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t xml:space="preserve"> Набор пикантных аксессуаров Velma Plus Size черный XXL-XXXL</t>
  </si>
  <si>
    <t xml:space="preserve"> Красивая подвязка на ножку с бантом и мелкой рюшей по краю черный One Size</t>
  </si>
  <si>
    <t xml:space="preserve"> Комплект кружевных подвязок Plus Size для защиты от натираний черный 5-6 РАЗМЕР</t>
  </si>
  <si>
    <t xml:space="preserve"> Комплект кружевных подвязок Plus Size для защиты от натираний бежевый 5-6 РАЗМЕР</t>
  </si>
  <si>
    <t xml:space="preserve"> Комплект кружевных подвязок Plus Size для защиты от натираний черный 7-8 РАЗМЕР</t>
  </si>
  <si>
    <t xml:space="preserve"> Комплект кружевных подвязок Plus Size для защиты от натираний бежевый 7-8 РАЗМЕР</t>
  </si>
  <si>
    <t xml:space="preserve">    Портупеи, гартеры</t>
  </si>
  <si>
    <t xml:space="preserve"> Женская портупея Mistress черный M</t>
  </si>
  <si>
    <t xml:space="preserve"> Женская портупея Mistress черный S</t>
  </si>
  <si>
    <t xml:space="preserve"> Женская портупея Mistress черный L</t>
  </si>
  <si>
    <t xml:space="preserve"> Чёрные кожаные гартеры «Fina» черный One Size</t>
  </si>
  <si>
    <t xml:space="preserve"> Чёрные гартеры на бедра «Dive Black» черный One Size</t>
  </si>
  <si>
    <t xml:space="preserve"> Портупея-пояс «Ajur» черный One Size</t>
  </si>
  <si>
    <t xml:space="preserve"> Портупея из стреп-лент Harness 3 черный S-M</t>
  </si>
  <si>
    <t xml:space="preserve"> Портупея из стреп-лент Harness 3 красный S-M</t>
  </si>
  <si>
    <t xml:space="preserve"> Портупея из стреп-лент Harness 3 белый S-M</t>
  </si>
  <si>
    <t xml:space="preserve"> Портупея из стреп-лент Harness 3 черный L-XL</t>
  </si>
  <si>
    <t xml:space="preserve"> Портупея из стреп-лент Harness 3 белый L-XL</t>
  </si>
  <si>
    <t xml:space="preserve"> Портупея из стреп-лент Harness 3 красный L-XL</t>
  </si>
  <si>
    <t xml:space="preserve"> Портупея из лент Harness 4 с кружевами в верхней части черный L-XL</t>
  </si>
  <si>
    <t xml:space="preserve"> Портупея из лент Harness 4 с кружевами в верхней части черный S-M</t>
  </si>
  <si>
    <t xml:space="preserve"> Портупея из лент Harness 2 черный S-M</t>
  </si>
  <si>
    <t xml:space="preserve"> Портупея из лент Harness 2 белый S-M</t>
  </si>
  <si>
    <t xml:space="preserve"> Портупея из лент Harness 2 красный S-M</t>
  </si>
  <si>
    <t xml:space="preserve"> Портупея из лент Harness 2 красный L-XL</t>
  </si>
  <si>
    <t xml:space="preserve"> Портупея из лент Harness 2 черный L-XL</t>
  </si>
  <si>
    <t xml:space="preserve"> Портупея из лент Harness 2 белый L-XL</t>
  </si>
  <si>
    <t xml:space="preserve"> Короткая чёрная кожаная портупея черный XS-M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</si>
  <si>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Чёрные кожаные гартеры Heidi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</si>
  <si>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t xml:space="preserve"> Портупея Plus Size из лент с кружевами в верхней части черный XXL-XXXL</t>
  </si>
  <si>
    <t xml:space="preserve"> Портупея из лент размера Plus Size черный XXL-XXXL</t>
  </si>
  <si>
    <t xml:space="preserve"> Портупея из лент размера Plus Size красный XXL-XXXL</t>
  </si>
  <si>
    <t xml:space="preserve"> Портупея из лент размера Plus Size белый XXL-XXXL</t>
  </si>
  <si>
    <t xml:space="preserve"> Портупея из стреп-лент размера Plus Size красный XXL-XXXL</t>
  </si>
  <si>
    <t xml:space="preserve"> Портупея из стреп-лент размера Plus Size белый XXL-XXXL</t>
  </si>
  <si>
    <t xml:space="preserve"> Портупея из стреп-лент размера Plus Size черный XXL-XXXL</t>
  </si>
  <si>
    <t xml:space="preserve"> Пояс с гартерами Pure красный S-M</t>
  </si>
  <si>
    <t xml:space="preserve"> Пояс с гартерами Pure белый S-M</t>
  </si>
  <si>
    <t xml:space="preserve"> Пояс с гартерами Pure черный S-M</t>
  </si>
  <si>
    <t xml:space="preserve"> Комплект из 2 гартеров с пажами для чулок Pure черный S-M</t>
  </si>
  <si>
    <t xml:space="preserve"> Комплект из 2 гартеров с пажами для чулок Pure красный S-M</t>
  </si>
  <si>
    <t xml:space="preserve"> Комплект из 2 гартеров с пажами для чулок Pure белый S-M</t>
  </si>
  <si>
    <t xml:space="preserve"> Воротничок из стреп-лент Bonita с поводком на карабине черный</t>
  </si>
  <si>
    <t xml:space="preserve"> Воротничок из стреп-лент Bonita с поводком на карабине красный</t>
  </si>
  <si>
    <t xml:space="preserve"> Воротничок из стреп-лент Bonita с поводком на карабине белый</t>
  </si>
  <si>
    <t xml:space="preserve"> Портупея размера Plus Size из стреп-лент с золотистым декором красный XXL-XXXL</t>
  </si>
  <si>
    <t xml:space="preserve"> Портупея размера Plus Size из стреп-лент с золотистым декором черный XXL-XXXL</t>
  </si>
  <si>
    <t xml:space="preserve"> Портупея размера Plus Size из стреп-лент с золотистым декором белый XXL-XXXL</t>
  </si>
  <si>
    <t xml:space="preserve"> Портупея Pure с золотистыми заклепками белый L-XL</t>
  </si>
  <si>
    <t xml:space="preserve"> Портупея Pure с золотистыми заклепками красный L-XL</t>
  </si>
  <si>
    <t xml:space="preserve"> Портупея Pure с золотистыми заклепками черный S-M</t>
  </si>
  <si>
    <t xml:space="preserve"> Портупея Pure с золотистыми заклепками красный S-M</t>
  </si>
  <si>
    <t xml:space="preserve"> Портупея Pure с золотистыми заклепками белый S-M</t>
  </si>
  <si>
    <t xml:space="preserve"> Портупея Pure с золотистыми заклепками черный L-XL</t>
  </si>
  <si>
    <t xml:space="preserve"> Портупея через плечо Hussard черный L-XL</t>
  </si>
  <si>
    <t xml:space="preserve"> Портупея через плечо Hussard красный S-M</t>
  </si>
  <si>
    <t xml:space="preserve"> Портупея через плечо Hussard черный S-M</t>
  </si>
  <si>
    <t xml:space="preserve"> Портупея через плечо Hussard белый S-M</t>
  </si>
  <si>
    <t xml:space="preserve"> Портупея через плечо Hussard красный L-XL</t>
  </si>
  <si>
    <t xml:space="preserve"> Портупея через плечо Hussard белый L-XL</t>
  </si>
  <si>
    <t xml:space="preserve"> Портупея Queen of hearts Submission белый L-XL</t>
  </si>
  <si>
    <t xml:space="preserve"> Портупея Queen of hearts Submission красный L-XL</t>
  </si>
  <si>
    <t xml:space="preserve"> Портупея Queen of hearts Submission белый S-M</t>
  </si>
  <si>
    <t xml:space="preserve"> Портупея Queen of hearts Submission черный S-M</t>
  </si>
  <si>
    <t xml:space="preserve"> Портупея Queen of hearts Submission красный S-M</t>
  </si>
  <si>
    <t xml:space="preserve"> Портупея Queen of hearts Submission черный L-XL</t>
  </si>
  <si>
    <t xml:space="preserve"> Оригинальные трусики-шорты Gaja Plus Size со съемными гартерами красный XXL-XXXL</t>
  </si>
  <si>
    <t xml:space="preserve"> Оригинальные трусики-шорты Gaja Plus Size со съемными гартерами белый XXL-XXXL</t>
  </si>
  <si>
    <t xml:space="preserve"> Оригинальные трусики-шорты Gaja Plus Size со съемными гартерами черный XXL-XXXL</t>
  </si>
  <si>
    <t xml:space="preserve"> Портупея Pure Plus Size с золотистыми заклепками красный XXL-XXXL</t>
  </si>
  <si>
    <t xml:space="preserve"> Портупея Pure Plus Size с золотистыми заклепками черный XXL-XXXL</t>
  </si>
  <si>
    <t xml:space="preserve"> Портупея Pure Plus Size с золотистыми заклепками белый XXL-XXXL</t>
  </si>
  <si>
    <t xml:space="preserve"> Портупея из стреп-лент с золотистым шнуром белый L-XL</t>
  </si>
  <si>
    <t xml:space="preserve"> Портупея из стреп-лент с золотистым шнуром красный L-XL</t>
  </si>
  <si>
    <t xml:space="preserve"> Портупея из стреп-лент с золотистым шнуром черный L-XL</t>
  </si>
  <si>
    <t xml:space="preserve"> Портупея из стреп-лент с золотистым шнуром красный S-M</t>
  </si>
  <si>
    <t xml:space="preserve"> Портупея из стреп-лент с золотистым шнуром белый S-M</t>
  </si>
  <si>
    <t xml:space="preserve"> Портупея из стреп-лент с золотистым шнуром черный S-M</t>
  </si>
  <si>
    <t xml:space="preserve"> Портупея Plus Size с золотистым шнуром из стреп-лент черный XXL-XXXL</t>
  </si>
  <si>
    <t xml:space="preserve"> Портупея Plus Size с золотистым шнуром из стреп-лент белый XXL-XXXL</t>
  </si>
  <si>
    <t xml:space="preserve"> Портупея Plus Size с золотистым шнуром из стреп-лент красный XXL-XXXL</t>
  </si>
  <si>
    <t xml:space="preserve"> Портупея Queen of hearts Submission Plus Size с петлями для рук красный XXL-XXXL</t>
  </si>
  <si>
    <t xml:space="preserve"> Портупея Queen of hearts Submission Plus Size с петлями для рук белый XXL-XXXL</t>
  </si>
  <si>
    <t xml:space="preserve"> Портупея Queen of hearts Submission Plus Size с петлями для рук черный XXL-XXXL</t>
  </si>
  <si>
    <t xml:space="preserve">    Пэстисы, накладки на грудь</t>
  </si>
  <si>
    <t xml:space="preserve"> Пэстисы-сердечки из пайеток красный БЕЗРАЗМЕРНЫЙ</t>
  </si>
  <si>
    <t xml:space="preserve"> Пэстис на грудь с кисточками золотой БЕЗРАЗМЕРНЫЙ</t>
  </si>
  <si>
    <t xml:space="preserve"> Чёрные пэстис с кисточками черный БЕЗРАЗМЕРНЫЙ</t>
  </si>
  <si>
    <t xml:space="preserve"> Белые пэстис с красным крестом белый с красным БЕЗРАЗМЕРНЫЙ</t>
  </si>
  <si>
    <t xml:space="preserve"> Фиолетовые пестисы в виде бабочек</t>
  </si>
  <si>
    <t xml:space="preserve"> Фиолетовые пестисы в форме губ</t>
  </si>
  <si>
    <t xml:space="preserve"> Розовые открытые пестисы «Круги и сердца»</t>
  </si>
  <si>
    <t xml:space="preserve"> Пэстисы из кристаллов «Rhinestone Pasties» серебро БЕЗРАЗМЕРНЫЙ</t>
  </si>
  <si>
    <t xml:space="preserve"> Яркие блестящие золотые пэстисы с кисточками «Tassel Pasties» золотой БЕЗРАЗМЕРНЫЙ</t>
  </si>
  <si>
    <t xml:space="preserve"> Набор из золотых пэстисов-звезд однотонных и с рисунком Glam-o-Rama золото</t>
  </si>
  <si>
    <t xml:space="preserve"> Набор из белых пэстисов-звезд сатиновых и кружевных Luminous белый</t>
  </si>
  <si>
    <t xml:space="preserve"> Набор из голубых и серебристых пэстисов-сердец голубой</t>
  </si>
  <si>
    <t xml:space="preserve"> Набор из телесных кружевных и сатиновых пэстисов-сердец телесный</t>
  </si>
  <si>
    <t xml:space="preserve"> Набор из пэстисов-сердец черного цвета и с рисунком черный с серебристым</t>
  </si>
  <si>
    <t xml:space="preserve"> Набор из серебристых и черных с рисунком пэстисов-сердец черный с серебристым</t>
  </si>
  <si>
    <t xml:space="preserve"> Набор из телесных кружевных и сатиновых пэстисов-звезд телесный</t>
  </si>
  <si>
    <t xml:space="preserve"> Розовые пэстисы из кристаллов «Pink Star» розовый</t>
  </si>
  <si>
    <t xml:space="preserve"> Пэстисы «Black Club» из черных кристаллов черный</t>
  </si>
  <si>
    <t xml:space="preserve"> Пэстисы «Shine» из золотистых кристаллов золото</t>
  </si>
  <si>
    <t xml:space="preserve"> Пэстисы-звезды Dark Angel серебро</t>
  </si>
  <si>
    <t xml:space="preserve"> Украшение на сосок RUTH черный с розовым</t>
  </si>
  <si>
    <t xml:space="preserve"> Серебристые пэстисы со стразами и цепочками серебро</t>
  </si>
  <si>
    <t xml:space="preserve"> Розовые пэстисы Frida в форме губ розовый</t>
  </si>
  <si>
    <t xml:space="preserve"> Круглые пэстисы на соски Cody c бантами и кисточками белый</t>
  </si>
  <si>
    <t xml:space="preserve"> Круглые пэстисы на соски Cody c бантами и кисточками красный</t>
  </si>
  <si>
    <t xml:space="preserve"> Круглые пэстисы на соски Cody c бантами и кисточками черный</t>
  </si>
  <si>
    <t xml:space="preserve"> Пэстис в виде сердечек красный</t>
  </si>
  <si>
    <t xml:space="preserve"> Круглые чёрно-золотые пэстисы золото с черным</t>
  </si>
  <si>
    <t xml:space="preserve"> Чёрные пэстисы с серебристой окантовкой черный с серебристым</t>
  </si>
  <si>
    <t xml:space="preserve"> Изогнутые чёрные пэстисы черный</t>
  </si>
  <si>
    <t xml:space="preserve"> Золотистые пэстисы с чёрным кантом и розочками золото с черным</t>
  </si>
  <si>
    <t xml:space="preserve"> Чёрные пэстисы с золотым кантом и бантиками черный с золотым</t>
  </si>
  <si>
    <t xml:space="preserve"> Чёрные пэстисы с серебристым кантом и розочками черный с серебристым</t>
  </si>
  <si>
    <t xml:space="preserve"> Пэстисы «под кожу» с золотой цепочкой белый</t>
  </si>
  <si>
    <t xml:space="preserve"> Пэстисы «под кожу» с золотой цепочкой черный</t>
  </si>
  <si>
    <t xml:space="preserve"> Пэстисы «под кожу» с золотой цепочкой красный</t>
  </si>
  <si>
    <t xml:space="preserve"> Пэстисы в виде сердца с бантом и стразиком на вершинке черный</t>
  </si>
  <si>
    <t xml:space="preserve"> Пэстисы в виде сердца с бантом и стразиком на вершинке красный</t>
  </si>
  <si>
    <t xml:space="preserve"> Пэстисы в виде сердца с бантом и стразиком на вершинке белый</t>
  </si>
  <si>
    <t xml:space="preserve"> Пэстисы в виде сердца с бантом и стразиком на вершинке белый с розовым</t>
  </si>
  <si>
    <t xml:space="preserve"> Телесные силиконовые наклейки на соски NIPPLE COVERS SILICONE телесный</t>
  </si>
  <si>
    <t xml:space="preserve"> Фиолетовые наклейки на соски с бантиком фиолетовый</t>
  </si>
  <si>
    <t xml:space="preserve"> Чёрно-белые наклейки на соски с бантиком черный с белым</t>
  </si>
  <si>
    <t xml:space="preserve"> Пэстисы Lucky из маленьких розочек черный</t>
  </si>
  <si>
    <t xml:space="preserve"> Пэстисы Lucky из маленьких розочек белый</t>
  </si>
  <si>
    <t xml:space="preserve"> Пестисы Essena с кружевной оторочкой черный</t>
  </si>
  <si>
    <t xml:space="preserve"> Пестисы Kallea из чёрных кристаллов черный</t>
  </si>
  <si>
    <t xml:space="preserve"> Пестисы Vellya с кисточками красный</t>
  </si>
  <si>
    <t xml:space="preserve"> Чёрные пестисы с кисточками Becca черный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</si>
  <si>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Стикеры-сердечки на грудь </d:t>
    </d:r>
    <d:r xmlns:d="http://schemas.openxmlformats.org/spreadsheetml/2006/main">
      <d:rPr>
        <d:sz val="11"/>
        <d:color rgb="FF000000"/>
        <d:rFont val="Calibri"/>
      </d:rPr>
      <d:t xml:space="preserve">красный </d:t>
    </d:r>
  </si>
  <si>
    <t xml:space="preserve"> Чёрно-серебристые пестисы с лентой по краю и бантом черный с серебристым</t>
  </si>
  <si>
    <t xml:space="preserve"> Красные пестисы с белой каймой и розочкой красный с белым</t>
  </si>
  <si>
    <t xml:space="preserve"> Белые пестисы в форме сердец белый</t>
  </si>
  <si>
    <t xml:space="preserve"> Милые пестисы с цветочками по краю белый с красным</t>
  </si>
  <si>
    <t xml:space="preserve"> Красные пэстисы в виде сердечек с каймой красный</t>
  </si>
  <si>
    <t xml:space="preserve"> Небольшие круглые пестисы с бантиками сверху красный</t>
  </si>
  <si>
    <t xml:space="preserve"> Золотистые пестисы-сердечки золотистый</t>
  </si>
  <si>
    <t xml:space="preserve"> Золотистые пэстисы-звёздочки золотистый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</si>
  <si>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Пэстисы из пайеток с кисточками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</si>
  <si>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Пэстисы из пайеток с кисточками </d:t>
    </d:r>
    <d:r xmlns:d="http://schemas.openxmlformats.org/spreadsheetml/2006/main">
      <d:rPr>
        <d:sz val="11"/>
        <d:color rgb="FF000000"/>
        <d:rFont val="Calibri"/>
      </d:rPr>
      <d:t xml:space="preserve">красный </d:t>
    </d:r>
  </si>
  <si>
    <t xml:space="preserve">    Сорочки, пеньюары</t>
  </si>
  <si>
    <t xml:space="preserve"> Сорочка с открытой грудью и кружевными оборочками «SABLE» черный XL</t>
  </si>
  <si>
    <t xml:space="preserve"> Сорочка с открытой грудью и кружевными оборочками «SABLE» белый XL</t>
  </si>
  <si>
    <t xml:space="preserve"> Сорочка с открытой грудью и кружевными оборочками «SABLE» белый XXL</t>
  </si>
  <si>
    <t xml:space="preserve"> Сорочка с открытой грудью и кружевными оборочками «SABLE» черный XXXL</t>
  </si>
  <si>
    <t xml:space="preserve"> Сорочка с открытой грудью и кружевными оборочками «SABLE» черный XXL</t>
  </si>
  <si>
    <t xml:space="preserve"> Сорочка с открытой грудью и кружевными оборочками «SABLE» белый XXXL</t>
  </si>
  <si>
    <t xml:space="preserve"> Кружевная сорочка со стразами «TESS» черный XXL</t>
  </si>
  <si>
    <t xml:space="preserve"> Кружевная сорочка со стразами «TESS» белый XXL</t>
  </si>
  <si>
    <t xml:space="preserve"> Кружевная сорочка со стразами «TESS» белый XL</t>
  </si>
  <si>
    <t xml:space="preserve"> Кружевная сорочка со стразами «TESS» черный XL</t>
  </si>
  <si>
    <t xml:space="preserve"> Сорочка без бретелей черный M-L</t>
  </si>
  <si>
    <t xml:space="preserve"> Сорочка без бретелей белый S-M</t>
  </si>
  <si>
    <t xml:space="preserve"> Сорочка без бретелей черный S-M</t>
  </si>
  <si>
    <t xml:space="preserve"> Сорочка без бретелей белый M-L</t>
  </si>
  <si>
    <t xml:space="preserve"> Комплект «Marilyn» черный XL</t>
  </si>
  <si>
    <t xml:space="preserve"> Комплект «Marilyn» белый XL</t>
  </si>
  <si>
    <t xml:space="preserve"> Комплект «Marilyn» белый XXL</t>
  </si>
  <si>
    <t xml:space="preserve"> Комплект «Marilyn» черный XXL</t>
  </si>
  <si>
    <t xml:space="preserve"> Комплект «Marilyn» белый XXXL</t>
  </si>
  <si>
    <t xml:space="preserve"> Комплект «Marilyn» черный XXXL</t>
  </si>
  <si>
    <t xml:space="preserve"> Комплект «Emily» с разрезами и бантиками черный S-M</t>
  </si>
  <si>
    <t xml:space="preserve"> Комплект «Emily» с разрезами и бантиками белый S-M</t>
  </si>
  <si>
    <t xml:space="preserve"> Комплект «Emily» с разрезами и бантиками черный L-XL</t>
  </si>
  <si>
    <t xml:space="preserve"> Комплект «Emily» с разрезами и бантиками черный XXL-XXXL</t>
  </si>
  <si>
    <t xml:space="preserve"> Беби долл «Eden» голубой XXL-XXXL</t>
  </si>
  <si>
    <t xml:space="preserve"> Беби долл «Eden» голубой L-XL</t>
  </si>
  <si>
    <t xml:space="preserve"> Беби долл «Eden» голубой S-M</t>
  </si>
  <si>
    <t xml:space="preserve"> Беби долл «Lisa» красный S-M</t>
  </si>
  <si>
    <t xml:space="preserve"> Беби долл «Lisa» красный L-XL</t>
  </si>
  <si>
    <t xml:space="preserve"> Сорочка «Brittany» черный L-XL</t>
  </si>
  <si>
    <t xml:space="preserve"> Сорочка «Brittany» черный XXL-XXXL</t>
  </si>
  <si>
    <t xml:space="preserve"> Сорочка «Brittany» черный S-M</t>
  </si>
  <si>
    <t xml:space="preserve"> Сорочка с цветочным узором и воланом красный XXXL</t>
  </si>
  <si>
    <t xml:space="preserve"> Сорочка с цветочным узором и воланом черный XXL</t>
  </si>
  <si>
    <t xml:space="preserve"> Сорочка с цветочным узором и воланом черный XXXL</t>
  </si>
  <si>
    <t xml:space="preserve"> Сорочка с цветочным узором и воланом красный XXL</t>
  </si>
  <si>
    <t xml:space="preserve"> Сорочка с цветочным узором и воланом черный XL</t>
  </si>
  <si>
    <t xml:space="preserve"> Сорочка с цветочным узором и воланом красный XL</t>
  </si>
  <si>
    <t xml:space="preserve"> Сорочка «Margaret» с чулкодержателями красный XL</t>
  </si>
  <si>
    <t xml:space="preserve"> Сорочка «Margaret» с чулкодержателями черный XL</t>
  </si>
  <si>
    <t xml:space="preserve"> Сорочка «Margaret» с чулкодержателями красный XXL</t>
  </si>
  <si>
    <t xml:space="preserve"> Сорочка «Margaret» с чулкодержателями черный XXXL</t>
  </si>
  <si>
    <t xml:space="preserve"> Сорочка «Margaret» с чулкодержателями черный XXL</t>
  </si>
  <si>
    <t xml:space="preserve"> Сорочка «Margaret» с чулкодержателями красный XXXL</t>
  </si>
  <si>
    <t xml:space="preserve"> Облегающая сорочка «Kate» с чулкодержателями черный XXL</t>
  </si>
  <si>
    <t xml:space="preserve"> Облегающая сорочка «Kate» с чулкодержателями черный XXXL</t>
  </si>
  <si>
    <t xml:space="preserve"> Облегающая сорочка «Kate» с чулкодержателями черный XL</t>
  </si>
  <si>
    <t xml:space="preserve"> Сорочка с кружевным лифом «Estella» и чулкодержателями черный XL</t>
  </si>
  <si>
    <t xml:space="preserve"> Сорочка с кружевным лифом «Estella» и чулкодержателями белый XXL</t>
  </si>
  <si>
    <t xml:space="preserve"> Сорочка с кружевным лифом «Estella» и чулкодержателями белый XL</t>
  </si>
  <si>
    <t xml:space="preserve"> Сорочка с кружевным лифом «Estella» и чулкодержателями черный XXXL</t>
  </si>
  <si>
    <t xml:space="preserve"> Сорочка с кружевным лифом «Estella» и чулкодержателями черный XXL</t>
  </si>
  <si>
    <t xml:space="preserve"> Сорочка с кружевным лифом «Estella» и чулкодержателями белый XXXL</t>
  </si>
  <si>
    <t xml:space="preserve"> Облегающая сорочка с перчатками «Andrea» черный XXXL</t>
  </si>
  <si>
    <t xml:space="preserve"> Облегающая сорочка с перчатками «Andrea» черный XXL</t>
  </si>
  <si>
    <t xml:space="preserve"> Облегающая сорочка с перчатками «Andrea» черный XL</t>
  </si>
  <si>
    <t xml:space="preserve"> Сорочка «Blanca» и трусики с доступом черный XL</t>
  </si>
  <si>
    <t xml:space="preserve"> Сорочка «Blanca» и трусики с доступом белый XL</t>
  </si>
  <si>
    <t xml:space="preserve"> Сорочка «Blanca» и трусики с доступом белый XXL</t>
  </si>
  <si>
    <t xml:space="preserve"> Сорочка «Blanca» и трусики с доступом черный XXXL</t>
  </si>
  <si>
    <t xml:space="preserve"> Сорочка «Blanca» и трусики с доступом черный XXL</t>
  </si>
  <si>
    <t xml:space="preserve"> Сорочка «Blanca» и трусики с доступом белый XXXL</t>
  </si>
  <si>
    <t xml:space="preserve"> Сорочка «Danny» с открытой спиной персиковый S-M</t>
  </si>
  <si>
    <t xml:space="preserve"> Полупрозрачная сорочка с перчатками и повязкой «Нана» черный S</t>
  </si>
  <si>
    <t xml:space="preserve"> Полупрозрачная сорочка с перчатками и повязкой «Нана» черный L</t>
  </si>
  <si>
    <t xml:space="preserve"> Полупрозрачная сорочка с перчатками и повязкой «Нана» черный M</t>
  </si>
  <si>
    <t xml:space="preserve"> Сорочка с трусиками «MERILYN» белый M-L</t>
  </si>
  <si>
    <t xml:space="preserve"> Сорочка с трусиками «MERILYN» черный S-M</t>
  </si>
  <si>
    <t xml:space="preserve"> Сорочка с трусиками «MERILYN» белый S-M</t>
  </si>
  <si>
    <t xml:space="preserve"> Сорочка с трусиками «MERILYN» черный M-L</t>
  </si>
  <si>
    <t xml:space="preserve"> Прозрачная сорочка с кружевным лифом белый с розовым S</t>
  </si>
  <si>
    <t xml:space="preserve"> Прозрачная сорочка с кружевным лифом белый с голубым S</t>
  </si>
  <si>
    <t xml:space="preserve"> Прозрачная сорочка с кружевным лифом белый с голубым L</t>
  </si>
  <si>
    <t xml:space="preserve"> Прозрачная сорочка с кружевным лифом белый с розовым L</t>
  </si>
  <si>
    <t xml:space="preserve"> Прозрачная сорочка с кружевным лифом белый с голубым M</t>
  </si>
  <si>
    <t xml:space="preserve"> Прозрачная сорочка с кружевным лифом белый с розовым M</t>
  </si>
  <si>
    <t xml:space="preserve"> Сорочка с атласным бантиком на лифе белый M</t>
  </si>
  <si>
    <t xml:space="preserve"> Сорочка с атласным бантиком на лифе черный с красным M</t>
  </si>
  <si>
    <t xml:space="preserve"> Сорочка с атласным бантиком на лифе черный M</t>
  </si>
  <si>
    <t xml:space="preserve"> Сорочка с атласным бантиком на лифе черный с красным L</t>
  </si>
  <si>
    <t xml:space="preserve"> Сорочка с атласным бантиком на лифе белый L</t>
  </si>
  <si>
    <t xml:space="preserve"> Сорочка с атласным бантиком на лифе черный L</t>
  </si>
  <si>
    <t xml:space="preserve"> Сорочка с атласным бантиком на лифе черный с красным S</t>
  </si>
  <si>
    <t xml:space="preserve"> Сорочка с атласным бантиком на лифе белый S</t>
  </si>
  <si>
    <t xml:space="preserve"> Сорочка с атласным бантиком на лифе черный S</t>
  </si>
  <si>
    <t xml:space="preserve"> Полупрозрачная сорочка с поясом на талии «FIORE» черный M-L</t>
  </si>
  <si>
    <t xml:space="preserve"> Полупрозрачная сорочка с поясом на талии «FIORE» фиолетовый M-L</t>
  </si>
  <si>
    <t xml:space="preserve"> Полупрозрачная сорочка с поясом на талии «FIORE» черный S-M</t>
  </si>
  <si>
    <t xml:space="preserve"> Полупрозрачная сорочка с поясом на талии «FIORE» фиолетовый S-M</t>
  </si>
  <si>
    <t xml:space="preserve"> Сорочка с бантиками «LIZZY» черный M</t>
  </si>
  <si>
    <t xml:space="preserve"> Сорочка с бантиками «LIZZY» белый M</t>
  </si>
  <si>
    <t xml:space="preserve"> Сорочка с бантиками «LIZZY» черный S</t>
  </si>
  <si>
    <t xml:space="preserve"> Сорочка с бантиками «LIZZY» белый S</t>
  </si>
  <si>
    <t xml:space="preserve"> Сорочка с бантиками «LIZZY» черный L</t>
  </si>
  <si>
    <t xml:space="preserve"> Сорочка с бантиками «LIZZY» белый L</t>
  </si>
  <si>
    <t xml:space="preserve"> Кружевная сорочка «ANA» черный M-L</t>
  </si>
  <si>
    <t xml:space="preserve"> Кружевная сорочка «ANA» белый M-L</t>
  </si>
  <si>
    <t xml:space="preserve"> Кружевная сорочка «ANA» черный S-M</t>
  </si>
  <si>
    <t xml:space="preserve"> Кружевная сорочка «ANA» белый S-M</t>
  </si>
  <si>
    <t xml:space="preserve"> Кружевная сорочка «EVIE» на шнуровке сзади белый S-M</t>
  </si>
  <si>
    <t xml:space="preserve"> Кружевная сорочка «EVIE» на шнуровке сзади черный с розовым S-M</t>
  </si>
  <si>
    <t xml:space="preserve"> Кружевная сорочка «EVIE» на шнуровке сзади черный S-M</t>
  </si>
  <si>
    <t xml:space="preserve"> Кружевная сорочка «EVIE» на шнуровке сзади белый M-L</t>
  </si>
  <si>
    <t xml:space="preserve"> Кружевная сорочка «EVIE» на шнуровке сзади черный M-L</t>
  </si>
  <si>
    <t xml:space="preserve"> Кружевная сорочка «EVIE» на шнуровке сзади черный с розовым M-L</t>
  </si>
  <si>
    <t xml:space="preserve"> Сорочка с оборками красный XXXL</t>
  </si>
  <si>
    <t xml:space="preserve"> Сорочка с оборками черный XXL</t>
  </si>
  <si>
    <t xml:space="preserve"> Сорочка с оборками черный XXXL</t>
  </si>
  <si>
    <t xml:space="preserve"> Сорочка с оборками красный XXL</t>
  </si>
  <si>
    <t xml:space="preserve"> Сорочка с оборками черный XL</t>
  </si>
  <si>
    <t xml:space="preserve"> Сорочка с оборками красный XL</t>
  </si>
  <si>
    <t xml:space="preserve"> Прозрачная сорочка с кружевным лифом «Holly» красный M-L</t>
  </si>
  <si>
    <t xml:space="preserve"> Прозрачная сорочка с кружевным лифом «Holly» черный M-L</t>
  </si>
  <si>
    <t xml:space="preserve"> Прозрачная сорочка с кружевным лифом «Holly» белый M-L</t>
  </si>
  <si>
    <t xml:space="preserve"> Прозрачная сорочка с кружевным лифом «Holly» черный S-M</t>
  </si>
  <si>
    <t xml:space="preserve"> Прозрачная сорочка с кружевным лифом «Holly» белый S-M</t>
  </si>
  <si>
    <t xml:space="preserve"> Прозрачная сорочка с кружевным лифом «Holly» красный S-M</t>
  </si>
  <si>
    <t xml:space="preserve"> Сорочка «Френсис» с ажурными чашечками черный с розовым S</t>
  </si>
  <si>
    <t xml:space="preserve"> Сорочка «Френсис» с ажурными чашечками черный с розовым L</t>
  </si>
  <si>
    <t xml:space="preserve"> Сорочка «Френсис» с ажурными чашечками черный с бежевым L</t>
  </si>
  <si>
    <t xml:space="preserve"> Сорочка «Френсис» с ажурными чашечками черный с бежевым S</t>
  </si>
  <si>
    <t xml:space="preserve"> Сорочка «Френсис» с ажурными чашечками черный с бежевым M</t>
  </si>
  <si>
    <t xml:space="preserve"> Сорочка «Френсис» с ажурными чашечками черный с розовым M</t>
  </si>
  <si>
    <t xml:space="preserve"> Сорочка с кружевной вставкой по центру белый M</t>
  </si>
  <si>
    <t xml:space="preserve"> Сорочка с кружевной вставкой по центру черный M</t>
  </si>
  <si>
    <t xml:space="preserve"> Сорочка с кружевной вставкой по центру белый L</t>
  </si>
  <si>
    <t xml:space="preserve"> Сорочка с кружевной вставкой по центру черный L</t>
  </si>
  <si>
    <t xml:space="preserve"> Сорочка с кружевной вставкой по центру белый S</t>
  </si>
  <si>
    <t xml:space="preserve"> Сорочка с кружевной вставкой по центру черный S</t>
  </si>
  <si>
    <t xml:space="preserve"> Сорочка с цветочным узором и воланом черный M-L</t>
  </si>
  <si>
    <t xml:space="preserve"> Сорочка с цветочным узором и воланом красный M-L</t>
  </si>
  <si>
    <t xml:space="preserve"> Сорочка с цветочным узором и воланом белый M-L</t>
  </si>
  <si>
    <t xml:space="preserve"> Сорочка с цветочным узором и воланом черный S-M</t>
  </si>
  <si>
    <t xml:space="preserve"> Сорочка с цветочным узором и воланом белый S-M</t>
  </si>
  <si>
    <t xml:space="preserve"> Сорочка с цветочным узором и воланом красный S-M</t>
  </si>
  <si>
    <t xml:space="preserve"> Сорочка «Agathe» с рукавами 3/4 белый S-M</t>
  </si>
  <si>
    <t xml:space="preserve"> Сорочка «Agathe» с рукавами 3/4 черный S-M</t>
  </si>
  <si>
    <t xml:space="preserve"> Сорочка «Agathe» с рукавами 3/4 белый M-L</t>
  </si>
  <si>
    <t xml:space="preserve"> Сорочка «Agathe» с рукавами 3/4 черный M-L</t>
  </si>
  <si>
    <t xml:space="preserve"> Сорочка «Elise» с оборками по всей длине разреза синий L-XL</t>
  </si>
  <si>
    <t xml:space="preserve"> Сорочка «Elise» с оборками по всей длине разреза синий S-M</t>
  </si>
  <si>
    <t xml:space="preserve"> Сорочка «Elise» с оборками по всей длине разреза синий XXL-XXXL</t>
  </si>
  <si>
    <t xml:space="preserve"> Тюлевая сорочка «Ashley» с разрезом от лифа черный XXL-XXXL</t>
  </si>
  <si>
    <t xml:space="preserve"> Тюлевая сорочка «Ashley» с разрезом от лифа черный L-XL</t>
  </si>
  <si>
    <t xml:space="preserve"> Тюлевая сорочка «Ashley» с разрезом от лифа черный S-M</t>
  </si>
  <si>
    <t xml:space="preserve"> Сорочка «Ashley» с итальянским кружевом черный S-M</t>
  </si>
  <si>
    <t xml:space="preserve"> Сорочка «Ashley» с итальянским кружевом черный L-XL</t>
  </si>
  <si>
    <t xml:space="preserve"> Сорочка «Ashley» с итальянским кружевом черный XXL-XXXL</t>
  </si>
  <si>
    <t xml:space="preserve"> Сорочка «Muna» с ажурным лифом розовый XXL-XXXL</t>
  </si>
  <si>
    <t xml:space="preserve"> Сорочка «Muna» с ажурным лифом розовый L-XL</t>
  </si>
  <si>
    <t xml:space="preserve"> Сорочка «Muna» с ажурным лифом розовый S-M</t>
  </si>
  <si>
    <t xml:space="preserve"> Прозрачная cорочка «Kea» белый S-M</t>
  </si>
  <si>
    <t xml:space="preserve"> Прозрачная cорочка «Kea» черный S-M</t>
  </si>
  <si>
    <t xml:space="preserve"> Прозрачная cорочка «Kea» черный XXL-XXXL</t>
  </si>
  <si>
    <t xml:space="preserve"> Прозрачная cорочка «Kea» белый XXL-XXXL</t>
  </si>
  <si>
    <t xml:space="preserve"> Прозрачная cорочка «Kea» черный L-XL</t>
  </si>
  <si>
    <t xml:space="preserve"> Прозрачная cорочка «Kea» белый L-XL</t>
  </si>
  <si>
    <t xml:space="preserve"> Тюлевая сорочка «Nicolette» на тонких бретелях белый S-M</t>
  </si>
  <si>
    <t xml:space="preserve"> Тюлевая сорочка «Nicolette» на тонких бретелях черный S-M</t>
  </si>
  <si>
    <t xml:space="preserve"> Тюлевая сорочка «Nicolette» на тонких бретелях белый L-XL</t>
  </si>
  <si>
    <t xml:space="preserve"> Тюлевая сорочка «Nicolette» на тонких бретелях черный L-XL</t>
  </si>
  <si>
    <t xml:space="preserve"> Тюлевая сорочка «Nicolette» на тонких бретелях черный XXL-XXXL</t>
  </si>
  <si>
    <t xml:space="preserve"> Тюлевая сорочка «Nicolette» на тонких бретелях белый XXL-XXXL</t>
  </si>
  <si>
    <t xml:space="preserve"> Сорочка «Lanai» с вырезами на груди бежевый XXL-XXXL</t>
  </si>
  <si>
    <t xml:space="preserve"> Сорочка «Lanai» с вырезами на груди бежевый L-XL</t>
  </si>
  <si>
    <t xml:space="preserve"> Сорочка «Lanai» с вырезами на груди бежевый S-M</t>
  </si>
  <si>
    <t xml:space="preserve"> Беби долл «Tessie» желтый S-M</t>
  </si>
  <si>
    <t xml:space="preserve"> Беби долл «Tessie» желтый L-XL</t>
  </si>
  <si>
    <t xml:space="preserve"> Беби долл «Tessie» желтый XXL-XXXL</t>
  </si>
  <si>
    <t xml:space="preserve"> Сорочка бэби-долл «Livia» с завязками на лифе голубой L-XL</t>
  </si>
  <si>
    <t xml:space="preserve"> Сорочка бэби-долл «Livia» с завязками на лифе голубой S-M</t>
  </si>
  <si>
    <t xml:space="preserve"> Сорочка «Safire» с плотными ажурными вставками на груди черный S-M</t>
  </si>
  <si>
    <t xml:space="preserve"> Сорочка «Safire» с плотными ажурными вставками на груди черный L-XL</t>
  </si>
  <si>
    <t xml:space="preserve"> Сорочка средней длины «Vasanti» черный L-XL</t>
  </si>
  <si>
    <t xml:space="preserve"> Сорочка средней длины «Vasanti» черный S-M</t>
  </si>
  <si>
    <t xml:space="preserve"> Сорочка «Diona» со шнуровкой сзади черный S-M</t>
  </si>
  <si>
    <t xml:space="preserve"> Сорочка «Diona» со шнуровкой сзади черный L-XL</t>
  </si>
  <si>
    <t xml:space="preserve"> Сорочка «Лариса» черный S-M</t>
  </si>
  <si>
    <t xml:space="preserve"> Сорочка «Лариса» красный S-M</t>
  </si>
  <si>
    <t xml:space="preserve"> Сорочка «Лариса» красный M-L</t>
  </si>
  <si>
    <t xml:space="preserve"> Сорочка «Лариса» черный M-L</t>
  </si>
  <si>
    <t xml:space="preserve"> Сорочка «Сафона» с бретелями на попе черный S-M</t>
  </si>
  <si>
    <t xml:space="preserve"> Сорочка «Сафона» с бретелями на попе белый M-L</t>
  </si>
  <si>
    <t xml:space="preserve"> Сорочка «Сафона» с бретелями на попе белый S-M</t>
  </si>
  <si>
    <t xml:space="preserve"> Сорочка «Сафона» с бретелями на попе черный M-L</t>
  </si>
  <si>
    <t xml:space="preserve"> Сорочка с открытой грудью «Лилит» черный M-L</t>
  </si>
  <si>
    <t xml:space="preserve"> Сорочка с открытой грудью «Лилит» белый S-M</t>
  </si>
  <si>
    <t xml:space="preserve"> Сорочка с открытой грудью «Лилит» белый M-L</t>
  </si>
  <si>
    <t xml:space="preserve"> Сорочка с открытой грудью «Лилит» черный S-M</t>
  </si>
  <si>
    <t xml:space="preserve"> Сорочка «Диора» с пажами и кружевными элементами черный M</t>
  </si>
  <si>
    <t xml:space="preserve"> Сорочка «Диора» с пажами и кружевными элементами белый M</t>
  </si>
  <si>
    <t xml:space="preserve"> Сорочка «Диора» с пажами и кружевными элементами красный M</t>
  </si>
  <si>
    <t xml:space="preserve"> Сорочка «Диора» с пажами и кружевными элементами черный S</t>
  </si>
  <si>
    <t xml:space="preserve"> Сорочка «Диора» с пажами и кружевными элементами белый S</t>
  </si>
  <si>
    <t xml:space="preserve"> Сорочка «Диора» с пажами и кружевными элементами красный S</t>
  </si>
  <si>
    <t xml:space="preserve"> Сорочка «Диора» с пажами и кружевными элементами черный L</t>
  </si>
  <si>
    <t xml:space="preserve"> Сорочка «Диора» с пажами и кружевными элементами красный L</t>
  </si>
  <si>
    <t xml:space="preserve"> Сорочка «Диора» с пажами и кружевными элементами белый L</t>
  </si>
  <si>
    <t xml:space="preserve"> Комбинация с открытыми плечами черный M-L</t>
  </si>
  <si>
    <t xml:space="preserve"> Комбинация с открытыми плечами белый M-L</t>
  </si>
  <si>
    <t xml:space="preserve"> Комбинация с открытыми плечами черный S-M</t>
  </si>
  <si>
    <t xml:space="preserve"> Комбинация с открытыми плечами белый S-M</t>
  </si>
  <si>
    <t xml:space="preserve"> Сорочка с ажурным лифом черный с розовым One Size</t>
  </si>
  <si>
    <t xml:space="preserve"> Сорочка с разрезами на лифе и пажами белый One Size</t>
  </si>
  <si>
    <t xml:space="preserve"> Сорочка с разрезами на лифе и пажами белый XL</t>
  </si>
  <si>
    <t xml:space="preserve"> Сорочка «Keith» с комбинированным лифом черный S-M</t>
  </si>
  <si>
    <t xml:space="preserve"> Сорочка «Keith» с комбинированным лифом черный L-XL</t>
  </si>
  <si>
    <t xml:space="preserve"> Сорочка с ажурным лифом черный M-L</t>
  </si>
  <si>
    <t xml:space="preserve"> Сорочка с ажурным лифом белый S-M</t>
  </si>
  <si>
    <t xml:space="preserve"> Сорочка с ажурным лифом черный S-M</t>
  </si>
  <si>
    <t xml:space="preserve"> Сорочка с ажурным лифом белый M-L</t>
  </si>
  <si>
    <t xml:space="preserve"> Сорочка «Savanna» с кружевной вставкой на животе красный/черный S-M</t>
  </si>
  <si>
    <t xml:space="preserve"> Сорочка «Nadin» с завязками под грудью белый S-M</t>
  </si>
  <si>
    <t xml:space="preserve"> Сорочка «Nadin» с завязками под грудью бирюзовый S-M</t>
  </si>
  <si>
    <t xml:space="preserve"> Сорочка «Nadin» с завязками под грудью красный с черным S-M</t>
  </si>
  <si>
    <t xml:space="preserve"> Сорочка «Nadin» с завязками под грудью белый L-XL</t>
  </si>
  <si>
    <t xml:space="preserve"> Сорочка «Nadin» с завязками под грудью красный с черным L-XL</t>
  </si>
  <si>
    <t xml:space="preserve"> Сорочка «Nadin» с завязками под грудью бирюзовый L-XL</t>
  </si>
  <si>
    <t xml:space="preserve"> Сорочка «Nadin» с завязками под грудью белый XXL-XXXL</t>
  </si>
  <si>
    <t xml:space="preserve"> Сорочка «Nadin» с завязками под грудью бирюзовый XXL-XXXL</t>
  </si>
  <si>
    <t xml:space="preserve"> Сорочка «Nadin» с завязками под грудью красный XXL-XXXL</t>
  </si>
  <si>
    <t xml:space="preserve"> Облегающая сорочка с ажурными вставками «Karen» леопард S-M</t>
  </si>
  <si>
    <t xml:space="preserve"> Облегающая сорочка с ажурными вставками «Karen» леопард M-L</t>
  </si>
  <si>
    <t xml:space="preserve"> Красивая сорочка бэби-долл с кружевным лифом «Imperia» черный S-M</t>
  </si>
  <si>
    <t xml:space="preserve"> Красивая сорочка бэби-долл с кружевным лифом «Imperia» черный L-XL</t>
  </si>
  <si>
    <t xml:space="preserve"> Сорочка беби-долл с лифом в горошек черный с розовым S-M</t>
  </si>
  <si>
    <t xml:space="preserve"> Сорочка беби-долл с лифом в горошек черный с розовым M-L</t>
  </si>
  <si>
    <t xml:space="preserve"> Сорочка бэби-долл с лифом Push-Up черный с розовым S-M</t>
  </si>
  <si>
    <t xml:space="preserve"> Сорочка бэби-долл с лифом Push-Up черный с розовым M-L</t>
  </si>
  <si>
    <t xml:space="preserve"> Сорочка с рюшами черный с розовым One Size</t>
  </si>
  <si>
    <t xml:space="preserve"> Сорочка с рюшами черный One Size</t>
  </si>
  <si>
    <t xml:space="preserve"> Сорочка со шнуровкой на груди черный One Size</t>
  </si>
  <si>
    <t xml:space="preserve"> Короткая сетчатая мини-сорочка с открытой спиной черный БЕЗРАЗМЕРНЫЙ</t>
  </si>
  <si>
    <t xml:space="preserve"> Сорочка в сетку с ажурным верхом черный One Size</t>
  </si>
  <si>
    <t xml:space="preserve"> Сетчатая сорочка с непрозрачной красной вставкой красный с черным S-M</t>
  </si>
  <si>
    <t xml:space="preserve"> Сетчатая сорочка с непрозрачной красной вставкой красный с черным M-L</t>
  </si>
  <si>
    <t xml:space="preserve"> Полупрозрачная сорочка «Bisquella» с ажурным подолом черный L-XL</t>
  </si>
  <si>
    <t xml:space="preserve"> Полупрозрачная сорочка «Bisquella» с ажурным подолом белый L-XL</t>
  </si>
  <si>
    <t xml:space="preserve"> Полупрозрачная сорочка «Bisquella» с ажурным подолом черный S-M</t>
  </si>
  <si>
    <t xml:space="preserve"> Полупрозрачная сорочка «Bisquella» с ажурным подолом белый S-M</t>
  </si>
  <si>
    <t xml:space="preserve"> Облегающая эластичная сорочка с разрезами на чашечках черный M</t>
  </si>
  <si>
    <t xml:space="preserve"> Облегающая эластичная сорочка с разрезами на чашечках черный S</t>
  </si>
  <si>
    <t xml:space="preserve"> Облегающая эластичная сорочка с разрезами на чашечках черный L</t>
  </si>
  <si>
    <t xml:space="preserve"> Длинный пеньюар «SECRET AFFAIR» с высоким боковым разрезом черный M-L</t>
  </si>
  <si>
    <t xml:space="preserve"> Длинный пеньюар «SECRET AFFAIR» с высоким боковым разрезом черный S-M</t>
  </si>
  <si>
    <t xml:space="preserve"> Бесшовная сорочка с вырезами в стиле бандаж черный One Size</t>
  </si>
  <si>
    <t xml:space="preserve"> Бесшовная сорочка с вырезами в стиле бандаж красный One Size</t>
  </si>
  <si>
    <t xml:space="preserve"> Бесшовная сорочка с вырезами в стиле бандаж синий One Size</t>
  </si>
  <si>
    <t xml:space="preserve"> Сорочка с паттерным рисунком черный One Size</t>
  </si>
  <si>
    <t xml:space="preserve"> Сорочка из блестящего сатина на одной лямке черный One Size</t>
  </si>
  <si>
    <t xml:space="preserve"> Неглиже с серебристой вставкой черный One Size</t>
  </si>
  <si>
    <t xml:space="preserve"> Легкая сорочка со стразами черный One Size</t>
  </si>
  <si>
    <t xml:space="preserve"> Сорочка из блестящего атласа с кружевом синий L</t>
  </si>
  <si>
    <t xml:space="preserve"> Сорочка из блестящего атласа с кружевом розовый L</t>
  </si>
  <si>
    <t xml:space="preserve"> Сорочка из блестящего атласа с кружевом фиолетовый L</t>
  </si>
  <si>
    <t xml:space="preserve"> Сорочка из блестящего атласа с кружевом черный L</t>
  </si>
  <si>
    <t xml:space="preserve"> Сорочка из блестящего атласа с кружевом фиолетовый S</t>
  </si>
  <si>
    <t xml:space="preserve"> Сорочка из блестящего атласа с кружевом розовый S</t>
  </si>
  <si>
    <t xml:space="preserve"> Сорочка из блестящего атласа с кружевом черный S</t>
  </si>
  <si>
    <t xml:space="preserve"> Сорочка из блестящего атласа с кружевом синий M</t>
  </si>
  <si>
    <t xml:space="preserve"> Сорочка из блестящего атласа с кружевом розовый M</t>
  </si>
  <si>
    <t xml:space="preserve"> Сорочка из блестящего атласа с кружевом фиолетовый M</t>
  </si>
  <si>
    <t xml:space="preserve"> Сорочка из блестящего атласа с кружевом черный M</t>
  </si>
  <si>
    <t xml:space="preserve"> Ажурная сорочка-фартучек лиловый 1X-2X</t>
  </si>
  <si>
    <t xml:space="preserve"> Ажурная сорочка-фартучек черный 1X-2X</t>
  </si>
  <si>
    <t xml:space="preserve"> Откровенная сетчатая сорочка черный 1X-2X</t>
  </si>
  <si>
    <t xml:space="preserve"> Откровенная сетчатая сорочка голубой 1X-2X</t>
  </si>
  <si>
    <t xml:space="preserve"> Ажурная сорочка с глубоким декольте красный 1X-2X</t>
  </si>
  <si>
    <t xml:space="preserve"> Ажурная сорочка с глубоким декольте 1X-2X</t>
  </si>
  <si>
    <t xml:space="preserve"> Ажурная сорочка с глубоким декольте черный 1X-2X</t>
  </si>
  <si>
    <t xml:space="preserve"> Легкая сорочка с кружевным рисунком розовый 1X-2X</t>
  </si>
  <si>
    <t xml:space="preserve"> Воздушный бэби-долл из блестящего атласа розовый 1X-2X</t>
  </si>
  <si>
    <t xml:space="preserve"> Воздушный бэби-долл из блестящего атласа фиолетовый 1X-2X</t>
  </si>
  <si>
    <t xml:space="preserve"> Воздушный бэби-долл из блестящего атласа синий 1X-2X</t>
  </si>
  <si>
    <t xml:space="preserve"> Воздушный бэби-долл из блестящего атласа черный 1X-2X</t>
  </si>
  <si>
    <t xml:space="preserve"> Воздушный бэби-долл из блестящего атласа розовый 3X-4X</t>
  </si>
  <si>
    <t xml:space="preserve"> Воздушный бэби-долл из блестящего атласа фиолетовый 3X-4X</t>
  </si>
  <si>
    <t xml:space="preserve"> Воздушный бэби-долл из блестящего атласа синий 3X-4X</t>
  </si>
  <si>
    <t xml:space="preserve"> Обтягивающая сорочка на тонких бретелях розовый 1X-2X</t>
  </si>
  <si>
    <t xml:space="preserve"> Легкая сорочка со стразами черный 1X-2X</t>
  </si>
  <si>
    <t xml:space="preserve"> Фартук в мелкий горошек черный с розовым 1X-2X</t>
  </si>
  <si>
    <t xml:space="preserve"> Неглиже с серебристой вставкой черный с серебристым 1X-2X</t>
  </si>
  <si>
    <t xml:space="preserve"> Бэби-долл с полупрозрачным кружевом синий M</t>
  </si>
  <si>
    <t xml:space="preserve"> Бэби-долл с полупрозрачным кружевом синий L</t>
  </si>
  <si>
    <t xml:space="preserve"> Бэби-долл с полупрозрачным кружевом синий василек S</t>
  </si>
  <si>
    <t xml:space="preserve"> Бэби-долл с полупрозрачным кружевом синий василек XL</t>
  </si>
  <si>
    <t xml:space="preserve"> Бэби-долл с изумрудным лифом зеленый с черным XL</t>
  </si>
  <si>
    <t xml:space="preserve"> Бэби-долл с изумрудным лифом зеленый с черным S</t>
  </si>
  <si>
    <t xml:space="preserve"> Бэби-долл с изумрудным лифом зеленый с черным L</t>
  </si>
  <si>
    <t xml:space="preserve"> Бэби-долл с изумрудным лифом зеленый с черным M</t>
  </si>
  <si>
    <t xml:space="preserve"> Полупрозрачная сорочка с лифом пуш-ап зеленый с черным M</t>
  </si>
  <si>
    <t xml:space="preserve"> Полупрозрачная сорочка с лифом пуш-ап зеленый с черным L</t>
  </si>
  <si>
    <t xml:space="preserve"> Полупрозрачная сорочка с лифом пуш-ап зеленый с черным S</t>
  </si>
  <si>
    <t xml:space="preserve"> Полупрозрачная сорочка с лифом пуш-ап зеленый с черным XL</t>
  </si>
  <si>
    <t xml:space="preserve"> Красивая сорочка «BLACK DOT» со вставкой в мелкий горох красный с черным XL</t>
  </si>
  <si>
    <t xml:space="preserve"> Красивая сорочка «BLACK DOT» со вставкой в мелкий горох красный с черным S</t>
  </si>
  <si>
    <t xml:space="preserve"> Красивая сорочка «BLACK DOT» со вставкой в мелкий горох красный с черным L</t>
  </si>
  <si>
    <t xml:space="preserve"> Красивая сорочка «BLACK DOT» со вставкой в мелкий горох красный с черным M</t>
  </si>
  <si>
    <t xml:space="preserve"> Бэби-долл с черным кружевом фиолетовый с черным M</t>
  </si>
  <si>
    <t xml:space="preserve"> Бэби-долл с черным кружевом фиолетовый с черным S</t>
  </si>
  <si>
    <t xml:space="preserve"> Бэби-долл с черным кружевом фиолетовый с черным L</t>
  </si>
  <si>
    <t xml:space="preserve"> Бэби-долл с черным кружевом фиолетовый с черным XL</t>
  </si>
  <si>
    <t xml:space="preserve"> Бэби-долл с черной кружевной отделкой сиреневый с черным S</t>
  </si>
  <si>
    <t xml:space="preserve"> Бэби-долл с черной кружевной отделкой сиреневый с черным L</t>
  </si>
  <si>
    <t xml:space="preserve"> Бэби-долл с черной кружевной отделкой сиреневый с черным M</t>
  </si>
  <si>
    <t xml:space="preserve"> Приталенное платье с леопардовыми вставками черный с леопардовым M</t>
  </si>
  <si>
    <t xml:space="preserve"> Приталенное платье с леопардовыми вставками черный с леопардовым L</t>
  </si>
  <si>
    <t xml:space="preserve"> Приталенное платье с леопардовыми вставками черный с леопардовым S</t>
  </si>
  <si>
    <t xml:space="preserve"> Сорочка с кружевной спиной и контрастной вставкой «TERRACOTTAS» бежевый S</t>
  </si>
  <si>
    <t xml:space="preserve"> Сорочка с кружевной спиной и контрастной вставкой «TERRACOTTAS» бежевый L</t>
  </si>
  <si>
    <t xml:space="preserve"> Сорочка с кружевной спиной и контрастной вставкой «TERRACOTTAS» бежевый M</t>
  </si>
  <si>
    <t xml:space="preserve"> Легкая бэби-долл с кружевной отделкой черный L</t>
  </si>
  <si>
    <t xml:space="preserve"> Легкая бэби-долл с кружевной отделкой черный S</t>
  </si>
  <si>
    <t xml:space="preserve"> Легкая бэби-долл с кружевной отделкой черный M</t>
  </si>
  <si>
    <t xml:space="preserve"> Элегентная сорочка «Imperia» c нежным кружевом черный S-M</t>
  </si>
  <si>
    <t xml:space="preserve"> Элегентная сорочка «Imperia» c нежным кружевом розовый с черным S-M</t>
  </si>
  <si>
    <t xml:space="preserve"> Элегентная сорочка «Imperia» c нежным кружевом белый S-M</t>
  </si>
  <si>
    <t xml:space="preserve"> Элегентная сорочка «Imperia» c нежным кружевом белый L-XL</t>
  </si>
  <si>
    <t xml:space="preserve"> Элегентная сорочка «Imperia» c нежным кружевом розовый с черным L-XL</t>
  </si>
  <si>
    <t xml:space="preserve"> Элегентная сорочка «Imperia» c нежным кружевом черный L-XL</t>
  </si>
  <si>
    <t xml:space="preserve"> Элегантный беби-долл «Calypso» с игривым бантом красный L-XL</t>
  </si>
  <si>
    <t xml:space="preserve"> Элегантный беби-долл «Calypso» с игривым бантом красный S-M</t>
  </si>
  <si>
    <t xml:space="preserve"> Сорочка с паттерным рисунком черный 1X-2X</t>
  </si>
  <si>
    <t xml:space="preserve"> Атласная сорочка «Secred» с кружевной отделкой красный L-XL</t>
  </si>
  <si>
    <t xml:space="preserve"> Атласная сорочка «Secred» с кружевной отделкой красный S-M</t>
  </si>
  <si>
    <t xml:space="preserve"> Атласная сорочка «Roseberry» розовый S-M</t>
  </si>
  <si>
    <t xml:space="preserve"> Атласная сорочка «Roseberry» розовый L-XL</t>
  </si>
  <si>
    <t xml:space="preserve"> Гипюровая сорочка с завязками на груди красный 1X-2X</t>
  </si>
  <si>
    <t xml:space="preserve"> Сорочка на тонких бретельках с асимметричным подолом черный One Size</t>
  </si>
  <si>
    <t xml:space="preserve"> Беби-долл «Intensa» с игривыми лямками черный S-M</t>
  </si>
  <si>
    <t xml:space="preserve"> Беби-долл «Intensa» с игривыми лямками черный L-XL</t>
  </si>
  <si>
    <t xml:space="preserve"> Ажурная сорочка «Charms» с разрезом черный L-XL</t>
  </si>
  <si>
    <t xml:space="preserve"> Ажурная сорочка «Charms» с разрезом белый L-XL</t>
  </si>
  <si>
    <t xml:space="preserve"> Ажурная сорочка «Charms» с разрезом черный S-M</t>
  </si>
  <si>
    <t xml:space="preserve"> Ажурная сорочка «Charms» с разрезом белый S-M</t>
  </si>
  <si>
    <t xml:space="preserve"> Длинная сорочка с кружевным лифом черный M</t>
  </si>
  <si>
    <t xml:space="preserve"> Длинная сорочка с кружевным лифом черный S</t>
  </si>
  <si>
    <t xml:space="preserve"> Длинная сорочка с кружевным лифом черный L</t>
  </si>
  <si>
    <t xml:space="preserve"> Полупрозрачный беби-долл с широкой полосой и кружевной отделкой черный One Size</t>
  </si>
  <si>
    <t xml:space="preserve"> Полупрозрачный беби-долл с широкой полосой и кружевной отделкой черный 1X-2X</t>
  </si>
  <si>
    <t xml:space="preserve"> Сетчатая сорочка с длинными рукавами черный One Size</t>
  </si>
  <si>
    <t xml:space="preserve"> Полупрозрачный беби-долл с корсетными линиями фиолетовый 1X-2X</t>
  </si>
  <si>
    <t xml:space="preserve"> Облегающая жаккардовая сорочка черный One Size</t>
  </si>
  <si>
    <t xml:space="preserve"> Cорочка «Carmelove» с ажурной отделкой телесный S-M</t>
  </si>
  <si>
    <t xml:space="preserve"> Cорочка «Carmelove» с ажурной отделкой телесный L-XL</t>
  </si>
  <si>
    <t xml:space="preserve"> Сорочка «Carmel» с полупрозрачной кружевной вставкой на лифе белый S-M</t>
  </si>
  <si>
    <t xml:space="preserve"> Сорочка «Carmel» с полупрозрачной кружевной вставкой на лифе белый XXL-XXXL</t>
  </si>
  <si>
    <t xml:space="preserve"> Сорочка «Carmel» с полупрозрачной кружевной вставкой на лифе белый L-XL</t>
  </si>
  <si>
    <t xml:space="preserve"> Очаровательная сорочка «Joop» с дымчатым кружевом мятный L-XL</t>
  </si>
  <si>
    <t xml:space="preserve"> Очаровательная сорочка «Joop» с дымчатым кружевом мятный XXL-XXXL</t>
  </si>
  <si>
    <t xml:space="preserve"> Очаровательная сорочка «Joop» с дымчатым кружевом мятный S-M</t>
  </si>
  <si>
    <t xml:space="preserve"> Cорочка «Bisquitta» с полуоткрытой грудью черный L-XL</t>
  </si>
  <si>
    <t xml:space="preserve"> Cорочка «Bisquitta» с полуоткрытой грудью белый L-XL</t>
  </si>
  <si>
    <t xml:space="preserve"> Cорочка «Bisquitta» с полуоткрытой грудью черный S-M</t>
  </si>
  <si>
    <t xml:space="preserve"> Cорочка «Bisquitta» с полуоткрытой грудью белый S-M</t>
  </si>
  <si>
    <t xml:space="preserve"> Прозрачная сорочка «Caroline» с атласным лифом черный S-M</t>
  </si>
  <si>
    <t xml:space="preserve"> Прозрачная сорочка «Caroline» с атласным лифом черный L-XL</t>
  </si>
  <si>
    <t xml:space="preserve"> Прозрачная сорочка «Brasiliana» черный XXL-XXXL</t>
  </si>
  <si>
    <t xml:space="preserve"> Прозрачная сорочка «Brasiliana» черный 6X-7X</t>
  </si>
  <si>
    <t xml:space="preserve"> Прозрачная сорочка «Brasiliana» черный 4X-5X</t>
  </si>
  <si>
    <t xml:space="preserve"> Прозрачный пеньюар «Brasiliana» черный 4X-5X</t>
  </si>
  <si>
    <t xml:space="preserve"> Прозрачный пеньюар «Brasiliana» черный 6X-7X</t>
  </si>
  <si>
    <t xml:space="preserve"> Прозрачный пеньюар «Brasiliana» черный XXL-XXXL</t>
  </si>
  <si>
    <t xml:space="preserve"> Прозрачный пеньюар «Brasiliana» черный L-XL</t>
  </si>
  <si>
    <t xml:space="preserve"> Прозрачный пеньюар «Brasiliana» черный S-M</t>
  </si>
  <si>
    <t xml:space="preserve"> Полупрозрачная сорочка «Timea» с приспущенными рукавчиками черный S-M</t>
  </si>
  <si>
    <t xml:space="preserve"> Полупрозрачная сорочка «Timea» с приспущенными рукавчиками черный L-XL</t>
  </si>
  <si>
    <t xml:space="preserve"> Сорочка «Angie» с кружевными вставками белый XXL-XXXL</t>
  </si>
  <si>
    <t xml:space="preserve"> Сорочка «Angie» с кружевными вставками белый L-XL</t>
  </si>
  <si>
    <t xml:space="preserve"> Сорочка «Angie» с кружевными вставками белый S-M</t>
  </si>
  <si>
    <t xml:space="preserve"> Обтягивающий беби-долл «Ava» с кружевом по лифу белый S-M</t>
  </si>
  <si>
    <t xml:space="preserve"> Обтягивающий беби-долл «Ava» с кружевом по лифу белый L-XL</t>
  </si>
  <si>
    <t xml:space="preserve"> Обтягивающий беби-долл «Ava» с кружевом по лифу белый XXL-XXXL</t>
  </si>
  <si>
    <t xml:space="preserve"> Сорочка с треугольными чашечками «Castilla» розовый L-XL</t>
  </si>
  <si>
    <t xml:space="preserve"> Сорочка с треугольными чашечками «Castilla» розовый S-M</t>
  </si>
  <si>
    <t xml:space="preserve"> Комбинация «Caprice» с рюшевой оборкой по линии декольте черный S</t>
  </si>
  <si>
    <t xml:space="preserve"> Комбинация «Caprice» с рюшевой оборкой по линии декольте черный L</t>
  </si>
  <si>
    <t xml:space="preserve"> Комбинация «Caprice» с рюшевой оборкой по линии декольте черный XL</t>
  </si>
  <si>
    <t xml:space="preserve"> Комбинация «Indiana» с пажами для чулок черный с красным XL</t>
  </si>
  <si>
    <t xml:space="preserve"> Комбинация «Indiana» с пажами для чулок черный с красным L</t>
  </si>
  <si>
    <t xml:space="preserve"> Комбинация «Indiana» с пажами для чулок черный с красным S</t>
  </si>
  <si>
    <t xml:space="preserve"> Комбинация «Indiana» с пажами для чулок черный с красным M</t>
  </si>
  <si>
    <t xml:space="preserve"> Полупрозрачная кружевная комбинация «Innocence» с атласным бантом черный M</t>
  </si>
  <si>
    <t xml:space="preserve"> Полупрозрачная кружевная комбинация «Innocence» с атласным бантом черный S</t>
  </si>
  <si>
    <t xml:space="preserve"> Полупрозрачная кружевная комбинация «Innocence» с атласным бантом черный L</t>
  </si>
  <si>
    <t xml:space="preserve"> Полупрозрачная комбинация «Kaylee» с открытыми чашками лифа белый L</t>
  </si>
  <si>
    <t xml:space="preserve"> Полупрозрачная комбинация «Kaylee» с открытыми чашками лифа белый S</t>
  </si>
  <si>
    <t xml:space="preserve"> Полупрозрачная комбинация «Kaylee» с открытыми чашками лифа белый XL</t>
  </si>
  <si>
    <t xml:space="preserve"> Полупрозрачная комбинация «Kaylee» с открытыми чашками лифа белый M</t>
  </si>
  <si>
    <t xml:space="preserve"> Комбинация «Isida» с рюшевой отделкой и кружевным лифом черный M</t>
  </si>
  <si>
    <t xml:space="preserve"> Комбинация «Isida» с рюшевой отделкой и кружевным лифом черный XL</t>
  </si>
  <si>
    <t xml:space="preserve"> Комбинация «Isida» с рюшевой отделкой и кружевным лифом черный S</t>
  </si>
  <si>
    <t xml:space="preserve"> Комбинация «Isida» с рюшевой отделкой и кружевным лифом черный L</t>
  </si>
  <si>
    <t xml:space="preserve"> Полупрозрачная кружевная сорочка «Mila» с треугольными чашечками лифа черный с розовым L</t>
  </si>
  <si>
    <t xml:space="preserve"> Полупрозрачная кружевная сорочка «Mila» с треугольными чашечками лифа черный с розовым S</t>
  </si>
  <si>
    <t xml:space="preserve"> Полупрозрачная кружевная сорочка «Mila» с треугольными чашечками лифа черный с розовым M</t>
  </si>
  <si>
    <t xml:space="preserve"> Сорочка «Sasha» с широким кружевом по подолу черный M</t>
  </si>
  <si>
    <t xml:space="preserve"> Сорочка «Sasha» с широким кружевом по подолу черный S</t>
  </si>
  <si>
    <t xml:space="preserve"> Сорочка «Sasha» с широким кружевом по подолу черный L</t>
  </si>
  <si>
    <t xml:space="preserve"> Сорочка «Seduce Me» с рюшевой оторочкой черный L</t>
  </si>
  <si>
    <t xml:space="preserve"> Сорочка «Seduce Me» с рюшевой оторочкой черный S</t>
  </si>
  <si>
    <t xml:space="preserve"> Сорочка «Seduce Me» с рюшевой оторочкой черный M</t>
  </si>
  <si>
    <t xml:space="preserve"> Сорочка «Sienna» в горошек с металлическими кольцами на лифе красный M</t>
  </si>
  <si>
    <t xml:space="preserve"> Сорочка «Sienna» в горошек с металлическими кольцами на лифе красный S</t>
  </si>
  <si>
    <t xml:space="preserve"> Сорочка «Sienna» в горошек с металлическими кольцами на лифе красный L</t>
  </si>
  <si>
    <t xml:space="preserve"> Сорочка «Sienna» в горошек с металлическими кольцами на лифе красный XL</t>
  </si>
  <si>
    <t xml:space="preserve"> Облегающая сорочка «Splash» с кружевным лифом и атласной вставкой черный XL</t>
  </si>
  <si>
    <t xml:space="preserve"> Облегающая сорочка «Splash» с кружевным лифом и атласной вставкой черный L</t>
  </si>
  <si>
    <t xml:space="preserve"> Облегающая сорочка «Splash» с кружевным лифом и атласной вставкой черный S</t>
  </si>
  <si>
    <t xml:space="preserve"> Облегающая сорочка «Splash» с кружевным лифом и атласной вставкой черный M</t>
  </si>
  <si>
    <t xml:space="preserve"> Полупрозрачная сорочка «Tigra» с открытой спинкой черный M</t>
  </si>
  <si>
    <t xml:space="preserve"> Полупрозрачная сорочка «Tigra» с открытой спинкой черный S</t>
  </si>
  <si>
    <t xml:space="preserve"> Полупрозрачная сорочка «Tigra» с открытой спинкой черный L</t>
  </si>
  <si>
    <t xml:space="preserve"> Полупрозрачная сорочка «Tigra» с открытой спинкой черный XL</t>
  </si>
  <si>
    <t xml:space="preserve"> Открытая сорочка «Wild Nymph» с цепочкой из кристаллов черный XL</t>
  </si>
  <si>
    <t xml:space="preserve"> Открытая сорочка «Wild Nymph» с цепочкой из кристаллов черный L</t>
  </si>
  <si>
    <t xml:space="preserve"> Открытая сорочка «Wild Nymph» с цепочкой из кристаллов черный S</t>
  </si>
  <si>
    <t xml:space="preserve"> Открытая сорочка «Wild Nymph» с цепочкой из кристаллов черный M</t>
  </si>
  <si>
    <t xml:space="preserve"> Сорочка в крупную сетку с тройными бретелями черный One Size</t>
  </si>
  <si>
    <t xml:space="preserve"> Сетчатая сорочка с вырезом-каплей черный One Size</t>
  </si>
  <si>
    <t xml:space="preserve"> Элегантная сорочка «Empressia» черный S-M</t>
  </si>
  <si>
    <t xml:space="preserve"> Элегантная сорочка «Empressia» черный L-XL</t>
  </si>
  <si>
    <t xml:space="preserve"> Сатиновая сорочка «Lelia» белый L-XL</t>
  </si>
  <si>
    <t xml:space="preserve"> Сатиновая сорочка «Lelia» белый S-M</t>
  </si>
  <si>
    <t xml:space="preserve"> Облегающая жаккардовая сорочка черный 1X-2X</t>
  </si>
  <si>
    <t xml:space="preserve"> Полупрозрачная сорочка с контрастными линиями телесный 1X-2X</t>
  </si>
  <si>
    <t xml:space="preserve"> Полупрозрачный беби-долл с корсетными линиями фиолетовый One Size</t>
  </si>
  <si>
    <t xml:space="preserve"> Неглиже с вырезами под лифом бежевый One Size</t>
  </si>
  <si>
    <t xml:space="preserve"> Сетчатая сорочка с открытой спиной черный 1X-2X</t>
  </si>
  <si>
    <t xml:space="preserve"> Полупрозрачная сорочка с контрастными линиями телесный One Size</t>
  </si>
  <si>
    <t xml:space="preserve"> Неглиже с вырезами под лифом бежевый 1X-2X</t>
  </si>
  <si>
    <t xml:space="preserve"> Сорочка «Силия» с глубоким вырезом черный M</t>
  </si>
  <si>
    <t xml:space="preserve"> Сорочка «Силия» с глубоким вырезом черный S</t>
  </si>
  <si>
    <t xml:space="preserve"> Сорочка «Силия» с глубоким вырезом черный L</t>
  </si>
  <si>
    <t xml:space="preserve"> Черная кружевная сорочка «Christelle» белый M-L</t>
  </si>
  <si>
    <t xml:space="preserve"> Черная кружевная сорочка «Christelle» черный S-M</t>
  </si>
  <si>
    <t xml:space="preserve"> Черная кружевная сорочка «Christelle» белый S-M</t>
  </si>
  <si>
    <t xml:space="preserve"> Черная кружевная сорочка «Christelle» черный M-L</t>
  </si>
  <si>
    <t xml:space="preserve"> Облегающая сорочка Creda с нежным кружевом кремовый S-M</t>
  </si>
  <si>
    <t xml:space="preserve"> Сорочка Zahara с полупрозрачными кружевными элементами черный S-M</t>
  </si>
  <si>
    <t xml:space="preserve"> Облегающая сорочка Kalia с бабочками на кружеве черный S-M</t>
  </si>
  <si>
    <t xml:space="preserve"> Серебристая сорочка Avena с кружевной оторочкой серебро S-M</t>
  </si>
  <si>
    <t xml:space="preserve"> Прелестная сорочка «Nikki» с открытой спиной черный S-M</t>
  </si>
  <si>
    <t xml:space="preserve"> Прелестная сорочка «Nikki» с открытой спиной черный M-L</t>
  </si>
  <si>
    <t xml:space="preserve"> Нежная сорочка «Rosie» с кружевами персиковый S-M</t>
  </si>
  <si>
    <t xml:space="preserve"> Нежная сорочка «Rosie» с кружевами персиковый M-L</t>
  </si>
  <si>
    <t xml:space="preserve"> Сорочка «Sharlote» на тонких бретелях черный S-M</t>
  </si>
  <si>
    <t xml:space="preserve"> Сорочка «Sharlote» на тонких бретелях черный M-L</t>
  </si>
  <si>
    <t xml:space="preserve"> Облегающая сорочка Fibi с V-образной кружевной вставкой бежевый L-XL</t>
  </si>
  <si>
    <t xml:space="preserve"> Облегающая сорочка Fibi с V-образной кружевной вставкой бежевый S-M</t>
  </si>
  <si>
    <t xml:space="preserve"> Полупрозрачная сорочка Celia черный с красным S-M</t>
  </si>
  <si>
    <t xml:space="preserve"> Полупрозрачная сорочка Celia черный S-M</t>
  </si>
  <si>
    <t xml:space="preserve"> Полупрозрачная сорочка Celia черный с красным L-XL</t>
  </si>
  <si>
    <t xml:space="preserve"> Полупрозрачная сорочка Celia черный L-XL</t>
  </si>
  <si>
    <t xml:space="preserve"> Кружевная сорочка Daiva на тонких бретелях черный S-M</t>
  </si>
  <si>
    <t xml:space="preserve"> Кружевная сорочка Daiva на тонких бретелях белый S-M</t>
  </si>
  <si>
    <t xml:space="preserve"> Кружевная сорочка Daiva на тонких бретелях черный L-XL</t>
  </si>
  <si>
    <t xml:space="preserve"> Кружевная сорочка Daiva на тонких бретелях белый L-XL</t>
  </si>
  <si>
    <t xml:space="preserve"> Полупрозрачная сорочка Lasedi с разрезом от лифа черный L-XL</t>
  </si>
  <si>
    <t xml:space="preserve"> Полупрозрачная сорочка Lasedi с разрезом от лифа черный S-M</t>
  </si>
  <si>
    <t xml:space="preserve"> Полупрозрачная сорочка Vasper со сборками и шнуровками черный S-M</t>
  </si>
  <si>
    <t xml:space="preserve"> Полупрозрачная сорочка Vasper со сборками и шнуровками черный L-XL</t>
  </si>
  <si>
    <t xml:space="preserve"> Коротенькая сорочка Tyrone с ажурным лифом черный L-XL</t>
  </si>
  <si>
    <t xml:space="preserve"> Коротенькая сорочка Tyrone с ажурным лифом черный S-M</t>
  </si>
  <si>
    <t xml:space="preserve"> Двухслойная комбинация Gillian черный с голубым M</t>
  </si>
  <si>
    <t xml:space="preserve"> Двухслойная комбинация Gillian черный с голубым S</t>
  </si>
  <si>
    <t xml:space="preserve"> Двухслойная комбинация Gillian черный с голубым L</t>
  </si>
  <si>
    <t xml:space="preserve"> Кружевная сорочка «Ursula» с глубоким декольте черный M-L</t>
  </si>
  <si>
    <t xml:space="preserve"> Кружевная сорочка «Ursula» с глубоким декольте черный S-M</t>
  </si>
  <si>
    <t xml:space="preserve"> Кружевная сорочка «Ursula» с глубоким декольте белый M-L</t>
  </si>
  <si>
    <t xml:space="preserve"> Кружевная сорочка «Ursula» с глубоким декольте белый S-M</t>
  </si>
  <si>
    <t xml:space="preserve"> Облегающая сорочка «Auroria» с кружевами синий L-XL</t>
  </si>
  <si>
    <t xml:space="preserve"> Облегающая сорочка «Auroria» с кружевами синий S-M</t>
  </si>
  <si>
    <t xml:space="preserve"> Роскошный бэби-долл Auroria со шнуровкой на лифе синий L-XL</t>
  </si>
  <si>
    <t xml:space="preserve"> Роскошный бэби-долл Auroria со шнуровкой на лифе синий S-M</t>
  </si>
  <si>
    <t xml:space="preserve"> Чувственная сорочка бэби-долл «Roseberry» с бантом на лифе черный с розовым S-M</t>
  </si>
  <si>
    <t xml:space="preserve"> Чувственная сорочка бэби-долл «Roseberry» с бантом на лифе черный с розовым L-XL</t>
  </si>
  <si>
    <t xml:space="preserve"> Полупрозрачный двухслойный бэби-долл «Brilliance» с трусиками черный One Size</t>
  </si>
  <si>
    <t xml:space="preserve"> Роскошная сорочка Gill с двухцветным лифом красный S-M</t>
  </si>
  <si>
    <t xml:space="preserve"> Роскошная сорочка Gill с двухцветным лифом красный L-XL</t>
  </si>
  <si>
    <t xml:space="preserve"> Кружевной пеньюар «Jessie» с короткими рукавчиками черный S-M</t>
  </si>
  <si>
    <t xml:space="preserve"> Кружевной пеньюар «Jessie» с короткими рукавчиками черный L-XL</t>
  </si>
  <si>
    <t xml:space="preserve"> Облегающая сорочка «Martina» со стрелочкой от лифа бежевый S-M</t>
  </si>
  <si>
    <t xml:space="preserve"> Облегающая сорочка «Martina» со стрелочкой от лифа бежевый L-XL</t>
  </si>
  <si>
    <t xml:space="preserve"> Сорочка «Monica» с приспущенными рукавчиками белый S-M</t>
  </si>
  <si>
    <t xml:space="preserve"> Сорочка «Monica» с приспущенными рукавчиками черный S-M</t>
  </si>
  <si>
    <t xml:space="preserve"> Сорочка «Monica» с приспущенными рукавчиками белый M-L</t>
  </si>
  <si>
    <t xml:space="preserve"> Сорочка «Monica» с приспущенными рукавчиками черный M-L</t>
  </si>
  <si>
    <t xml:space="preserve"> Облегающая сорочка «Kate» с пажами и скрещенными на груди бретелями белый M-L</t>
  </si>
  <si>
    <t xml:space="preserve"> Облегающая сорочка «Kate» с пажами и скрещенными на груди бретелями черный S-M</t>
  </si>
  <si>
    <t xml:space="preserve"> Облегающая сорочка «Kate» с пажами и скрещенными на груди бретелями белый S-M</t>
  </si>
  <si>
    <t xml:space="preserve"> Облегающая сорочка «Kate» с пажами и скрещенными на груди бретелями черный M-L</t>
  </si>
  <si>
    <t xml:space="preserve"> Ажурная сорочка «Grace» с лифом на косточках, рюшами и оборками белый M</t>
  </si>
  <si>
    <t xml:space="preserve"> Ажурная сорочка «Grace» с лифом на косточках, рюшами и оборками черный M</t>
  </si>
  <si>
    <t xml:space="preserve"> Ажурная сорочка «Grace» с лифом на косточках, рюшами и оборками черный S</t>
  </si>
  <si>
    <t xml:space="preserve"> Ажурная сорочка «Grace» с лифом на косточках, рюшами и оборками белый S</t>
  </si>
  <si>
    <t xml:space="preserve"> Ажурная сорочка «Grace» с лифом на косточках, рюшами и оборками черный L</t>
  </si>
  <si>
    <t xml:space="preserve"> Ажурная сорочка «Grace» с лифом на косточках, рюшами и оборками белый L</t>
  </si>
  <si>
    <t xml:space="preserve"> Коротенькая сорочка с леопардовой вставкой черный One Size</t>
  </si>
  <si>
    <t xml:space="preserve"> Коротенькая сорочка с леопардовой вставкой красный One Size</t>
  </si>
  <si>
    <t xml:space="preserve"> Яркая сорочка с открытым животиком красный с белым One Size</t>
  </si>
  <si>
    <t xml:space="preserve"> Роскошная сорочка с кружевной отделкой черный M</t>
  </si>
  <si>
    <t xml:space="preserve"> Роскошная сорочка с кружевной отделкой черный L</t>
  </si>
  <si>
    <t xml:space="preserve"> Роскошная сорочка с кружевной отделкой черный S</t>
  </si>
  <si>
    <t xml:space="preserve"> Сорочка в новогоднем стиле красный с белым M</t>
  </si>
  <si>
    <t xml:space="preserve"> Сорочка в новогоднем стиле красный с белым S</t>
  </si>
  <si>
    <t xml:space="preserve"> Сорочка в новогоднем стиле красный с белым L</t>
  </si>
  <si>
    <t xml:space="preserve"> Элегантная сорочка Lanka с прозрачными вставками черный S-M</t>
  </si>
  <si>
    <t xml:space="preserve"> Элегантная сорочка Lanka с прозрачными вставками черный L-XL</t>
  </si>
  <si>
    <t xml:space="preserve"> Кружевная сорочка с атласной вставкой спереди черный с розовым M</t>
  </si>
  <si>
    <t xml:space="preserve"> Кружевная сорочка с атласной вставкой спереди черный с розовым L</t>
  </si>
  <si>
    <t xml:space="preserve"> Кружевная сорочка с атласной вставкой спереди черный с розовым S</t>
  </si>
  <si>
    <t xml:space="preserve"> Кружевное неглиже с имитацией шнуровки фиолетовый S</t>
  </si>
  <si>
    <t xml:space="preserve"> Кружевное неглиже с имитацией шнуровки фиолетовый L</t>
  </si>
  <si>
    <t xml:space="preserve"> Кружевное неглиже с имитацией шнуровки фиолетовый M</t>
  </si>
  <si>
    <t xml:space="preserve"> Нежная сорочка с кружевным лифом фиолетовый 1X-2X</t>
  </si>
  <si>
    <t xml:space="preserve"> Ажурная сорочка с цветочным узором черный One Size</t>
  </si>
  <si>
    <t xml:space="preserve"> Двухсторонняя комбинация с кружевным лифом синий 1X-2X</t>
  </si>
  <si>
    <t xml:space="preserve"> Комплект из полупрозрачного беби-долла и трусиков розовый One Size</t>
  </si>
  <si>
    <t xml:space="preserve"> Полупрозрачная комбинация с кружевным лифом и полуоткрытой спинкой белый One Size</t>
  </si>
  <si>
    <t xml:space="preserve"> Элегантный бэби-долл с блестящим кружевом сиреневый с черным M</t>
  </si>
  <si>
    <t xml:space="preserve"> Элегантный бэби-долл с блестящим кружевом сиреневый с черным S</t>
  </si>
  <si>
    <t xml:space="preserve"> Элегантный бэби-долл с блестящим кружевом сиреневый с черным L</t>
  </si>
  <si>
    <t xml:space="preserve"> Кружевная сорочка в пол с разрезом черный One Size</t>
  </si>
  <si>
    <t xml:space="preserve"> Кружевная сорочка в пол с разрезом красный One Size</t>
  </si>
  <si>
    <t xml:space="preserve"> Полупрозрачная шифоновая сорочка с кружевным лифом и разрезом по ноге черный One Size</t>
  </si>
  <si>
    <t xml:space="preserve"> Полупрозрачная сорочка с кружевным лифом и открытой спиной черный 1X-2X</t>
  </si>
  <si>
    <t xml:space="preserve"> Двухсторонний бэби-долл с трусиками синий One Size</t>
  </si>
  <si>
    <t xml:space="preserve"> Нежнейшая комбинация с кружевной отделкой телесный One Size</t>
  </si>
  <si>
    <t xml:space="preserve"> Комплект из сорочки беби-долл с кружевным лифом фиолетовый One Size</t>
  </si>
  <si>
    <t xml:space="preserve"> Очаровательный пеньюар с крупными цветами черный с красным One Size</t>
  </si>
  <si>
    <t xml:space="preserve"> Беби-долл и трусики с цветочным рисунком черный One Size</t>
  </si>
  <si>
    <t xml:space="preserve"> Прелестная сорочка «Rose» с комплекте с поясом и трусиками-стринг черный M</t>
  </si>
  <si>
    <t xml:space="preserve"> Прелестная сорочка «Rose» с комплекте с поясом и трусиками-стринг красный M</t>
  </si>
  <si>
    <t xml:space="preserve"> Прелестная сорочка «Rose» с комплекте с поясом и трусиками-стринг черный S</t>
  </si>
  <si>
    <t xml:space="preserve"> Прелестная сорочка «Rose» с комплекте с поясом и трусиками-стринг красный S</t>
  </si>
  <si>
    <t xml:space="preserve"> Прелестная сорочка «Rose» с комплекте с поясом и трусиками-стринг белый S</t>
  </si>
  <si>
    <t xml:space="preserve"> Прелестная сорочка «Rose» с комплекте с поясом и трусиками-стринг красный L</t>
  </si>
  <si>
    <t xml:space="preserve"> Сорочка беби-долл «Constance» с изысканной вышивкой белый S</t>
  </si>
  <si>
    <t xml:space="preserve"> Сорочка беби-долл «Constance» с изысканной вышивкой черный S</t>
  </si>
  <si>
    <t xml:space="preserve"> Сорочка беби-долл «Constance» с изысканной вышивкой белый L</t>
  </si>
  <si>
    <t xml:space="preserve"> Сорочка беби-долл «Constance» с изысканной вышивкой черный L</t>
  </si>
  <si>
    <t xml:space="preserve"> Сорочка беби-долл «Constance» с изысканной вышивкой белый M</t>
  </si>
  <si>
    <t xml:space="preserve"> Сорочка беби-долл «Constance» с изысканной вышивкой черный M</t>
  </si>
  <si>
    <t xml:space="preserve"> Полупрозрачная сорочка «Tamara» с трусиками и подвязкой черный M</t>
  </si>
  <si>
    <t xml:space="preserve"> Полупрозрачная сорочка «Tamara» с трусиками и подвязкой черный S</t>
  </si>
  <si>
    <t xml:space="preserve"> Полупрозрачная сорочка «Tamara» с трусиками и подвязкой черный L</t>
  </si>
  <si>
    <t xml:space="preserve"> Оригинальная сорочка «Bondy» черный S-M</t>
  </si>
  <si>
    <t xml:space="preserve"> Оригинальная сорочка «Bondy» черный L-XL</t>
  </si>
  <si>
    <t xml:space="preserve"> Полупрозрачный пеньюар с кружевными рукавчиками черный S-M</t>
  </si>
  <si>
    <t xml:space="preserve"> Полупрозрачный пеньюар с кружевными рукавчиками черный L-XL</t>
  </si>
  <si>
    <t xml:space="preserve"> Полупрозрачный пеньюар «Calixte» на завязках черный L</t>
  </si>
  <si>
    <t xml:space="preserve"> Полупрозрачный пеньюар «Calixte» на завязках черный S</t>
  </si>
  <si>
    <t xml:space="preserve"> Полупрозрачный пеньюар «Calixte» на завязках черный M</t>
  </si>
  <si>
    <t xml:space="preserve"> Сорочка «Arietta» с полупрозрачными вставками черный L-XL</t>
  </si>
  <si>
    <t xml:space="preserve"> Сорочка «Arietta» с полупрозрачными вставками черный S-M</t>
  </si>
  <si>
    <t xml:space="preserve"> Сорочка Karmina с яркой вставкой спереди и вырезом на попе красный с черным S-M</t>
  </si>
  <si>
    <t xml:space="preserve"> Сорочка Karmina с яркой вставкой спереди и вырезом на попе красный с черным L-XL</t>
  </si>
  <si>
    <t xml:space="preserve"> Облегающая сорочка Irma с кружевными вставками на лифе и подоле фиолетовый L-XL</t>
  </si>
  <si>
    <t xml:space="preserve"> Облегающая сорочка Irma с кружевными вставками на лифе и подоле фиолетовый S-M</t>
  </si>
  <si>
    <t xml:space="preserve"> Сорочка Oradea с кружевными вставками по бокам и сверкающими стразиками черный S-M</t>
  </si>
  <si>
    <t xml:space="preserve"> Сорочка Oradea с кружевными вставками по бокам и сверкающими стразиками черный L-XL</t>
  </si>
  <si>
    <t xml:space="preserve"> Двухслойная струящаяся сорочка Greylita черный с серым L-XL</t>
  </si>
  <si>
    <t xml:space="preserve"> Двухслойная струящаяся сорочка Greylita черный с серым S-M</t>
  </si>
  <si>
    <t xml:space="preserve"> Нежный беби-долл Eden с кружевами голубой XXL-XXXL</t>
  </si>
  <si>
    <t xml:space="preserve"> Нежная сорочка Muna Plus Size с ажурным лифом розовый XXL-XXXL</t>
  </si>
  <si>
    <t xml:space="preserve"> Черная сорочка из кружев с обнаженной спиной черный One Size</t>
  </si>
  <si>
    <t xml:space="preserve"> Пеньюар Camelie с рукавами 3/4 черный M</t>
  </si>
  <si>
    <t xml:space="preserve"> Пеньюар Camelie с рукавами 3/4 черный S</t>
  </si>
  <si>
    <t xml:space="preserve"> Пеньюар Camelie с рукавами 3/4 черный L</t>
  </si>
  <si>
    <t xml:space="preserve"> Пеньюар Camelie с рукавами 3/4 черный XL</t>
  </si>
  <si>
    <t xml:space="preserve"> Очаровательный бэби-долл STRIPTEASE STAR черный с фиолетовым XXL</t>
  </si>
  <si>
    <t xml:space="preserve"> Очаровательный бэби-долл STRIPTEASE STAR черный с фиолетовым XXXL</t>
  </si>
  <si>
    <t xml:space="preserve"> Сорочка «Klara» с кружевным лифом и разрезом на спине черный S-M</t>
  </si>
  <si>
    <t xml:space="preserve"> Нежная сорочка «Swanita» с X-образным лифом черный S-M</t>
  </si>
  <si>
    <t xml:space="preserve"> Нежная сорочка «Swanita» с X-образным лифом белый S-M</t>
  </si>
  <si>
    <t xml:space="preserve"> Нежная сорочка «Swanita» с X-образным лифом белый L-XL</t>
  </si>
  <si>
    <t xml:space="preserve"> Нежная сорочка «Swanita» с X-образным лифом черный L-XL</t>
  </si>
  <si>
    <t xml:space="preserve"> Пеньюар «Swanita» с пояском и верхней ажурной частью черный S-M</t>
  </si>
  <si>
    <t xml:space="preserve"> Пеньюар «Swanita» с пояском и верхней ажурной частью белый S-M</t>
  </si>
  <si>
    <t xml:space="preserve"> Пеньюар «Swanita» с пояском и верхней ажурной частью белый L-XL</t>
  </si>
  <si>
    <t xml:space="preserve"> Пеньюар «Swanita» с пояском и верхней ажурной частью черный L-XL</t>
  </si>
  <si>
    <t xml:space="preserve"> Шелковистая сорочка «Satinia» на тонких бретелях серый L-XL</t>
  </si>
  <si>
    <t xml:space="preserve"> Шелковистая сорочка «Satinia» на тонких бретелях синий L-XL</t>
  </si>
  <si>
    <t xml:space="preserve"> Шелковистая сорочка «Satinia» на тонких бретелях черный S-M</t>
  </si>
  <si>
    <t xml:space="preserve"> Шелковистая сорочка «Satinia» на тонких бретелях розовый S-M</t>
  </si>
  <si>
    <t xml:space="preserve"> Шелковистая сорочка «Satinia» на тонких бретелях серый S-M</t>
  </si>
  <si>
    <t xml:space="preserve"> Шелковистая сорочка «Satinia» на тонких бретелях синий S-M</t>
  </si>
  <si>
    <t xml:space="preserve"> Шелковистая сорочка «Satinia» на тонких бретелях черный L-XL</t>
  </si>
  <si>
    <t xml:space="preserve"> Шелковистая сорочка «Satinia» на тонких бретелях розовый L-XL</t>
  </si>
  <si>
    <t xml:space="preserve"> Игривый беби-долл «Kisselent» с завязками на лифе черный L-XL</t>
  </si>
  <si>
    <t xml:space="preserve"> Игривый беби-долл «Kisselent» с завязками на лифе черный S-M</t>
  </si>
  <si>
    <t xml:space="preserve"> Облегающая сорочка с цветочным узором черный XL-XXL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</si>
  <si>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Jinglebell в новогоднем стиле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</si>
  <si>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Jinglebell в новогоднем стиле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</si>
  <si>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t xml:space="preserve"> Сорочка «Flores» из цветочного кружева с пышными оборками красный S-M</t>
  </si>
  <si>
    <t xml:space="preserve"> Сорочка «Flores» из цветочного кружева с пышными оборками черный S-M</t>
  </si>
  <si>
    <t xml:space="preserve"> Сорочка «Flores» из цветочного кружева с пышными оборками красный L-XL</t>
  </si>
  <si>
    <t xml:space="preserve"> Сорочка «Flores» из цветочного кружева с пышными оборками черный L-XL</t>
  </si>
  <si>
    <t xml:space="preserve"> Сорочка Miamor с разрезами по бокам черный L-XL</t>
  </si>
  <si>
    <t xml:space="preserve"> Сорочка Miamor с разрезами по бокам черный S-M</t>
  </si>
  <si>
    <t xml:space="preserve"> Полупрозрачная сорочка «Nicole» с полуоткрытой спинкой черный L-XL</t>
  </si>
  <si>
    <t xml:space="preserve"> Полупрозрачная сорочка «Nicole» с полуоткрытой спинкой белый L-XL</t>
  </si>
  <si>
    <t xml:space="preserve"> Полупрозрачная сорочка «Nicole» с полуоткрытой спинкой красный L-XL</t>
  </si>
  <si>
    <t xml:space="preserve"> Полупрозрачная сорочка «Nicole» с полуоткрытой спинкой черный S-M</t>
  </si>
  <si>
    <t xml:space="preserve"> Полупрозрачная сорочка «Nicole» с полуоткрытой спинкой белый S-M</t>
  </si>
  <si>
    <t xml:space="preserve"> Полупрозрачная сорочка «Nicole» с полуоткрытой спинкой красный S-M</t>
  </si>
  <si>
    <t xml:space="preserve"> Фиолетовая полупрозрачная сорочка Suella с нежным кружевом и украшением на лифе фиолетовый L-XL</t>
  </si>
  <si>
    <t xml:space="preserve"> Фиолетовая полупрозрачная сорочка Suella с нежным кружевом и украшением на лифе фиолетовый S-M</t>
  </si>
  <si>
    <t xml:space="preserve"> Двухслойная сорочка в пол «Feelia» белый L-XL</t>
  </si>
  <si>
    <t xml:space="preserve"> Двухслойная сорочка в пол «Feelia» белый S-M</t>
  </si>
  <si>
    <t xml:space="preserve"> Нежный бэби-долл с чашечками пуш-ап и трусики серый XL</t>
  </si>
  <si>
    <t xml:space="preserve"> Нежный бэби-долл с чашечками пуш-ап и трусики серый L</t>
  </si>
  <si>
    <t xml:space="preserve"> Нежный бэби-долл с чашечками пуш-ап и трусики серый S</t>
  </si>
  <si>
    <t xml:space="preserve"> Нежный бэби-долл с чашечками пуш-ап и трусики серый M</t>
  </si>
  <si>
    <t xml:space="preserve"> Бэби-долл с кружевным лифом и трусиками красный M</t>
  </si>
  <si>
    <t xml:space="preserve"> Бэби-долл с кружевным лифом и трусиками красный S</t>
  </si>
  <si>
    <t xml:space="preserve"> Бэби-долл с кружевным лифом и трусиками красный L</t>
  </si>
  <si>
    <t xml:space="preserve"> Бэби-долл с кружевным лифом и трусиками красный XL</t>
  </si>
  <si>
    <t xml:space="preserve"> Сорочка с формованной чашкой черный M</t>
  </si>
  <si>
    <t xml:space="preserve"> Сорочка с формованной чашкой черный XL</t>
  </si>
  <si>
    <t xml:space="preserve"> Сорочка с формованной чашкой черный S</t>
  </si>
  <si>
    <t xml:space="preserve"> Сорочка с формованной чашкой черный L</t>
  </si>
  <si>
    <t xml:space="preserve"> Облегающая сорочка с игривым рюшем розовый XL</t>
  </si>
  <si>
    <t xml:space="preserve"> Облегающая сорочка с игривым рюшем розовый L</t>
  </si>
  <si>
    <t xml:space="preserve"> Облегающая сорочка с игривым рюшем розовый S</t>
  </si>
  <si>
    <t xml:space="preserve"> Облегающая сорочка с игривым рюшем розовый M</t>
  </si>
  <si>
    <t xml:space="preserve"> Симпатичная сорочка в ретро-стиле черный M</t>
  </si>
  <si>
    <t xml:space="preserve"> Симпатичная сорочка в ретро-стиле черный L</t>
  </si>
  <si>
    <t xml:space="preserve"> Симпатичная сорочка в ретро-стиле черный S</t>
  </si>
  <si>
    <t xml:space="preserve"> Симпатичная сорочка в ретро-стиле черный XL</t>
  </si>
  <si>
    <t xml:space="preserve"> Струящийся бэби-долл с застежкой спереди фиолетовый M</t>
  </si>
  <si>
    <t xml:space="preserve"> Струящийся бэби-долл с застежкой спереди фиолетовый L</t>
  </si>
  <si>
    <t xml:space="preserve"> Струящийся бэби-долл с застежкой спереди фиолетовый S</t>
  </si>
  <si>
    <t xml:space="preserve"> Струящийся бэби-долл с застежкой спереди фиолетовый XL</t>
  </si>
  <si>
    <t xml:space="preserve"> Пеньюар с трусиками «Piccorosa» черный S-M</t>
  </si>
  <si>
    <t xml:space="preserve"> Пеньюар с трусиками «Piccorosa» черный L-XL</t>
  </si>
  <si>
    <t xml:space="preserve"> Игривая сорочка «Naomi» на шнуровке красный M</t>
  </si>
  <si>
    <t xml:space="preserve"> Игривая сорочка «Naomi» на шнуровке белый M</t>
  </si>
  <si>
    <t xml:space="preserve"> Игривая сорочка «Naomi» на шнуровке белый XL</t>
  </si>
  <si>
    <t xml:space="preserve"> Игривая сорочка «Naomi» на шнуровке красный XL</t>
  </si>
  <si>
    <t xml:space="preserve"> Игривая сорочка «Naomi» на шнуровке красный L</t>
  </si>
  <si>
    <t xml:space="preserve"> Игривая сорочка «Naomi» на шнуровке белый L</t>
  </si>
  <si>
    <t xml:space="preserve"> Игривая сорочка «Naomi» на шнуровке белый S</t>
  </si>
  <si>
    <t xml:space="preserve"> Игривая сорочка «Naomi» на шнуровке красный S</t>
  </si>
  <si>
    <t xml:space="preserve"> Сорочка Aimee с Т-образной контрастной вставкой и пажами черный с розовым S</t>
  </si>
  <si>
    <t xml:space="preserve"> Сорочка Aimee с Т-образной контрастной вставкой и пажами черный с розовым L</t>
  </si>
  <si>
    <t xml:space="preserve"> Сорочка Aimee с Т-образной контрастной вставкой и пажами черный с розовым XL</t>
  </si>
  <si>
    <t xml:space="preserve"> Сорочка Aimee с Т-образной контрастной вставкой и пажами черный с розовым M</t>
  </si>
  <si>
    <t xml:space="preserve"> Коротенький пеньюар Lovan с удлинёнными рукавчиками белый M</t>
  </si>
  <si>
    <t xml:space="preserve"> Коротенький пеньюар Lovan с удлинёнными рукавчиками белый XL</t>
  </si>
  <si>
    <t xml:space="preserve"> Коротенький пеньюар Lovan с удлинёнными рукавчиками белый L</t>
  </si>
  <si>
    <t xml:space="preserve"> Коротенький пеньюар Lovan с удлинёнными рукавчиками белый S</t>
  </si>
  <si>
    <t xml:space="preserve"> Сорочка «Linden» с рюшечками черный с розовым XL</t>
  </si>
  <si>
    <t xml:space="preserve"> Сорочка «Linden» с рюшечками черный XXL</t>
  </si>
  <si>
    <t xml:space="preserve"> Сорочка «Linden» с рюшечками черный с розовым 5X-6X</t>
  </si>
  <si>
    <t xml:space="preserve"> Облегающая сорочка Enfia с кружевными вставками черный 5X-6X</t>
  </si>
  <si>
    <t xml:space="preserve"> Облегающая сорочка Enfia с кружевными вставками черный 1X-2X</t>
  </si>
  <si>
    <t xml:space="preserve"> Облегающая сорочка Enfia с кружевными вставками черный 3X-4X</t>
  </si>
  <si>
    <t xml:space="preserve"> Сорочка «Foli» с изысканной вышивкой на лифе и трусиках черный 5X-6X</t>
  </si>
  <si>
    <t xml:space="preserve"> Сорочка «Foli» с изысканной вышивкой на лифе и трусиках черный XXL</t>
  </si>
  <si>
    <t xml:space="preserve"> Сорочка «Foli» с изысканной вышивкой на лифе и трусиках черный XL</t>
  </si>
  <si>
    <t xml:space="preserve"> Пеньюар «Izis» из полупрозрачного материала и стринги черный XXL</t>
  </si>
  <si>
    <t xml:space="preserve"> Пеньюар «Izis» из полупрозрачного материала и стринги черный XXXL</t>
  </si>
  <si>
    <t xml:space="preserve"> Пеньюар «Izis» из полупрозрачного материала и стринги черный XL</t>
  </si>
  <si>
    <t xml:space="preserve"> Ночная сорочка «Cornel» с бантом черный с красным XL</t>
  </si>
  <si>
    <t xml:space="preserve"> Ночная сорочка «Cornel» с бантом черный с красным XXL</t>
  </si>
  <si>
    <t xml:space="preserve"> Ночная сорочка «Cornel» с бантом черный с красным XXXL</t>
  </si>
  <si>
    <t xml:space="preserve"> Ночная сорочка «Cornel» с бантом черный с красным 4X</t>
  </si>
  <si>
    <t xml:space="preserve"> Ночная сорочка «Cornel» с бантом черный с красным 5X</t>
  </si>
  <si>
    <t xml:space="preserve"> Кружевная сорочка «Cloe» черный 5X</t>
  </si>
  <si>
    <t xml:space="preserve"> Кружевная сорочка «Cloe» черный 4X</t>
  </si>
  <si>
    <t xml:space="preserve"> Кружевная сорочка «Cloe» черный 1X</t>
  </si>
  <si>
    <t xml:space="preserve"> Кружевная сорочка «Cloe» черный 2X</t>
  </si>
  <si>
    <t xml:space="preserve"> Кружевная сорочка «Cloe» черный 3X</t>
  </si>
  <si>
    <t xml:space="preserve"> Ночная сорочка «Laura» с кружевными вставками белый 5X</t>
  </si>
  <si>
    <t xml:space="preserve"> Ночная сорочка «Laura» с кружевными вставками черный 3X</t>
  </si>
  <si>
    <t xml:space="preserve"> Ночная сорочка «Laura» с кружевными вставками черный 4X</t>
  </si>
  <si>
    <t xml:space="preserve"> Ночная сорочка «Laura» с кружевными вставками черный 5X</t>
  </si>
  <si>
    <t xml:space="preserve"> Ночная сорочка «Laura» с кружевными вставками белый 2X</t>
  </si>
  <si>
    <t xml:space="preserve"> Ночная сорочка «Laura» с кружевными вставками белый 4X</t>
  </si>
  <si>
    <t xml:space="preserve"> Ночная сорочка «Laura» с кружевными вставками черный 2X</t>
  </si>
  <si>
    <t xml:space="preserve"> Ночная сорочка «Laura» с кружевными вставками белый 1X</t>
  </si>
  <si>
    <t xml:space="preserve"> Ночная сорочка «Laura» с кружевными вставками белый 3X</t>
  </si>
  <si>
    <t xml:space="preserve"> Ночная сорочка «Laura» с кружевными вставками черный 1X</t>
  </si>
  <si>
    <t xml:space="preserve"> Полупрозрачный пеньюар на завязка «Pola» черный XL</t>
  </si>
  <si>
    <t xml:space="preserve"> Полупрозрачный пеньюар на завязка «Pola» красный XL</t>
  </si>
  <si>
    <t xml:space="preserve"> Полупрозрачный пеньюар на завязка «Pola» белый XL</t>
  </si>
  <si>
    <t xml:space="preserve"> Полупрозрачный пеньюар на завязка «Pola» белый XXL</t>
  </si>
  <si>
    <t xml:space="preserve"> Полупрозрачный пеньюар на завязка «Pola» белый XXXL</t>
  </si>
  <si>
    <t xml:space="preserve"> Полупрозрачный пеньюар на завязка «Pola» красный XXXL</t>
  </si>
  <si>
    <t xml:space="preserve"> Полупрозрачный пеньюар на завязка «Pola» черный XXXL</t>
  </si>
  <si>
    <t xml:space="preserve"> Полупрозрачный пеньюар на завязка «Pola» черный XXL</t>
  </si>
  <si>
    <t xml:space="preserve"> Полупрозрачный пеньюар на завязка «Pola» красный XXL</t>
  </si>
  <si>
    <t xml:space="preserve"> Сорочка «Livia» с открытой грудью, кружевами и оборкой по низу черный 1X</t>
  </si>
  <si>
    <t xml:space="preserve"> Сорочка «Livia» с открытой грудью, кружевами и оборкой по низу красный 1X</t>
  </si>
  <si>
    <t xml:space="preserve"> Сорочка «Livia» с открытой грудью, кружевами и оборкой по низу красный 3X</t>
  </si>
  <si>
    <t xml:space="preserve"> Сорочка «Livia» с открытой грудью, кружевами и оборкой по низу черный 3X</t>
  </si>
  <si>
    <t xml:space="preserve"> Сорочка «Livia» с открытой грудью, кружевами и оборкой по низу черный 2X</t>
  </si>
  <si>
    <t xml:space="preserve"> Сорочка «Livia» с открытой грудью, кружевами и оборкой по низу красный 2X</t>
  </si>
  <si>
    <t xml:space="preserve"> Сорочка «Livia» с открытой грудью, кружевами и оборкой по низу красный 4X</t>
  </si>
  <si>
    <t xml:space="preserve"> Сорочка «Livia» с открытой грудью, кружевами и оборкой по низу черный 4X</t>
  </si>
  <si>
    <t xml:space="preserve"> Сорочка «Livia» с открытой грудью, кружевами и оборкой по низу черный 5X</t>
  </si>
  <si>
    <t xml:space="preserve"> Сорочка «Livia» с открытой грудью, кружевами и оборкой по низу красный 5X</t>
  </si>
  <si>
    <t xml:space="preserve"> Кружевная сорочка с открытой спиной черный One Size</t>
  </si>
  <si>
    <t xml:space="preserve"> Пеньюар Marcelle кружевными вставками на поясе и рукавах черный M</t>
  </si>
  <si>
    <t xml:space="preserve"> Пеньюар Marcelle кружевными вставками на поясе и рукавах черный S</t>
  </si>
  <si>
    <t xml:space="preserve"> Обворожительная сорочка «Lustella» с пояском черный S-M</t>
  </si>
  <si>
    <t xml:space="preserve"> Обворожительная сорочка «Lustella» с пояском черный L-XL</t>
  </si>
  <si>
    <t xml:space="preserve"> Ажурная сорочка «Colelle» с маленьким бантом на лифе черный L-XL</t>
  </si>
  <si>
    <t xml:space="preserve"> Ажурная сорочка «Colelle» с маленьким бантом на лифе белый L-XL</t>
  </si>
  <si>
    <t xml:space="preserve"> Ажурная сорочка «Colelle» с маленьким бантом на лифе черный S-M</t>
  </si>
  <si>
    <t xml:space="preserve"> Ажурная сорочка «Colelle» с маленьким бантом на лифе белый M-L</t>
  </si>
  <si>
    <t xml:space="preserve"> Ажурная сорочка «Colelle» с маленьким бантом на лифе белый S-M</t>
  </si>
  <si>
    <t xml:space="preserve"> Ажурная сорочка «Colelle» с маленьким бантом на лифе черный M-L</t>
  </si>
  <si>
    <t xml:space="preserve"> Комбинация «Julia» на тонких бретелях и с ажурным лифом белый L-XL</t>
  </si>
  <si>
    <t xml:space="preserve"> Комбинация «Julia» на тонких бретелях и с ажурным лифом черный L-XL</t>
  </si>
  <si>
    <t xml:space="preserve"> Комбинация «Julia» на тонких бретелях и с ажурным лифом белый S-M</t>
  </si>
  <si>
    <t xml:space="preserve"> Комбинация «Julia» на тонких бретелях и с ажурным лифом черный S-M</t>
  </si>
  <si>
    <t xml:space="preserve"> Комбинация «Julia» на тонких бретелях и с ажурным лифом белый M-L</t>
  </si>
  <si>
    <t xml:space="preserve"> Комбинация «Julia» на тонких бретелях и с ажурным лифом черный M-L</t>
  </si>
  <si>
    <t xml:space="preserve"> Эффектная сорочка Merossa с широкими кружевными бретелями и прозрачным подолом черный S-M</t>
  </si>
  <si>
    <t xml:space="preserve"> Эффектная сорочка Merossa с широкими кружевными бретелями и прозрачным подолом черный L-XL</t>
  </si>
  <si>
    <t xml:space="preserve"> Полупрозрачный коротенький пеньюар с пояском и кружевными рукавчиками черный L-XL</t>
  </si>
  <si>
    <t xml:space="preserve"> Полупрозрачный коротенький пеньюар с пояском и кружевными рукавчиками черный S-M</t>
  </si>
  <si>
    <t xml:space="preserve"> Облегающая сорочка Lovica с изысканным цветочным узором кружева красный S-M</t>
  </si>
  <si>
    <t xml:space="preserve"> Облегающая сорочка Lovica с изысканным цветочным узором кружева красный L-XL</t>
  </si>
  <si>
    <t xml:space="preserve"> Игривая сорочка «Acre» с бантиками и оборками черный 5X-6X</t>
  </si>
  <si>
    <t xml:space="preserve"> Игривая сорочка «Acre» с бантиками и оборками черный XL</t>
  </si>
  <si>
    <t xml:space="preserve"> Игривая сорочка «Acre» с бантиками и оборками черный XXL</t>
  </si>
  <si>
    <t xml:space="preserve"> Пленительная сорочка «Charming» с разрезом на спине черный L</t>
  </si>
  <si>
    <t xml:space="preserve"> Пленительная сорочка «Charming» с разрезом на спине черный S</t>
  </si>
  <si>
    <t xml:space="preserve"> Пленительная сорочка «Charming» с разрезом на спине черный XL</t>
  </si>
  <si>
    <t xml:space="preserve"> Пленительная сорочка «Charming» с разрезом на спине черный M</t>
  </si>
  <si>
    <t xml:space="preserve"> Эффектная сорочка «Liu» с кружевным лифом и открытой спинкой черный XL</t>
  </si>
  <si>
    <t xml:space="preserve"> Эффектная сорочка «Liu» с кружевным лифом и открытой спинкой черный S</t>
  </si>
  <si>
    <t xml:space="preserve"> Эффектная сорочка «Liu» с кружевным лифом и открытой спинкой черный L</t>
  </si>
  <si>
    <t xml:space="preserve"> Эффектная сорочка «Liu» с кружевным лифом и открытой спинкой черный M</t>
  </si>
  <si>
    <t xml:space="preserve"> Облегающая сорочка «Wonderia» с кружевом черный S-M</t>
  </si>
  <si>
    <t xml:space="preserve"> Облегающая сорочка «Wonderia» с кружевом черный L-XL</t>
  </si>
  <si>
    <t xml:space="preserve"> Эффектный беби-долл Tsuki с открытой спиной черный M</t>
  </si>
  <si>
    <t xml:space="preserve"> Короткая полупрозрачная сорочка «Valerie» красный S</t>
  </si>
  <si>
    <t xml:space="preserve"> Короткая полупрозрачная сорочка «Valerie» черный S</t>
  </si>
  <si>
    <t xml:space="preserve"> Короткая полупрозрачная сорочка «Valerie» черный M</t>
  </si>
  <si>
    <t xml:space="preserve"> Короткая полупрозрачная сорочка «Valerie» белый M</t>
  </si>
  <si>
    <t xml:space="preserve"> Короткая полупрозрачная сорочка «Valerie» красный M</t>
  </si>
  <si>
    <t xml:space="preserve"> Нежная сорочка Bianca с аксессуарами белый S-M</t>
  </si>
  <si>
    <t xml:space="preserve"> Нежная сорочка Bianca с аксессуарами белый L-XL</t>
  </si>
  <si>
    <t xml:space="preserve"> Пеньюар Tyrone с изысканной вышивкой и завязками на груди черный L-XL</t>
  </si>
  <si>
    <t xml:space="preserve"> Пеньюар Tyrone с изысканной вышивкой и завязками на груди черный S-M</t>
  </si>
  <si>
    <t xml:space="preserve"> Сорочка «Connie» с Х-образной кружевной вставкой черный S-M</t>
  </si>
  <si>
    <t xml:space="preserve"> Сорочка «Connie» с Х-образной кружевной вставкой кремовый S-M</t>
  </si>
  <si>
    <t xml:space="preserve"> Облегающая сорочка «Dallas» с лифом из нежной сеточки черный S-M</t>
  </si>
  <si>
    <t xml:space="preserve"> Облегающая сорочка «Giorgia» с ажурным лифом черный S-M</t>
  </si>
  <si>
    <t xml:space="preserve"> Облегающая сорочка «Sissey» с V-образной полупрозрачной вставкой на животе черный S-M</t>
  </si>
  <si>
    <t xml:space="preserve"> Облегающая сорочка «Sissey» с V-образной полупрозрачной вставкой на животе черный L-XL</t>
  </si>
  <si>
    <t xml:space="preserve"> Сорочка Carrie с ажурным лифом и разрезом по центру белый L-XL</t>
  </si>
  <si>
    <t xml:space="preserve"> Сорочка Carrie с ажурным лифом и разрезом по центру белый S-M</t>
  </si>
  <si>
    <t xml:space="preserve"> Сорочка «Estes» с открытой грудью черный S-M</t>
  </si>
  <si>
    <t xml:space="preserve"> Сорочка «Estes» с открытой грудью черный L-XL</t>
  </si>
  <si>
    <t xml:space="preserve"> Оригинальная полупрозрачная сорочка Merossa с кружевным лифом и одной лямочкой черный L-XL</t>
  </si>
  <si>
    <t xml:space="preserve"> Оригинальная полупрозрачная сорочка Merossa с кружевным лифом и одной лямочкой черный S-M</t>
  </si>
  <si>
    <t xml:space="preserve"> Сорочка «Punker» фасона «летучая мышь» из нежной сетчатой ткани черный S-M</t>
  </si>
  <si>
    <t xml:space="preserve"> Сорочка «Punker» фасона «летучая мышь» из нежной сетчатой ткани черный L-XL</t>
  </si>
  <si>
    <t xml:space="preserve"> Сорочка «Moketta» с ажурными рукавами черный L-XL</t>
  </si>
  <si>
    <t xml:space="preserve"> Сорочка «Moketta» с ажурными рукавами черный S-M</t>
  </si>
  <si>
    <t xml:space="preserve"> Сорочка «Frivolla» с кружевными вставками черный S-M</t>
  </si>
  <si>
    <t xml:space="preserve"> Сорочка «Frivolla» с кружевными вставками черный L-XL</t>
  </si>
  <si>
    <t xml:space="preserve"> Сорочка «Mokettina» с кружевом и лёгким плиссе по бокам черный S-M</t>
  </si>
  <si>
    <t xml:space="preserve"> Сорочка Gretia с декоративными металлическими вставками черный S-M</t>
  </si>
  <si>
    <t xml:space="preserve"> Сорочка Gretia с декоративными металлическими вставками черный L-XL</t>
  </si>
  <si>
    <t xml:space="preserve"> Сорочка в пол с прозрачным подолом черный One Size</t>
  </si>
  <si>
    <t xml:space="preserve"> Прозрачный короткий бебидолл черный One Size</t>
  </si>
  <si>
    <t xml:space="preserve"> Коротенькая сорочка с кружевными деталями черный One Size</t>
  </si>
  <si>
    <t xml:space="preserve"> Сорочка с маленькой шнуровкой на спине черный с красным S-M</t>
  </si>
  <si>
    <t xml:space="preserve"> Сорочка с маленькой шнуровкой на спине черный с красным L-XL</t>
  </si>
  <si>
    <t xml:space="preserve"> Кокетливая сорочка с контрастными лентами черный One Size</t>
  </si>
  <si>
    <t xml:space="preserve"> Кокетливая сорочка с контрастными лентами черный XL</t>
  </si>
  <si>
    <t xml:space="preserve"> Пикантная сорочка с пажами для чулок красный с черным One Size</t>
  </si>
  <si>
    <t xml:space="preserve"> Сорочка с пикантными вырезами сзади розовый с черным One Size</t>
  </si>
  <si>
    <t xml:space="preserve"> Элегантная прозрачная сорочка черный One Size</t>
  </si>
  <si>
    <t xml:space="preserve"> Облегающая сорочка с двухцветным кружевом черный с синим One Size</t>
  </si>
  <si>
    <t xml:space="preserve"> Романтическая полупрозрачная сорочка черный с розовым One Size</t>
  </si>
  <si>
    <t xml:space="preserve"> Длинная сорочка «Королева ночи» из материала с блеском черный One Size</t>
  </si>
  <si>
    <t xml:space="preserve"> Сорочка с пажами для чулок черный с синим One Size</t>
  </si>
  <si>
    <t xml:space="preserve"> Сорочка с пажами для чулок черный с синим XL</t>
  </si>
  <si>
    <t xml:space="preserve"> Игривый беби-долл с оборками черный с розовым One Size</t>
  </si>
  <si>
    <t xml:space="preserve"> Сорочка Carrie Plus Size с ажурным лифом и пикантным разрезом по центру белый XXL-XXXL</t>
  </si>
  <si>
    <t xml:space="preserve"> Полупрозрачная сорочка с вырезами черный S-M</t>
  </si>
  <si>
    <t xml:space="preserve"> Полупрозрачная сорочка с вырезами черный M-L</t>
  </si>
  <si>
    <t xml:space="preserve"> Элегантный бэби-долл Charmea с кружевами и бантиком на лифе черный S-M</t>
  </si>
  <si>
    <t xml:space="preserve"> Элегантный бэби-долл Charmea с кружевами и бантиком на лифе черный L-XL</t>
  </si>
  <si>
    <t xml:space="preserve"> Изысканная сорочка Julitta с «крылышками» на бретелях белый L-XL</t>
  </si>
  <si>
    <t xml:space="preserve"> Изысканная сорочка Julitta с «крылышками» на бретелях белый S-M</t>
  </si>
  <si>
    <t xml:space="preserve"> Полупрозрачная сорочка Alluria с кружевами черный S-M</t>
  </si>
  <si>
    <t xml:space="preserve"> Полупрозрачная сорочка Alluria с кружевами черный L-XL</t>
  </si>
  <si>
    <t xml:space="preserve"> Алая сорочка Heartina с кружевами красный L-XL</t>
  </si>
  <si>
    <t xml:space="preserve"> Алая сорочка Heartina с кружевами красный S-M</t>
  </si>
  <si>
    <t xml:space="preserve"> Полупрозрачная сорочка Maresol черный S-M</t>
  </si>
  <si>
    <t xml:space="preserve"> Полупрозрачная сорочка Maresol черный L-XL</t>
  </si>
  <si>
    <t xml:space="preserve"> Изысканная сорочка с открытой грудью черный L-XL</t>
  </si>
  <si>
    <t xml:space="preserve"> Изысканная сорочка с открытой грудью черный S-M</t>
  </si>
  <si>
    <t xml:space="preserve"> Изысканная сорочка с открытой грудью черный M-L</t>
  </si>
  <si>
    <t xml:space="preserve"> Соблазнительная сорочка Saule черный S</t>
  </si>
  <si>
    <t xml:space="preserve"> Соблазнительная сорочка Saule черный L</t>
  </si>
  <si>
    <t xml:space="preserve"> Соблазнительная сорочка Saule черный XL</t>
  </si>
  <si>
    <t xml:space="preserve"> Соблазнительная сорочка Saule черный M</t>
  </si>
  <si>
    <t xml:space="preserve"> Сорочка Omorfi с цветочным кружевом черный M</t>
  </si>
  <si>
    <t xml:space="preserve"> Сорочка Omorfi с цветочным кружевом черный XL</t>
  </si>
  <si>
    <t xml:space="preserve"> Сорочка Omorfi с цветочным кружевом черный L</t>
  </si>
  <si>
    <t xml:space="preserve"> Сорочка Omorfi с цветочным кружевом черный S</t>
  </si>
  <si>
    <t xml:space="preserve"> Коротенький бэби-долл с кружевным верхом черный S-M</t>
  </si>
  <si>
    <t xml:space="preserve"> Коротенький бэби-долл с кружевным верхом белый S-M</t>
  </si>
  <si>
    <t xml:space="preserve"> Коротенький бэби-долл с кружевным верхом черный L-XL</t>
  </si>
  <si>
    <t xml:space="preserve"> Коротенький бэби-долл с кружевным верхом белый L-XL</t>
  </si>
  <si>
    <t xml:space="preserve"> Облегающая сорочка с кружевами на лифе белый L-XL</t>
  </si>
  <si>
    <t xml:space="preserve"> Облегающая сорочка с кружевами на лифе черный L-XL</t>
  </si>
  <si>
    <t xml:space="preserve"> Облегающая сорочка с кружевами на лифе белый S-M</t>
  </si>
  <si>
    <t xml:space="preserve"> Облегающая сорочка с кружевами на лифе черный S-M</t>
  </si>
  <si>
    <t xml:space="preserve"> Атласный бэби-долл Satinia Plus Size серый XXL</t>
  </si>
  <si>
    <t xml:space="preserve"> Атласный бэби-долл Satinia Plus Size ярко-розовый XXL</t>
  </si>
  <si>
    <t xml:space="preserve"> Атласный бэби-долл Satinia Plus Size синий XXL</t>
  </si>
  <si>
    <t xml:space="preserve"> Атласный бэби-долл Satinia Plus Size черный XXL</t>
  </si>
  <si>
    <t xml:space="preserve"> Полупрозрачная кружевная сорочка Purity белый XL</t>
  </si>
  <si>
    <t xml:space="preserve"> Полупрозрачная кружевная сорочка Purity белый L</t>
  </si>
  <si>
    <t xml:space="preserve"> Полупрозрачная кружевная сорочка Purity белый S</t>
  </si>
  <si>
    <t xml:space="preserve"> Полупрозрачная кружевная сорочка Purity белый M</t>
  </si>
  <si>
    <t xml:space="preserve"> Сорочка Rosita прямого кроя черный S-M</t>
  </si>
  <si>
    <t xml:space="preserve"> Сорочка Rosita прямого кроя черный L-XL</t>
  </si>
  <si>
    <t xml:space="preserve"> Соблазнительная сорочка Mary Anne черный L-XL</t>
  </si>
  <si>
    <t xml:space="preserve"> Соблазнительная сорочка Mary Anne черный S-M</t>
  </si>
  <si>
    <t xml:space="preserve"> Cорочка Coco с пикантными вырезами на попе черный M</t>
  </si>
  <si>
    <t xml:space="preserve"> Cорочка Coco с пикантными вырезами на попе черный L</t>
  </si>
  <si>
    <t xml:space="preserve"> Cорочка Coco с пикантными вырезами на попе черный S</t>
  </si>
  <si>
    <t xml:space="preserve"> Cорочка Coco с пикантными вырезами на попе черный XL</t>
  </si>
  <si>
    <t xml:space="preserve"> Полупрозрачный коротенький бэби-долл Jessica черный XL</t>
  </si>
  <si>
    <t xml:space="preserve"> Полупрозрачный коротенький бэби-долл Jessica черный S</t>
  </si>
  <si>
    <t xml:space="preserve"> Полупрозрачный коротенький бэби-долл Jessica черный L</t>
  </si>
  <si>
    <t xml:space="preserve"> Сорочка Sedusia с открытой спинкой черный с розовым S-M</t>
  </si>
  <si>
    <t xml:space="preserve"> Сорочка Sedusia с открытой спинкой черный с розовым L-XL</t>
  </si>
  <si>
    <t xml:space="preserve"> Пеньюар Satinia Plus Size с рукавами, декорированными вышивкой серый XXL</t>
  </si>
  <si>
    <t xml:space="preserve"> Пеньюар Satinia Plus Size с рукавами, декорированными вышивкой синий XXL</t>
  </si>
  <si>
    <t xml:space="preserve"> Пеньюар Satinia Plus Size с рукавами, декорированными вышивкой ярко-розовый XXL</t>
  </si>
  <si>
    <t xml:space="preserve"> Пеньюар Satinia Plus Size с рукавами, декорированными вышивкой черный XXL</t>
  </si>
  <si>
    <t xml:space="preserve"> Прозрачная сорочка с бусинками на лифе черный S-M</t>
  </si>
  <si>
    <t xml:space="preserve"> Прозрачная сорочка с бусинками на лифе черный L-XL</t>
  </si>
  <si>
    <t xml:space="preserve"> Сорочка Moketta Plus Size с ажурным верхом черный XXL</t>
  </si>
  <si>
    <t xml:space="preserve"> Облегающая сорочка Yalika черный L</t>
  </si>
  <si>
    <t xml:space="preserve"> Облегающая сорочка Yalika черный S</t>
  </si>
  <si>
    <t xml:space="preserve"> Облегающая сорочка Yalika черный M</t>
  </si>
  <si>
    <t xml:space="preserve"> Прозрачная сорочка Abisara черный M</t>
  </si>
  <si>
    <t xml:space="preserve"> Прозрачная сорочка Abisara черный S</t>
  </si>
  <si>
    <t xml:space="preserve"> Прозрачная сорочка Abisara черный L</t>
  </si>
  <si>
    <t xml:space="preserve"> Прозрачная сорочка Abisara черный XL</t>
  </si>
  <si>
    <t xml:space="preserve"> Кружевная сорочка Aeris с контрастной отделкой черный XL</t>
  </si>
  <si>
    <t xml:space="preserve"> Кружевная сорочка Aeris с контрастной отделкой черный L</t>
  </si>
  <si>
    <t xml:space="preserve"> Кружевная сорочка Aeris с контрастной отделкой черный S</t>
  </si>
  <si>
    <t xml:space="preserve"> Кружевная сорочка Aeris с контрастной отделкой черный M</t>
  </si>
  <si>
    <t xml:space="preserve"> Полупрозрачная сорочка Alma с кружевной оторочкой черный M</t>
  </si>
  <si>
    <t xml:space="preserve"> Полупрозрачная сорочка Alma с кружевной оторочкой черный S</t>
  </si>
  <si>
    <t xml:space="preserve"> Полупрозрачная сорочка Alma с кружевной оторочкой черный L</t>
  </si>
  <si>
    <t xml:space="preserve"> Полупрозрачная сорочка Alma с кружевной оторочкой черный XL</t>
  </si>
  <si>
    <t xml:space="preserve"> Пеньюар Miamor Plus Size с короткими рукавами черный XXL</t>
  </si>
  <si>
    <t xml:space="preserve"> Пеньюар Lovan Plus Size с удлинёнными рукавчиками белый XXXL</t>
  </si>
  <si>
    <t xml:space="preserve"> Пеньюар Lovan Plus Size с удлинёнными рукавчиками белый XXL</t>
  </si>
  <si>
    <t xml:space="preserve"> Бэби-долл Akena с рюшами белый XL</t>
  </si>
  <si>
    <t xml:space="preserve"> Бэби-долл Akena с рюшами белый L</t>
  </si>
  <si>
    <t xml:space="preserve"> Бэби-долл Akena с рюшами белый S</t>
  </si>
  <si>
    <t xml:space="preserve"> Бэби-долл Akena с рюшами белый M</t>
  </si>
  <si>
    <t xml:space="preserve"> Прозрачная сорочка Bondy Plus Size с цепочками черный XXL</t>
  </si>
  <si>
    <t xml:space="preserve"> Пеньюар Brida с полупрозрачной цветочной вставкой на спинке черный S-M</t>
  </si>
  <si>
    <t xml:space="preserve"> Пеньюар Brida с полупрозрачной цветочной вставкой на спинке черный L-XL</t>
  </si>
  <si>
    <t xml:space="preserve"> Пеньюар Brida Plus Size с полупрозрачной вставкой на спинке черный XXL-XXXL</t>
  </si>
  <si>
    <t xml:space="preserve"> Соблазнительный пеньюар Lotus кремовый L-XL</t>
  </si>
  <si>
    <t xml:space="preserve"> Соблазнительный пеньюар Lotus кремовый S-M</t>
  </si>
  <si>
    <t xml:space="preserve"> Нежная ночная сорочка розовый M</t>
  </si>
  <si>
    <t xml:space="preserve"> Нежная ночная сорочка розовый XL</t>
  </si>
  <si>
    <t xml:space="preserve"> Нежная ночная сорочка розовый S</t>
  </si>
  <si>
    <t xml:space="preserve"> Нежная ночная сорочка розовый L</t>
  </si>
  <si>
    <t xml:space="preserve"> Сорочка Montana с сетчатыми вставками черный S-M</t>
  </si>
  <si>
    <t xml:space="preserve"> Сорочка Montana с сетчатыми вставками черный L-XL</t>
  </si>
  <si>
    <t xml:space="preserve"> Бэби-долл Adolla с открытой спинкой черный 1X-2X</t>
  </si>
  <si>
    <t xml:space="preserve"> Бэби-долл Adolla с открытой спинкой черный 5X-6X</t>
  </si>
  <si>
    <t xml:space="preserve"> Бэби-долл Adolla с открытой спинкой черный 3X-4X</t>
  </si>
  <si>
    <t xml:space="preserve"> Сорочка Suelo с контрастной кружевной отделкой белый с черным S-M</t>
  </si>
  <si>
    <t xml:space="preserve"> Сорочка Suelo с контрастной кружевной отделкой белый с черным L-XL</t>
  </si>
  <si>
    <t xml:space="preserve"> Сорочка Suelo Plus Size с контрастной ажурной отделкой белый с черным XXL-XXXL</t>
  </si>
  <si>
    <t xml:space="preserve"> Прозрачный бэби-долл Nadya черный L-XL</t>
  </si>
  <si>
    <t xml:space="preserve"> Прозрачный бэби-долл Nadya черный S-M</t>
  </si>
  <si>
    <t xml:space="preserve"> Кружевная сорочка Sinopa с красивым декольте черный с розовым 3X-4X</t>
  </si>
  <si>
    <t xml:space="preserve"> Кружевная сорочка Sinopa с красивым декольте черный с розовым 5X-6X</t>
  </si>
  <si>
    <t xml:space="preserve"> Кружевная сорочка Sinopa с красивым декольте черный с розовым 1X-2X</t>
  </si>
  <si>
    <t xml:space="preserve"> Облегающая полупрозрачная сорочка «Tanise» с открытой спиной белый 1X-2X</t>
  </si>
  <si>
    <t xml:space="preserve"> Облегающая полупрозрачная сорочка «Tanise» с открытой спиной белый 5X-6X</t>
  </si>
  <si>
    <t xml:space="preserve"> Облегающая полупрозрачная сорочка «Tanise» с открытой спиной белый 3X-4X</t>
  </si>
  <si>
    <t xml:space="preserve"> Ночная сорочка в рубчик с цветочным узором белый с голубым S</t>
  </si>
  <si>
    <t xml:space="preserve"> Нежная меланжевая ночная сорочка серый S</t>
  </si>
  <si>
    <t xml:space="preserve"> Облегающая сорочка Pauline черный S-M</t>
  </si>
  <si>
    <t xml:space="preserve"> Облегающая сорочка Pauline черный L-XL</t>
  </si>
  <si>
    <t xml:space="preserve"> Коротенькая сорочка Viola с цветочным кружевом черный L-XL</t>
  </si>
  <si>
    <t xml:space="preserve"> Коротенькая сорочка Viola с цветочным кружевом черный S-M</t>
  </si>
  <si>
    <t xml:space="preserve"> Ночная сорочка с контрастным кружевом белый с черным S</t>
  </si>
  <si>
    <t xml:space="preserve"> Ночная сорочка с контрастным кружевом белый с черным L</t>
  </si>
  <si>
    <t xml:space="preserve"> Эффектная сорочка «Carinola» розовый с черным 3X-4X</t>
  </si>
  <si>
    <t xml:space="preserve"> Эффектная сорочка «Carinola» розовый с черным 5X-6X</t>
  </si>
  <si>
    <t xml:space="preserve"> Эффектная сорочка «Carinola» розовый с черным 1X-2X</t>
  </si>
  <si>
    <t xml:space="preserve"> Кружевная сорочка Cobayo с длинными рукавами белый 1X-2X</t>
  </si>
  <si>
    <t xml:space="preserve"> Кружевная сорочка Cobayo с длинными рукавами белый 5X-6X</t>
  </si>
  <si>
    <t xml:space="preserve"> Кружевная сорочка Cobayo с длинными рукавами белый 3X-4X</t>
  </si>
  <si>
    <t xml:space="preserve"> Кружевная сорочка «Alecto» с длинными рукавами красный 5X-6X</t>
  </si>
  <si>
    <t xml:space="preserve"> Кружевная сорочка «Alecto» с длинными рукавами красный 3X-4X</t>
  </si>
  <si>
    <t xml:space="preserve"> Кружевная сорочка «Alecto» с длинными рукавами красный 1X-2X</t>
  </si>
  <si>
    <t xml:space="preserve"> Полупрозрачная сорочка Aurora с цветочным рисунком черный L-XL</t>
  </si>
  <si>
    <t xml:space="preserve"> Полупрозрачная сорочка Aurora с цветочным рисунком черный S-M</t>
  </si>
  <si>
    <t xml:space="preserve"> Белая сорочка Catalina с полуоткрытой спинкой белый S-M</t>
  </si>
  <si>
    <t xml:space="preserve"> Белая сорочка Catalina с полуоткрытой спинкой белый L-XL</t>
  </si>
  <si>
    <t xml:space="preserve"> Соблазнительная сорочка Enna с прозрачным лифом без косточек черный L-XL</t>
  </si>
  <si>
    <t xml:space="preserve"> Соблазнительная сорочка Enna с прозрачным лифом без косточек черный S-M</t>
  </si>
  <si>
    <t xml:space="preserve"> Роскошная облегающая сорочка Ksenia с кружевным лифом и шнуровкой во всю спинку черный S-M</t>
  </si>
  <si>
    <t xml:space="preserve"> Роскошная облегающая сорочка Ksenia с кружевным лифом и шнуровкой во всю спинку черный L-XL</t>
  </si>
  <si>
    <t xml:space="preserve"> Сорочка «Effi» в мелкий горох черный L-XL</t>
  </si>
  <si>
    <t xml:space="preserve"> Сорочка «Effi» в мелкий горох белый L-XL</t>
  </si>
  <si>
    <t xml:space="preserve"> Сорочка «Effi» в мелкий горох черный S-M</t>
  </si>
  <si>
    <t xml:space="preserve"> Сорочка «Effi» в мелкий горох белый S-M</t>
  </si>
  <si>
    <t xml:space="preserve"> Облегающая сорочка Lovia с прозрачными деталями красный с черным S-M</t>
  </si>
  <si>
    <t xml:space="preserve"> Облегающая сорочка Lovia с прозрачными деталями черный S-M</t>
  </si>
  <si>
    <t xml:space="preserve"> Облегающая сорочка Lovia с прозрачными деталями красный с черным L-XL</t>
  </si>
  <si>
    <t xml:space="preserve"> Облегающая сорочка Lovia с прозрачными деталями черный L-XL</t>
  </si>
  <si>
    <t xml:space="preserve"> Облегающая сорочка Luna из цветочного кружева черный L-XL</t>
  </si>
  <si>
    <t xml:space="preserve"> Облегающая сорочка Luna из цветочного кружева черный S-M</t>
  </si>
  <si>
    <t xml:space="preserve"> Эффектная сорочка Gigi с красивой зоной декольте черный S-M</t>
  </si>
  <si>
    <t xml:space="preserve"> Эффектная сорочка Gigi с красивой зоной декольте черный L-XL</t>
  </si>
  <si>
    <t xml:space="preserve"> Полупрозрачный пеньюар Cassandra с расклешенными рукавами черный M</t>
  </si>
  <si>
    <t xml:space="preserve"> Короткая сорочка с кружевом черный M</t>
  </si>
  <si>
    <t xml:space="preserve"> Короткая сорочка с кружевом черный L</t>
  </si>
  <si>
    <t xml:space="preserve"> Короткая сорочка с кружевом черный S</t>
  </si>
  <si>
    <t xml:space="preserve"> Сорочка с цветочным узором черный S</t>
  </si>
  <si>
    <t xml:space="preserve"> Сорочка с цветочным узором черный M</t>
  </si>
  <si>
    <t xml:space="preserve"> Ночная сорочка Lucy из полупрозрачного материала красный XXXL</t>
  </si>
  <si>
    <t xml:space="preserve"> Ночная сорочка Lucy из полупрозрачного материала черный XXXL</t>
  </si>
  <si>
    <t xml:space="preserve"> Ночная сорочка Lucy из полупрозрачного материала черный XXL</t>
  </si>
  <si>
    <t xml:space="preserve"> Ночная сорочка Lucy из полупрозрачного материала красный XL</t>
  </si>
  <si>
    <t xml:space="preserve"> Ночная сорочка Lucy из полупрозрачного материала черный XL</t>
  </si>
  <si>
    <t xml:space="preserve"> Ночная сорочка Lucy из полупрозрачного материала красный XXL</t>
  </si>
  <si>
    <t xml:space="preserve"> Обворожительная сорочка в крапинку и горошек черный S-M</t>
  </si>
  <si>
    <t xml:space="preserve"> Обворожительная сорочка в крапинку и горошек черный L-XL</t>
  </si>
  <si>
    <t xml:space="preserve"> Обворожительная сорочка Sedusia с кружевными рукавчиками черный L-XL</t>
  </si>
  <si>
    <t xml:space="preserve"> Обворожительная сорочка Sedusia с кружевными рукавчиками черный S-M</t>
  </si>
  <si>
    <t xml:space="preserve"> Очаровательная сорочка в пол Sedusia с кружевным верхом черный S-M</t>
  </si>
  <si>
    <t xml:space="preserve"> Очаровательная сорочка в пол Sedusia с кружевным верхом черный L-XL</t>
  </si>
  <si>
    <t xml:space="preserve"> Полупрозрачная сорочка Ginette с открытым лифом черный S-M</t>
  </si>
  <si>
    <t xml:space="preserve"> Полупрозрачная сорочка Ginette с открытым лифом красный S-M</t>
  </si>
  <si>
    <t xml:space="preserve"> Полупрозрачная сорочка Ginette с открытым лифом белый S-M</t>
  </si>
  <si>
    <t xml:space="preserve"> Сорочка Elodia с открытой грудью белый S-M</t>
  </si>
  <si>
    <t xml:space="preserve"> Сорочка Elodia с открытой грудью красный S-M</t>
  </si>
  <si>
    <t xml:space="preserve"> Ночная сорочка Lorna с широкими рукавчиками красный M</t>
  </si>
  <si>
    <t xml:space="preserve"> Ночная сорочка Lorna с широкими рукавчиками красный XL</t>
  </si>
  <si>
    <t xml:space="preserve"> Ночная сорочка Lorna с широкими рукавчиками красный S</t>
  </si>
  <si>
    <t xml:space="preserve"> Ночная сорочка Lorna с широкими рукавчиками красный L</t>
  </si>
  <si>
    <t xml:space="preserve"> Полупрозрачный пеньюар Maerin с атласной оторочкой черный 1X-2X</t>
  </si>
  <si>
    <t xml:space="preserve"> Полупрозрачный пеньюар Maerin с атласной оторочкой черный 3X-4X</t>
  </si>
  <si>
    <t xml:space="preserve"> Полупрозрачный пеньюар Maerin с атласной оторочкой черный 5X-6X</t>
  </si>
  <si>
    <t xml:space="preserve"> Милый пеньюар Saffie с завязками на лифе красный L</t>
  </si>
  <si>
    <t xml:space="preserve"> Милый пеньюар Saffie с завязками на лифе красный S</t>
  </si>
  <si>
    <t xml:space="preserve"> Милый пеньюар Saffie с завязками на лифе красный XL</t>
  </si>
  <si>
    <t xml:space="preserve"> Милый пеньюар Saffie с завязками на лифе красный M</t>
  </si>
  <si>
    <t xml:space="preserve"> Прозрачный пеньюар Anthis на пояске с атласной оторочкой черный M</t>
  </si>
  <si>
    <t xml:space="preserve"> Прозрачный пеньюар Anthis на пояске с атласной оторочкой черный XL</t>
  </si>
  <si>
    <t xml:space="preserve"> Прозрачный пеньюар Anthis на пояске с атласной оторочкой черный S</t>
  </si>
  <si>
    <t xml:space="preserve"> Прозрачный пеньюар Anthis на пояске с атласной оторочкой черный L</t>
  </si>
  <si>
    <t xml:space="preserve"> Оригинальная сорочка Finaci с открытой спинкой черный L</t>
  </si>
  <si>
    <t xml:space="preserve"> Оригинальная сорочка Finaci с открытой спинкой черный S</t>
  </si>
  <si>
    <t xml:space="preserve"> Оригинальная сорочка Finaci с открытой спинкой черный XL</t>
  </si>
  <si>
    <t xml:space="preserve"> Оригинальная сорочка Finaci с открытой спинкой черный M</t>
  </si>
  <si>
    <t xml:space="preserve"> Роскошный бэби-долл с бантом на лифе телесный с черным S-M</t>
  </si>
  <si>
    <t xml:space="preserve"> Роскошный бэби-долл с бантом на лифе телесный с черным L-XL</t>
  </si>
  <si>
    <t xml:space="preserve"> Соблазнительная сорочка из двух видов материала черный с бежевым L-XL</t>
  </si>
  <si>
    <t xml:space="preserve"> Соблазнительная сорочка из двух видов материала черный с бежевым S-M</t>
  </si>
  <si>
    <t xml:space="preserve"> Оригинальная сорочка из сетки и кружев черный S-M</t>
  </si>
  <si>
    <t xml:space="preserve"> Оригинальная сорочка из сетки и кружев черный L-XL</t>
  </si>
  <si>
    <t xml:space="preserve"> Соблазнительная сорочка с  крылышками синий с черным L-XL</t>
  </si>
  <si>
    <t xml:space="preserve"> Соблазнительная сорочка с  крылышками синий с черным S-M</t>
  </si>
  <si>
    <t xml:space="preserve"> Соблазнительный пеньюар с полуоткрытой спиной синий с черным S-M</t>
  </si>
  <si>
    <t xml:space="preserve"> Соблазнительный пеньюар с полуоткрытой спиной синий с черным L-XL</t>
  </si>
  <si>
    <t xml:space="preserve"> Коротенькая сорочка Miamor Plus Size разрезами по бокам черный XXL</t>
  </si>
  <si>
    <t xml:space="preserve"> Откровенная сорочка с асимметричным подолом и открытой грудью черный S-M</t>
  </si>
  <si>
    <t xml:space="preserve"> Откровенная сорочка с асимметричным подолом и открытой грудью черный L-XL</t>
  </si>
  <si>
    <t xml:space="preserve"> Облегающая сорочка Auroria Plus Size с кружевом синий XXL</t>
  </si>
  <si>
    <t xml:space="preserve"> Полупрозрачная сорочка с кружевом на тонких бретелях черный S-M</t>
  </si>
  <si>
    <t xml:space="preserve"> Полупрозрачная сорочка с кружевом на тонких бретелях черный L-XL</t>
  </si>
  <si>
    <t xml:space="preserve"> Облегающая сорочка Plus Size с кружевом на тонких бретелях черный XXL</t>
  </si>
  <si>
    <t xml:space="preserve"> Облегающая сорочка с прозрачными вставками по бокам и 3 шипами под лифом черный S-M</t>
  </si>
  <si>
    <t xml:space="preserve"> Облегающая сорочка с прозрачными вставками по бокам и 3 шипами под лифом черный L-XL</t>
  </si>
  <si>
    <t xml:space="preserve"> Кружевной пеньюар Faevia с поясом черный L-XL</t>
  </si>
  <si>
    <t xml:space="preserve"> Кружевной пеньюар Faevia с поясом черный S-M</t>
  </si>
  <si>
    <t xml:space="preserve"> Элегантная полупрозрачная сорочка с приталенным силуэтом черный S-M</t>
  </si>
  <si>
    <t xml:space="preserve"> Элегантная полупрозрачная сорочка с приталенным силуэтом черный L-XL</t>
  </si>
  <si>
    <t xml:space="preserve"> Облегающая сорочка с клетчатыми полупрозрачными вставками черный L-XL</t>
  </si>
  <si>
    <t xml:space="preserve"> Облегающая сорочка с клетчатыми полупрозрачными вставками черный S-M</t>
  </si>
  <si>
    <t xml:space="preserve"> Соблазнительная сорочка с бусинками поверх разрезов красный S-M</t>
  </si>
  <si>
    <t xml:space="preserve"> Соблазнительная сорочка с бусинками поверх разрезов красный L-XL</t>
  </si>
  <si>
    <t xml:space="preserve"> Сорочка в крапинку и горох с бантом на спинке черный L-XL</t>
  </si>
  <si>
    <t xml:space="preserve"> Сорочка в крапинку и горох с бантом на спинке черный S-M</t>
  </si>
  <si>
    <t xml:space="preserve"> Полупрозрачный пеньюар с пояском и кружевной оторочкой белый S-M</t>
  </si>
  <si>
    <t xml:space="preserve"> Полупрозрачный пеньюар с пояском и кружевной оторочкой белый M-L</t>
  </si>
  <si>
    <t xml:space="preserve"> Коротенький беби-долл с рюшевой отделкой черный S-M</t>
  </si>
  <si>
    <t xml:space="preserve"> Коротенький беби-долл с рюшевой отделкой черный L-XL</t>
  </si>
  <si>
    <t xml:space="preserve"> Облегающая сорочка с рюшами на лифе и задней части черный L-XL</t>
  </si>
  <si>
    <t xml:space="preserve"> Облегающая сорочка с рюшами на лифе и задней части черный S-M</t>
  </si>
  <si>
    <t xml:space="preserve"> Облегающая сорочка Plus Size с рюшами на лифе и ниже спинки черный XXL</t>
  </si>
  <si>
    <t xml:space="preserve"> Полупрозрачная сорочка с кружевным декором под лифом черный S-M</t>
  </si>
  <si>
    <t xml:space="preserve"> Полупрозрачная сорочка с кружевным декором под лифом черный L-XL</t>
  </si>
  <si>
    <t xml:space="preserve"> Полупрозрачная сорочка бэби-долл черный L-XL</t>
  </si>
  <si>
    <t xml:space="preserve"> Полупрозрачная сорочка бэби-долл черный S-M</t>
  </si>
  <si>
    <t xml:space="preserve"> Полупрозрачная сорочка с небольшими разрезами по бокам черный S-M</t>
  </si>
  <si>
    <t xml:space="preserve"> Полупрозрачная сорочка с небольшими разрезами по бокам черный L-XL</t>
  </si>
  <si>
    <t xml:space="preserve"> Полупрозрачная сорочка Plus Size с разрезами по бокам черный XXL</t>
  </si>
  <si>
    <t xml:space="preserve"> Полупрозрачная сорочка бэби-долл с изысканной кружевной отделкой черный с белым S-M</t>
  </si>
  <si>
    <t xml:space="preserve"> Полупрозрачная сорочка бэби-долл с изысканной кружевной отделкой черный с белым L-XL</t>
  </si>
  <si>
    <t xml:space="preserve"> Соблазнительная сорочка с красивыми линиями декольте красный L-XL</t>
  </si>
  <si>
    <t xml:space="preserve"> Соблазнительная сорочка с красивыми линиями декольте красный S-M</t>
  </si>
  <si>
    <t xml:space="preserve"> Оригинальная сорочка с воротничком на завязках черный S-M</t>
  </si>
  <si>
    <t xml:space="preserve"> Оригинальная сорочка с воротничком на завязках черный L-XL</t>
  </si>
  <si>
    <t xml:space="preserve"> Облегающая сорочка с кружевным лифом черный L-XL</t>
  </si>
  <si>
    <t xml:space="preserve"> Облегающая сорочка с кружевным лифом черный S-M</t>
  </si>
  <si>
    <t xml:space="preserve"> Чарующая комбинация Isida Plus Size с рюшевой отделкой и кружевным лифом черный XXL</t>
  </si>
  <si>
    <t xml:space="preserve"> Чарующая комбинация Isida Plus Size с рюшевой отделкой и кружевным лифом черный XXXL</t>
  </si>
  <si>
    <t xml:space="preserve"> Кокетливая сорочка Naomi Plus Size на шнуровке красный XXXL</t>
  </si>
  <si>
    <t xml:space="preserve"> Кокетливая сорочка Naomi Plus Size на шнуровке белый XXXL</t>
  </si>
  <si>
    <t xml:space="preserve"> Кокетливая сорочка Naomi Plus Size на шнуровке красный XXL</t>
  </si>
  <si>
    <t xml:space="preserve"> Кокетливая сорочка Naomi Plus Size на шнуровке белый XXL</t>
  </si>
  <si>
    <t xml:space="preserve"> Облегающая сорочка Splash Plus Size с кружевным лифом и атласной вставкой черный XXXL</t>
  </si>
  <si>
    <t xml:space="preserve"> Облегающая сорочка Splash Plus Size с кружевным лифом и атласной вставкой черный XXL</t>
  </si>
  <si>
    <t xml:space="preserve"> Игривый бэби-долл Feira Plus Size с полами от лифа черный XXL</t>
  </si>
  <si>
    <t xml:space="preserve"> Игривый бэби-долл Feira Plus Size с полами от лифа черный XXXL</t>
  </si>
  <si>
    <t xml:space="preserve"> Кокетливый бэби-долл Feira с разрезом от лифа черный XL</t>
  </si>
  <si>
    <t xml:space="preserve"> Кокетливый бэби-долл Feira с разрезом от лифа черный S</t>
  </si>
  <si>
    <t xml:space="preserve"> Кокетливый бэби-долл Feira с разрезом от лифа черный L</t>
  </si>
  <si>
    <t xml:space="preserve"> Кокетливый бэби-долл Feira с разрезом от лифа черный M</t>
  </si>
  <si>
    <t xml:space="preserve"> Сорочка Omorfi Plus Size с цветочным кружевом черный XXXL</t>
  </si>
  <si>
    <t xml:space="preserve"> Сорочка Omorfi Plus Size с цветочным кружевом черный XXL</t>
  </si>
  <si>
    <t xml:space="preserve"> Открытая сорочка Pequena со шнуровкой на спинке черный XL</t>
  </si>
  <si>
    <t xml:space="preserve"> Открытая сорочка Pequena со шнуровкой на спинке черный L</t>
  </si>
  <si>
    <t xml:space="preserve"> Открытая сорочка Pequena со шнуровкой на спинке черный S</t>
  </si>
  <si>
    <t xml:space="preserve"> Открытая сорочка Pequena со шнуровкой на спинке черный M</t>
  </si>
  <si>
    <t xml:space="preserve"> Соблазнительная сорочка Saule Plus Size черный XXL</t>
  </si>
  <si>
    <t xml:space="preserve"> Соблазнительная сорочка Saule Plus Size черный XXXL</t>
  </si>
  <si>
    <t xml:space="preserve"> Полупрозрачная сорочка Thami Plus Size черный XXXL</t>
  </si>
  <si>
    <t xml:space="preserve"> Полупрозрачная сорочка Thami Plus Size черный XXL</t>
  </si>
  <si>
    <t xml:space="preserve"> Полупрозрачная ажурная сорочка Purity Plus Size белый XXXL</t>
  </si>
  <si>
    <t xml:space="preserve"> Полупрозрачная ажурная сорочка Purity Plus Size белый XXL</t>
  </si>
  <si>
    <t xml:space="preserve"> Полупрозрачный бэби-долл Anemos черный 5X-6X</t>
  </si>
  <si>
    <t xml:space="preserve"> Полупрозрачный бэби-долл Anemos черный 3X-4X</t>
  </si>
  <si>
    <t xml:space="preserve"> Полупрозрачный бэби-долл Anemos черный 1X-2X</t>
  </si>
  <si>
    <t xml:space="preserve"> Кружевная сорочка Orangina в длинными рукавами и цветочным рисунком черный 1X-2X</t>
  </si>
  <si>
    <t xml:space="preserve"> Кружевная сорочка Orangina в длинными рукавами и цветочным рисунком черный 3X-4X</t>
  </si>
  <si>
    <t xml:space="preserve"> Кружевная сорочка Orangina в длинными рукавами и цветочным рисунком черный 5X-6X</t>
  </si>
  <si>
    <t xml:space="preserve"> Облегающая кружевная сорочка Ymare черный 5X-6X</t>
  </si>
  <si>
    <t xml:space="preserve"> Облегающая кружевная сорочка Ymare черный 3X-4X</t>
  </si>
  <si>
    <t xml:space="preserve"> Облегающая кружевная сорочка Ymare черный 1X-2X</t>
  </si>
  <si>
    <t xml:space="preserve"> Сорочка Charming Plus Size с разрезом на спинке черный XXL</t>
  </si>
  <si>
    <t xml:space="preserve"> Полупрозрачная сорочка Kaylee Plus Size с открытыми чашками лифа белый XXXL</t>
  </si>
  <si>
    <t xml:space="preserve"> Полупрозрачная сорочка Kaylee Plus Size с открытыми чашками лифа белый XXL</t>
  </si>
  <si>
    <t xml:space="preserve"> Открытая сорочка Wild Nymph Plus Size с цепочкой из кристаллов черный XXL</t>
  </si>
  <si>
    <t xml:space="preserve"> Сорочка Bailey Plus Size с перекрещивающимися бретелями черный XXL</t>
  </si>
  <si>
    <t xml:space="preserve"> Сорочка Bailey Plus Size с перекрещивающимися бретелями черный XXXL</t>
  </si>
  <si>
    <t xml:space="preserve"> Cорочка Coco Plus Size с пикантными вырезами сзади черный XXXL</t>
  </si>
  <si>
    <t xml:space="preserve"> Cорочка Coco Plus Size с пикантными вырезами сзади черный XXL</t>
  </si>
  <si>
    <t xml:space="preserve"> Прозрачная сорочка Estee Plus Size с полуоткрытым лифом черный XXL</t>
  </si>
  <si>
    <t xml:space="preserve"> Прозрачная сорочка Estee Plus Size с полуоткрытым лифом черный XXXL</t>
  </si>
  <si>
    <t xml:space="preserve"> Полупрозрачная сорочка Estee с открытым лифом черный XL</t>
  </si>
  <si>
    <t xml:space="preserve"> Полупрозрачная сорочка Estee с открытым лифом черный S</t>
  </si>
  <si>
    <t xml:space="preserve"> Полупрозрачная сорочка Estee с открытым лифом черный L</t>
  </si>
  <si>
    <t xml:space="preserve"> Полупрозрачная сорочка Estee с открытым лифом черный M</t>
  </si>
  <si>
    <t xml:space="preserve"> Сорочка Aimee Plus Size с Т-образной вставкой под атлас и пажами черный с розовым XXL</t>
  </si>
  <si>
    <t xml:space="preserve"> Сорочка Aimee Plus Size с Т-образной вставкой под атлас и пажами черный с розовым XXXL</t>
  </si>
  <si>
    <t xml:space="preserve"> Кокетливая сорочка Finaci Plus Size с открытой спинкой черный XXXL</t>
  </si>
  <si>
    <t xml:space="preserve"> Кокетливая сорочка Finaci Plus Size с открытой спинкой черный XXL</t>
  </si>
  <si>
    <t xml:space="preserve"> Откровенная сорочка Mistra Plus Size из тонких бретелей черный XXL</t>
  </si>
  <si>
    <t xml:space="preserve"> Откровенная сорочка Mistra Plus Size из тонких бретелей черный XXXL</t>
  </si>
  <si>
    <t xml:space="preserve"> Пикантная сорочка Mistra из тонких бретелей черный XL</t>
  </si>
  <si>
    <t xml:space="preserve"> Пикантная сорочка Mistra из тонких бретелей черный L</t>
  </si>
  <si>
    <t xml:space="preserve"> Пикантная сорочка Mistra из тонких бретелей черный S</t>
  </si>
  <si>
    <t xml:space="preserve"> Пикантная сорочка Mistra из тонких бретелей черный M</t>
  </si>
  <si>
    <t xml:space="preserve"> Прозрачная сорочка Abisara Plus Size с плотным лифом черный XXXL</t>
  </si>
  <si>
    <t xml:space="preserve"> Прозрачная сорочка Abisara Plus Size с плотным лифом черный XXL</t>
  </si>
  <si>
    <t xml:space="preserve"> Соблазнительная сорочка Lynette Plus Size с длинными рукавами черный XXL</t>
  </si>
  <si>
    <t xml:space="preserve"> Соблазнительная сорочка Lynette Plus Size с длинными рукавами черный XXXL</t>
  </si>
  <si>
    <t xml:space="preserve"> Соблазнительная сорочка Lynette с длинными рукавами и полуоткрытыми плечами черный XL</t>
  </si>
  <si>
    <t xml:space="preserve"> Соблазнительная сорочка Lynette с длинными рукавами и полуоткрытыми плечами черный S</t>
  </si>
  <si>
    <t xml:space="preserve"> Соблазнительная сорочка Lynette с длинными рукавами и полуоткрытыми плечами черный L</t>
  </si>
  <si>
    <t xml:space="preserve"> Соблазнительная сорочка Lynette с длинными рукавами и полуоткрытыми плечами черный M</t>
  </si>
  <si>
    <t xml:space="preserve"> Бэби-долл Akena Plus Size с рюшами и открытой спиной белый XXL</t>
  </si>
  <si>
    <t xml:space="preserve"> Бэби-долл Akena Plus Size с рюшами и открытой спиной белый XXXL</t>
  </si>
  <si>
    <t xml:space="preserve"> Воздушная сорочка Danita Plus Size с двойным лифом белый XXXL</t>
  </si>
  <si>
    <t xml:space="preserve"> Воздушная сорочка Danita Plus Size с двойным лифом белый XXL</t>
  </si>
  <si>
    <t xml:space="preserve"> Полупрозрачная сорочка Danita с двойным лифом белый XL</t>
  </si>
  <si>
    <t xml:space="preserve"> Полупрозрачная сорочка Danita с двойным лифом белый L</t>
  </si>
  <si>
    <t xml:space="preserve"> Полупрозрачная сорочка Danita с двойным лифом белый S</t>
  </si>
  <si>
    <t xml:space="preserve"> Полупрозрачная сорочка Danita с двойным лифом белый M</t>
  </si>
  <si>
    <t xml:space="preserve"> Белоснежная сорочка Colette Plus Size с кружевным лифом белый XXL</t>
  </si>
  <si>
    <t xml:space="preserve"> Белоснежная сорочка Colette Plus Size с кружевным лифом белый XXXL</t>
  </si>
  <si>
    <t xml:space="preserve"> Белая сорочка Colette с кружевным лифом и оторочкой подола белый XL</t>
  </si>
  <si>
    <t xml:space="preserve"> Белая сорочка Colette с кружевным лифом и оторочкой подола белый S</t>
  </si>
  <si>
    <t xml:space="preserve"> Белая сорочка Colette с кружевным лифом и оторочкой подола белый L</t>
  </si>
  <si>
    <t xml:space="preserve"> Белая сорочка Colette с кружевным лифом и оторочкой подола белый M</t>
  </si>
  <si>
    <t xml:space="preserve"> Воздушный бэби-долл Lavela Plus Size с кружевным лифом белый XXL</t>
  </si>
  <si>
    <t xml:space="preserve"> Воздушный бэби-долл Lavela Plus Size с кружевным лифом белый XXXL</t>
  </si>
  <si>
    <t xml:space="preserve"> Воздушный бэби-долл Lavela с ажурным лифом белый XL</t>
  </si>
  <si>
    <t xml:space="preserve"> Воздушный бэби-долл Lavela с ажурным лифом белый L</t>
  </si>
  <si>
    <t xml:space="preserve"> Воздушный бэби-долл Lavela с ажурным лифом белый S</t>
  </si>
  <si>
    <t xml:space="preserve"> Воздушный бэби-долл Lavela с ажурным лифом белый M</t>
  </si>
  <si>
    <t xml:space="preserve"> Полупрозрачная сорочка Nala Plus Size с лёгкими оборками черный XXXL</t>
  </si>
  <si>
    <t xml:space="preserve"> Полупрозрачная сорочка Nala Plus Size с лёгкими оборками черный XXL</t>
  </si>
  <si>
    <t xml:space="preserve"> Полупрозрачная сорочка Nala с оборками черный XL</t>
  </si>
  <si>
    <t xml:space="preserve"> Полупрозрачная сорочка Nala с оборками черный S</t>
  </si>
  <si>
    <t xml:space="preserve"> Полупрозрачная сорочка Nala с оборками черный L</t>
  </si>
  <si>
    <t xml:space="preserve"> Полупрозрачная сорочка Nala с оборками черный M</t>
  </si>
  <si>
    <t xml:space="preserve"> Роскошная сорочка Amysa с кружевным лифом и открытой спинкой черный 1X-2X</t>
  </si>
  <si>
    <t xml:space="preserve"> Роскошная сорочка Amysa с кружевным лифом и открытой спинкой черный 3X-4X</t>
  </si>
  <si>
    <t xml:space="preserve"> Роскошная сорочка Amysa с кружевным лифом и открытой спинкой черный 5X-6X</t>
  </si>
  <si>
    <t xml:space="preserve"> Сорочка Solange с плотным лифом фасона  баллон черный 5X-6X</t>
  </si>
  <si>
    <t xml:space="preserve"> Сорочка Solange с плотным лифом фасона  баллон черный 3X-4X</t>
  </si>
  <si>
    <t xml:space="preserve"> Сорочка Solange с плотным лифом фасона  баллон черный 1X-2X</t>
  </si>
  <si>
    <t xml:space="preserve"> Кружевная сорочка Evona с цветочным узором и оборкой черный 1X-2X</t>
  </si>
  <si>
    <t xml:space="preserve"> Кружевная сорочка Evona с цветочным узором и оборкой черный 3X-4X</t>
  </si>
  <si>
    <t xml:space="preserve"> Кружевная сорочка Evona с цветочным узором и оборкой черный 5X-6X</t>
  </si>
  <si>
    <t xml:space="preserve"> Нежная сорочка Alma Plus Size с кружевной оторочкой черный XXL</t>
  </si>
  <si>
    <t xml:space="preserve"> Нежная сорочка Alma Plus Size с кружевной оторочкой черный XXXL</t>
  </si>
  <si>
    <t xml:space="preserve"> Кружевная сорочка Jaime Plus Size с открытой грудью черный XXXL</t>
  </si>
  <si>
    <t xml:space="preserve"> Кружевная сорочка Jaime Plus Size с открытой грудью черный XXL</t>
  </si>
  <si>
    <t xml:space="preserve"> Ажурная сорочка Jaime с открытой грудью черный XL</t>
  </si>
  <si>
    <t xml:space="preserve"> Ажурная сорочка Jaime с открытой грудью черный L</t>
  </si>
  <si>
    <t xml:space="preserve"> Ажурная сорочка Jaime с открытой грудью черный S</t>
  </si>
  <si>
    <t xml:space="preserve"> Ажурная сорочка Jaime с открытой грудью черный M</t>
  </si>
  <si>
    <t xml:space="preserve"> Полупрозрачная сорочка Sunrise Plus Size с вырезами по диагонали черный XXL</t>
  </si>
  <si>
    <t xml:space="preserve"> Полупрозрачная сорочка Sunrise Plus Size с вырезами по диагонали черный XXXL</t>
  </si>
  <si>
    <t xml:space="preserve"> Полупрозрачная сорочка Sunrise с вырезами от лифа черный XL</t>
  </si>
  <si>
    <t xml:space="preserve"> Полупрозрачная сорочка Sunrise с вырезами от лифа черный S</t>
  </si>
  <si>
    <t xml:space="preserve"> Полупрозрачная сорочка Sunrise с вырезами от лифа черный L</t>
  </si>
  <si>
    <t xml:space="preserve"> Полупрозрачная сорочка Sunrise с вырезами от лифа черный M</t>
  </si>
  <si>
    <t xml:space="preserve"> Полупрозрачная сорочка Tigra Plus Size с открытой спинкой черный XXXL</t>
  </si>
  <si>
    <t xml:space="preserve"> Полупрозрачная сорочка Tigra Plus Size с открытой спинкой черный XXL</t>
  </si>
  <si>
    <t xml:space="preserve"> Облегающая сорочка Desita с оригинальным декором лифа черный 5X-6X</t>
  </si>
  <si>
    <t xml:space="preserve"> Облегающая сорочка Desita с оригинальным декором лифа черный 3X-4X</t>
  </si>
  <si>
    <t xml:space="preserve"> Облегающая сорочка Desita с оригинальным декором лифа черный 1X-2X</t>
  </si>
  <si>
    <t xml:space="preserve"> Полупрозрачный беби-долл Fripa с разрезом от лифа черный 1X-2X</t>
  </si>
  <si>
    <t xml:space="preserve"> Полупрозрачный беби-долл Fripa с разрезом от лифа черный 3X-4X</t>
  </si>
  <si>
    <t xml:space="preserve"> Полупрозрачный беби-долл Fripa с разрезом от лифа черный 5X-6X</t>
  </si>
  <si>
    <t xml:space="preserve"> Облегающая сорочка Kernie с бантиком черный 5X-6X</t>
  </si>
  <si>
    <t xml:space="preserve"> Облегающая сорочка Kernie с бантиком черный 3X-4X</t>
  </si>
  <si>
    <t xml:space="preserve"> Облегающая сорочка Kernie с бантиком черный 1X-2X</t>
  </si>
  <si>
    <t xml:space="preserve"> Яркий бэби-долл Essie с завязками на шее красный XL</t>
  </si>
  <si>
    <t xml:space="preserve"> Яркий бэби-долл Essie с завязками на шее красный L</t>
  </si>
  <si>
    <t xml:space="preserve"> Яркий бэби-долл Essie с завязками на шее красный S</t>
  </si>
  <si>
    <t xml:space="preserve"> Яркий бэби-долл Essie с завязками на шее красный M</t>
  </si>
  <si>
    <t xml:space="preserve"> Воздушный бэби-долл Essie Plus Size с завязками на шее. красный XXL</t>
  </si>
  <si>
    <t xml:space="preserve"> Воздушный бэби-долл Essie Plus Size с завязками на шее. красный XXXL</t>
  </si>
  <si>
    <t xml:space="preserve"> Женственная сорочка Felinda Plus Size с кружевным лифом красный XXXL</t>
  </si>
  <si>
    <t xml:space="preserve"> Женственная сорочка Felinda Plus Size с кружевным лифом красный XXL</t>
  </si>
  <si>
    <t xml:space="preserve"> Облегающая сорочка Felinda с кружевным лифом. красный XL</t>
  </si>
  <si>
    <t xml:space="preserve"> Облегающая сорочка Felinda с кружевным лифом. красный S</t>
  </si>
  <si>
    <t xml:space="preserve"> Облегающая сорочка Felinda с кружевным лифом. красный L</t>
  </si>
  <si>
    <t xml:space="preserve"> Облегающая сорочка Felinda с кружевным лифом. красный M</t>
  </si>
  <si>
    <t xml:space="preserve"> Яркая сорочка Sienna Plus Size с металлическими полукольцами на лифе красный XXL</t>
  </si>
  <si>
    <t xml:space="preserve"> Яркая сорочка Sienna Plus Size с металлическими полукольцами на лифе красный XXXL</t>
  </si>
  <si>
    <t xml:space="preserve"> Коротенькая сорочка Lucilla с открытым лифом черный XL</t>
  </si>
  <si>
    <t xml:space="preserve"> Коротенькая сорочка Lucilla с открытым лифом черный L</t>
  </si>
  <si>
    <t xml:space="preserve"> Коротенькая сорочка Lucilla с открытым лифом черный S</t>
  </si>
  <si>
    <t xml:space="preserve"> Коротенькая сорочка Lucilla с открытым лифом черный M</t>
  </si>
  <si>
    <t xml:space="preserve"> Кружевная сорочка Physis с бахромой черный M</t>
  </si>
  <si>
    <t xml:space="preserve"> Кружевная сорочка Physis с бахромой черный L</t>
  </si>
  <si>
    <t xml:space="preserve"> Кружевная сорочка Physis с бахромой черный S</t>
  </si>
  <si>
    <t xml:space="preserve"> Кружевная сорочка Physis с бахромой черный XL</t>
  </si>
  <si>
    <t xml:space="preserve"> Ажурная сорочка Physis Plus Size с бахромой черный XXXL</t>
  </si>
  <si>
    <t xml:space="preserve"> Ажурная сорочка Physis Plus Size с бахромой черный XXL</t>
  </si>
  <si>
    <t xml:space="preserve"> Облегающая сорочка Cylenne Plus Size из ажура черный XXL</t>
  </si>
  <si>
    <t xml:space="preserve"> Облегающая сорочка Cylenne Plus Size из ажура черный XXXL</t>
  </si>
  <si>
    <t xml:space="preserve"> Облегающая сорочка Cylenne со шнуровками черный XL</t>
  </si>
  <si>
    <t xml:space="preserve"> Облегающая сорочка Cylenne со шнуровками черный S</t>
  </si>
  <si>
    <t xml:space="preserve"> Облегающая сорочка Cylenne со шнуровками черный L</t>
  </si>
  <si>
    <t xml:space="preserve"> Облегающая сорочка Cylenne со шнуровками черный M</t>
  </si>
  <si>
    <t xml:space="preserve"> Чувственная сорочка Sollea Plus Size со шнуровкой на спинке черный XXXL</t>
  </si>
  <si>
    <t xml:space="preserve"> Чувственная сорочка Sollea Plus Size со шнуровкой на спинке черный XXL</t>
  </si>
  <si>
    <t xml:space="preserve"> Роскошная сорочка Sollea из тюля со шнуровкой сзади черный XL</t>
  </si>
  <si>
    <t xml:space="preserve"> Роскошная сорочка Sollea из тюля со шнуровкой сзади черный L</t>
  </si>
  <si>
    <t xml:space="preserve"> Роскошная сорочка Sollea из тюля со шнуровкой сзади черный S</t>
  </si>
  <si>
    <t xml:space="preserve"> Роскошная сорочка Sollea из тюля со шнуровкой сзади черный M</t>
  </si>
  <si>
    <t xml:space="preserve"> Соблазнительная сорочка Yammy из полупрозрачного материала черный с красным 1X-2X</t>
  </si>
  <si>
    <t xml:space="preserve"> Соблазнительная сорочка Yammy из полупрозрачного материала черный с красным 5X-6X</t>
  </si>
  <si>
    <t xml:space="preserve"> Соблазнительная сорочка Yammy из полупрозрачного материала черный с красным 3X-4X</t>
  </si>
  <si>
    <t xml:space="preserve"> Страстная сорочка Indiana Plus Size с пажами для чулок черный с красным XXL</t>
  </si>
  <si>
    <t xml:space="preserve"> Страстная сорочка Indiana Plus Size с пажами для чулок черный с красным XXXL</t>
  </si>
  <si>
    <t xml:space="preserve"> Обольстительная сорочка Apolonya с кружевным лифом черный с красным XL</t>
  </si>
  <si>
    <t xml:space="preserve"> Обольстительная сорочка Apolonya с кружевным лифом черный с красным S</t>
  </si>
  <si>
    <t xml:space="preserve"> Обольстительная сорочка Apolonya с кружевным лифом черный с красным L</t>
  </si>
  <si>
    <t xml:space="preserve"> Обольстительная сорочка Apolonya с кружевным лифом черный с красным M</t>
  </si>
  <si>
    <t xml:space="preserve"> Длинная сорочка Apolonya Plus Size с кружевным лифом черный с красным XXL</t>
  </si>
  <si>
    <t xml:space="preserve"> Длинная сорочка Apolonya Plus Size с кружевным лифом черный с красным XXXL</t>
  </si>
  <si>
    <t xml:space="preserve"> Пеньюар Islla с запахом и рукавами 1/2 черный 5X-6X</t>
  </si>
  <si>
    <t xml:space="preserve"> Пеньюар Islla с запахом и рукавами 1/2 черный 3X-4X</t>
  </si>
  <si>
    <t xml:space="preserve"> Пеньюар Islla с запахом и рукавами 1/2 черный 1X-2X</t>
  </si>
  <si>
    <t xml:space="preserve"> Полупрозрачный пеньюар Camelie Plus Size с рукавами 3/4 черный XXXL</t>
  </si>
  <si>
    <t xml:space="preserve"> Полупрозрачный пеньюар Camelie Plus Size с рукавами 3/4 черный XXL</t>
  </si>
  <si>
    <t xml:space="preserve"> Прозрачный пеньюар на пояске Anthis Plus Size с оторочкой атласом черный XXL</t>
  </si>
  <si>
    <t xml:space="preserve"> Прозрачный пеньюар на пояске Anthis Plus Size с оторочкой атласом черный XXXL</t>
  </si>
  <si>
    <t xml:space="preserve"> Полупрозрачный тюлевый пеньюар Chanice Plus Size черный XXXL</t>
  </si>
  <si>
    <t xml:space="preserve"> Полупрозрачный тюлевый пеньюар Chanice Plus Size черный XXL</t>
  </si>
  <si>
    <t xml:space="preserve"> Полупрозрачный пеньюар Chanice из тюля черный XL</t>
  </si>
  <si>
    <t xml:space="preserve"> Полупрозрачный пеньюар Chanice из тюля черный L</t>
  </si>
  <si>
    <t xml:space="preserve"> Полупрозрачный пеньюар Chanice из тюля черный S</t>
  </si>
  <si>
    <t xml:space="preserve"> Полупрозрачный пеньюар Chanice из тюля черный M</t>
  </si>
  <si>
    <t xml:space="preserve"> Укороченный пеньюар Saffie Plus Size с завязками на лифе красный XXL</t>
  </si>
  <si>
    <t xml:space="preserve"> Укороченный пеньюар Saffie Plus Size с завязками на лифе красный XXXL</t>
  </si>
  <si>
    <t xml:space="preserve"> Коротенький бэби-долл с оборками красный S-M</t>
  </si>
  <si>
    <t xml:space="preserve"> Коротенький бэби-долл с оборками красный L-XL</t>
  </si>
  <si>
    <t xml:space="preserve"> Облегающая сорочка с оборками красный L-XL</t>
  </si>
  <si>
    <t xml:space="preserve"> Облегающая сорочка с оборками красный S-M</t>
  </si>
  <si>
    <t xml:space="preserve"> Оригинальная полупрозрачная сорочка Elza с лифом-сердцем красный S-M</t>
  </si>
  <si>
    <t xml:space="preserve"> Оригинальная полупрозрачная сорочка Elza с лифом-сердцем черный S-M</t>
  </si>
  <si>
    <t xml:space="preserve"> Оригинальная полупрозрачная сорочка Elza с лифом-сердцем белый S-M</t>
  </si>
  <si>
    <t xml:space="preserve"> Оригинальная полупрозрачная сорочка Elza с лифом-сердцем красный L-XL</t>
  </si>
  <si>
    <t xml:space="preserve"> Оригинальная полупрозрачная сорочка Elza с лифом-сердцем черный L-XL</t>
  </si>
  <si>
    <t xml:space="preserve"> Оригинальная полупрозрачная сорочка Elza с лифом-сердцем белый L-XL</t>
  </si>
  <si>
    <t xml:space="preserve"> Оригинальная полупрозрачная сорочка Elza Plus Size с лифом-сердечком белый XXL-XXXL</t>
  </si>
  <si>
    <t xml:space="preserve"> Оригинальная полупрозрачная сорочка Elza Plus Size с лифом-сердечком красный XXL-XXXL</t>
  </si>
  <si>
    <t xml:space="preserve"> Оригинальная полупрозрачная сорочка Elza Plus Size с лифом-сердечком черный XXL-XXXL</t>
  </si>
  <si>
    <t xml:space="preserve"> Укороченная облегающая сорочка Carla с открытым лифом черный L-XL</t>
  </si>
  <si>
    <t xml:space="preserve"> Укороченная облегающая сорочка Carla с открытым лифом черный S-M</t>
  </si>
  <si>
    <t xml:space="preserve"> Очаровательная сорочка Goldie из прозрачного тюля черный S-M</t>
  </si>
  <si>
    <t xml:space="preserve"> Очаровательная сорочка Goldie из прозрачного тюля черный L-XL</t>
  </si>
  <si>
    <t xml:space="preserve"> Необычная кружевная сорочка Catia со шлейфом и бантиками белый L-XL</t>
  </si>
  <si>
    <t xml:space="preserve"> Необычная кружевная сорочка Catia со шлейфом и бантиками белый S-M</t>
  </si>
  <si>
    <t xml:space="preserve"> Необычная кружевная сорочка Catia Plus Size со шлейфом и бантиками белый XXL-XXXL</t>
  </si>
  <si>
    <t xml:space="preserve"> Сорочка Brasiliana с плотным лифом черный L-XL</t>
  </si>
  <si>
    <t xml:space="preserve"> Сорочка Brasiliana с плотным лифом черный S-M</t>
  </si>
  <si>
    <t xml:space="preserve"> Облегающая сорочка Eve с кружевным лифом на шнуровке коралловый S-M</t>
  </si>
  <si>
    <t xml:space="preserve"> Облегающая сорочка Eve с кружевным лифом на шнуровке коралловый L-XL</t>
  </si>
  <si>
    <t xml:space="preserve"> Сорочка Fleur с полупрозрачными вставками по бокам синий S-M</t>
  </si>
  <si>
    <t xml:space="preserve"> Сорочка Fleur с полупрозрачными вставками по бокам синий L-XL</t>
  </si>
  <si>
    <t xml:space="preserve"> Тюлевая сорочка Amelie с кружевным лифом и открытой спинкой белый S-M</t>
  </si>
  <si>
    <t xml:space="preserve"> Тюлевая сорочка Amelie с кружевным лифом и открытой спинкой белый L-XL</t>
  </si>
  <si>
    <t xml:space="preserve"> Тюлевая сорочка Amelie Plus Size с кружевным лифом и открытой спинкой белый XXL-XXXL</t>
  </si>
  <si>
    <t xml:space="preserve"> Прозрачный коротенький пеньюар Diva на завязках черный L-XL</t>
  </si>
  <si>
    <t xml:space="preserve"> Прозрачный коротенький пеньюар Diva на завязках черный S-M</t>
  </si>
  <si>
    <t xml:space="preserve"> Полупрозрачный бэби-долл Janet с кружевным лифом белый S-M</t>
  </si>
  <si>
    <t xml:space="preserve"> Полупрозрачный бэби-долл Janet с кружевным лифом белый L-XL</t>
  </si>
  <si>
    <t xml:space="preserve"> Кружевная сорочка Yolanda с широким вырезом горловины нежно-розовый L-XL</t>
  </si>
  <si>
    <t xml:space="preserve"> Кружевная сорочка Yolanda с широким вырезом горловины черный L-XL</t>
  </si>
  <si>
    <t xml:space="preserve"> Кружевная сорочка Yolanda с широким вырезом горловины черный S-M</t>
  </si>
  <si>
    <t xml:space="preserve"> Кружевная сорочка Yolanda с широким вырезом горловины нежно-розовый S-M</t>
  </si>
  <si>
    <t xml:space="preserve"> Ажурная сорочка Yolanda Plus Size с широким вырезом горловины нежно-розовый XXL-XXXL</t>
  </si>
  <si>
    <t xml:space="preserve"> Ажурная сорочка Yolanda Plus Size с широким вырезом горловины черный XXL-XXXL</t>
  </si>
  <si>
    <t xml:space="preserve"> Золотистый пеньюар Goldie Plus Size с поясом и короткими широкими рукавчиками золотистый XXL-XXXL</t>
  </si>
  <si>
    <t xml:space="preserve"> Коротенькая сорочка Eleni со шнуровкой по всей длине белый с синим 6X-7X</t>
  </si>
  <si>
    <t xml:space="preserve"> Коротенькая сорочка Eleni со шнуровкой по всей длине белый с синим 4X-5X</t>
  </si>
  <si>
    <t xml:space="preserve"> Романтичная сорочка Celia Plus Size из полупрозрачного материала черный с красным XXL-XXXL</t>
  </si>
  <si>
    <t xml:space="preserve"> Романтичная сорочка Celia Plus Size из полупрозрачного материала черный XXL-XXXL</t>
  </si>
  <si>
    <t xml:space="preserve"> Коротенькая сорочка Blink с лёгкой кружевной оторочкой лифа и бантом черный L-XL</t>
  </si>
  <si>
    <t xml:space="preserve"> Коротенькая сорочка Blink с лёгкой кружевной оторочкой лифа и бантом черный S-M</t>
  </si>
  <si>
    <t xml:space="preserve"> Кружевная сорочка Daiva Plus Size на тонких бретелях черный XXL-XXXL</t>
  </si>
  <si>
    <t xml:space="preserve"> Кружевная сорочка Daiva Plus Size на тонких бретелях белый XXL-XXXL</t>
  </si>
  <si>
    <t xml:space="preserve"> Сорочка Nora Plus Size с открытой спиной и полупрозрачными вставками черный XXL-XXXL</t>
  </si>
  <si>
    <t xml:space="preserve"> Тюлевая сорочка Sienna с полуоткрытой спинкой черный L-XL</t>
  </si>
  <si>
    <t xml:space="preserve"> Тюлевая сорочка Sienna с полуоткрытой спинкой черный S-M</t>
  </si>
  <si>
    <t xml:space="preserve"> Полупрозрачная сорочка Vasper Plus Size со сборками и шнуровками черный XXL-XXXL</t>
  </si>
  <si>
    <t xml:space="preserve"> Полупрозрачная сорочка Ana с ромбовидным узором черный L-XL</t>
  </si>
  <si>
    <t xml:space="preserve"> Полупрозрачная сорочка Ana с ромбовидным узором черный S-M</t>
  </si>
  <si>
    <t xml:space="preserve"> Облегающая сорочка Ana Plus Size с ромбовидным узором черный XXL-XXXL</t>
  </si>
  <si>
    <t xml:space="preserve"> Полупрозрачная сорочка Enrica с алой лентой под грудью черный с красным L-XL</t>
  </si>
  <si>
    <t xml:space="preserve"> Полупрозрачная сорочка Enrica с алой лентой под грудью черный с красным S-M</t>
  </si>
  <si>
    <t xml:space="preserve"> Полупрозрачная сорочка Luiza с мелкими рюшами и бантом черный с красным S-M</t>
  </si>
  <si>
    <t xml:space="preserve"> Полупрозрачная сорочка Luiza с мелкими рюшами и бантом черный с красным L-XL</t>
  </si>
  <si>
    <t xml:space="preserve"> Облегающая сорочка Lumia с бантами-завязками на лифе черный L-XL</t>
  </si>
  <si>
    <t xml:space="preserve"> Облегающая сорочка Lumia с бантами-завязками на лифе черный S-M</t>
  </si>
  <si>
    <t xml:space="preserve"> Коротенькая сорочка Margarida с открытыми плечами и рюшевой отделкой черный S-M</t>
  </si>
  <si>
    <t xml:space="preserve"> Коротенькая сорочка Margarida с открытыми плечами и рюшевой отделкой черный L-XL</t>
  </si>
  <si>
    <t xml:space="preserve"> Полупрозрачная сорочка Margarida Plus Size с открытыми плечами и рюшевой отделкой черный XXL-XXXL</t>
  </si>
  <si>
    <t xml:space="preserve"> Облегающая сорочка Pauline Plus Size с кружевной вставкой по центру черный XXL-XXXL</t>
  </si>
  <si>
    <t xml:space="preserve"> Полупрозрачная сорочка Aurora Plus Size с цветочным рисунком черный XXL-XXXL</t>
  </si>
  <si>
    <t xml:space="preserve"> Облегающая сорочка Lovia Plus Size с прозрачными деталями черный XXL-XXXL</t>
  </si>
  <si>
    <t xml:space="preserve"> Облегающая сорочка Lovia Plus Size с прозрачными деталями красный с черным XXL-XXXL</t>
  </si>
  <si>
    <t xml:space="preserve"> Кружевная сорочка Aras с атласным лифом черный с розовым L-XL</t>
  </si>
  <si>
    <t xml:space="preserve"> Кружевная сорочка Aras с атласным лифом черный с розовым S-M</t>
  </si>
  <si>
    <t xml:space="preserve"> Сорочка Effi Plus Size в мелкий горох черный XXL-XXXL</t>
  </si>
  <si>
    <t xml:space="preserve"> Сорочка Effi Plus Size в мелкий горох белый XXL-XXXL</t>
  </si>
  <si>
    <t xml:space="preserve"> Сорочка в тонкую полоску Larisa с кружевным лифом черный с белым 4X-5X</t>
  </si>
  <si>
    <t xml:space="preserve"> Сорочка в тонкую полоску Larisa с кружевным лифом черный с белым 6X-7X</t>
  </si>
  <si>
    <t xml:space="preserve"> Сорочка в тонкую полоску Larisa с кружевным лифом черный с белым XXL-XXXL</t>
  </si>
  <si>
    <t xml:space="preserve"> Сорочка Larisa в тонкую полоску с кружевным лифом черный с белым L-XL</t>
  </si>
  <si>
    <t xml:space="preserve"> Сорочка Larisa в тонкую полоску с кружевным лифом черный с белым S-M</t>
  </si>
  <si>
    <t xml:space="preserve"> Пеньюар Federica с цветочным кружевом белый S-M</t>
  </si>
  <si>
    <t xml:space="preserve"> Пеньюар Federica с цветочным кружевом черный S-M</t>
  </si>
  <si>
    <t xml:space="preserve"> Пеньюар Federica с цветочным кружевом белый L-XL</t>
  </si>
  <si>
    <t xml:space="preserve"> Пеньюар Federica с цветочным кружевом черный L-XL</t>
  </si>
  <si>
    <t xml:space="preserve"> Соблазнительная сорочка Lena с открытой спинкой и сборкой на попке красный с черным 6X-7X</t>
  </si>
  <si>
    <t xml:space="preserve"> Соблазнительная сорочка Lena с открытой спинкой и сборкой на попке красный с черным 4X-5X</t>
  </si>
  <si>
    <t xml:space="preserve"> Облегающая сорочка Zoja со шнуровкой на спинке черный 6X-7X</t>
  </si>
  <si>
    <t xml:space="preserve"> Облегающая сорочка Zoja со шнуровкой на спинке черный 4X-5X</t>
  </si>
  <si>
    <t xml:space="preserve"> Облегающая сорочка Zoja со шнуровкой на спинке черный XXL-XXXL</t>
  </si>
  <si>
    <t xml:space="preserve"> Облегающая сорочка Zoja со шнуровкой на спинке черный L-XL</t>
  </si>
  <si>
    <t xml:space="preserve"> Облегающая сорочка Zoja со шнуровкой на спинке черный S-M</t>
  </si>
  <si>
    <t xml:space="preserve"> Коротенькая сорочка Denver с вырезами на лифе черный S-M</t>
  </si>
  <si>
    <t xml:space="preserve"> Коротенькая сорочка Denver с вырезами на лифе черный L-XL</t>
  </si>
  <si>
    <t xml:space="preserve"> Облегающая сорочка Avril с кружевом и пояском черный с красным L-XL</t>
  </si>
  <si>
    <t xml:space="preserve"> Облегающая сорочка Avril с кружевом и пояском черный с красным S-M</t>
  </si>
  <si>
    <t xml:space="preserve"> Полупрозрачная сорочка Beryl из тюля черный S-M</t>
  </si>
  <si>
    <t xml:space="preserve"> Полупрозрачная сорочка Beryl из тюля черный L-XL</t>
  </si>
  <si>
    <t xml:space="preserve"> Облегающая сорочка Chelsa с прозрачным лифом из тюля черный L-XL</t>
  </si>
  <si>
    <t xml:space="preserve"> Облегающая сорочка Chelsa с прозрачным лифом из тюля черный S-M</t>
  </si>
  <si>
    <t xml:space="preserve"> Полупрозрачная тюлевая сорочка Obsydian в комплекте с открытыми трусиками черный S-M</t>
  </si>
  <si>
    <t xml:space="preserve"> Полупрозрачная тюлевая сорочка Obsydian в комплекте с открытыми трусиками черный L-XL</t>
  </si>
  <si>
    <t xml:space="preserve"> Облегающая сорочка Maddie с цветочным кружевом черный L-XL</t>
  </si>
  <si>
    <t xml:space="preserve"> Облегающая сорочка Maddie с цветочным кружевом черный S-M</t>
  </si>
  <si>
    <t xml:space="preserve"> Облегающая сорочка Nanna с кружевной оторочкой черный с белым S-M</t>
  </si>
  <si>
    <t xml:space="preserve"> Облегающая сорочка Nanna с кружевной оторочкой черный с белым L-XL</t>
  </si>
  <si>
    <t xml:space="preserve"> Облегающая сорочка Nanna Plus Size с кружевной отделкой черный с белым XXL-XXXL</t>
  </si>
  <si>
    <t xml:space="preserve"> Соблазнительный пеньюар Fabienne с кружевом белый L-XL</t>
  </si>
  <si>
    <t xml:space="preserve"> Соблазнительный пеньюар Fabienne с кружевом черный L-XL</t>
  </si>
  <si>
    <t xml:space="preserve"> Соблазнительный пеньюар Fabienne с кружевом белый S-M</t>
  </si>
  <si>
    <t xml:space="preserve"> Соблазнительный пеньюар Fabienne с кружевом черный S-M</t>
  </si>
  <si>
    <t xml:space="preserve"> Соблазнительный пеньюар Magnolia с цветочным кружевом белый S-M</t>
  </si>
  <si>
    <t xml:space="preserve"> Соблазнительный пеньюар Magnolia с цветочным кружевом белый L-XL</t>
  </si>
  <si>
    <t xml:space="preserve"> Сорочка Alexandra с кружевной вставкой по центру белый L-XL</t>
  </si>
  <si>
    <t xml:space="preserve"> Сорочка Alexandra с кружевной вставкой по центру черный L-XL</t>
  </si>
  <si>
    <t xml:space="preserve"> Сорочка Alexandra с кружевной вставкой по центру белый S-M</t>
  </si>
  <si>
    <t xml:space="preserve"> Сорочка Alexandra с кружевной вставкой по центру черный S-M</t>
  </si>
  <si>
    <t xml:space="preserve"> Пеньюар Alexandra с кружевными вставками на рукавах черный S-M</t>
  </si>
  <si>
    <t xml:space="preserve"> Пеньюар Alexandra с кружевными вставками на рукавах белый S-M</t>
  </si>
  <si>
    <t xml:space="preserve"> Пеньюар Alexandra с кружевными вставками на рукавах черный L-XL</t>
  </si>
  <si>
    <t xml:space="preserve"> Пеньюар Alexandra с кружевными вставками на рукавах белый L-XL</t>
  </si>
  <si>
    <t xml:space="preserve"> Пеньюар Ambrosia с кружевной оторочкой и пикантными вырезами белый L-XL</t>
  </si>
  <si>
    <t xml:space="preserve"> Пеньюар Ambrosia с кружевной оторочкой и пикантными вырезами черный L-XL</t>
  </si>
  <si>
    <t xml:space="preserve"> Пеньюар Ambrosia с кружевной оторочкой и пикантными вырезами белый S-M</t>
  </si>
  <si>
    <t xml:space="preserve"> Пеньюар Ambrosia с кружевной оторочкой и пикантными вырезами черный S-M</t>
  </si>
  <si>
    <t xml:space="preserve"> Чувственная ажурная сорочка Ravenna с пажами черный S-M</t>
  </si>
  <si>
    <t xml:space="preserve"> Чувственная ажурная сорочка Ravenna с пажами белый S-M</t>
  </si>
  <si>
    <t xml:space="preserve"> Чувственная ажурная сорочка Ravenna с пажами черный L-XL</t>
  </si>
  <si>
    <t xml:space="preserve"> Чувственная ажурная сорочка Ravenna с пажами белый L-XL</t>
  </si>
  <si>
    <t xml:space="preserve"> Длинный пеньюар Bouquet с поясом белый L-XL</t>
  </si>
  <si>
    <t xml:space="preserve"> Длинный пеньюар Bouquet с поясом черный L-XL</t>
  </si>
  <si>
    <t xml:space="preserve"> Длинный пеньюар Bouquet с поясом белый S-M</t>
  </si>
  <si>
    <t xml:space="preserve"> Длинный пеньюар Bouquet с поясом бирюзовый S-M</t>
  </si>
  <si>
    <t xml:space="preserve"> Длинный пеньюар Bouquet с поясом черный S-M</t>
  </si>
  <si>
    <t xml:space="preserve"> Длинный пеньюар Bouquet с поясом бирюзовый L-XL</t>
  </si>
  <si>
    <t xml:space="preserve"> Оригинальный пеньюар Electra с кружевами и капюшоном красный S-M</t>
  </si>
  <si>
    <t xml:space="preserve"> Оригинальный пеньюар Electra с кружевами и капюшоном красный L-XL</t>
  </si>
  <si>
    <t xml:space="preserve"> Роскошная сорочка Michele с кружевами золотистый с черным L-XL</t>
  </si>
  <si>
    <t xml:space="preserve"> Роскошная сорочка Michele с кружевами голубой с черным L-XL</t>
  </si>
  <si>
    <t xml:space="preserve"> Роскошная сорочка Michele с кружевами красный с черным S-M</t>
  </si>
  <si>
    <t xml:space="preserve"> Роскошная сорочка Michele с кружевами золотистый с черным S-M</t>
  </si>
  <si>
    <t xml:space="preserve"> Роскошная сорочка Michele с кружевами белый с черным S-M</t>
  </si>
  <si>
    <t xml:space="preserve"> Роскошная сорочка Michele с кружевами голубой с черным S-M</t>
  </si>
  <si>
    <t xml:space="preserve"> Роскошная сорочка Michele с кружевами белый с черным L-XL</t>
  </si>
  <si>
    <t xml:space="preserve"> Роскошная сорочка Michele с кружевами красный с черным L-XL</t>
  </si>
  <si>
    <t xml:space="preserve"> Пеньюар Prilance с кружевами в верхней части белый One Size</t>
  </si>
  <si>
    <t xml:space="preserve"> Пеньюар Prilance с кружевами в верхней части черный One Size</t>
  </si>
  <si>
    <t xml:space="preserve"> Пеньюар Prilance с кружевами в верхней части красный One Size</t>
  </si>
  <si>
    <t xml:space="preserve"> Роскошный пеньюар Prilance Plus Size с кружевами красный XL-XXL</t>
  </si>
  <si>
    <t xml:space="preserve"> Роскошный пеньюар Prilance Plus Size с кружевами черный XL-XXL</t>
  </si>
  <si>
    <t xml:space="preserve"> Роскошный пеньюар Prilance Plus Size с кружевами белый XL-XXL</t>
  </si>
  <si>
    <t xml:space="preserve"> Укороченная свободная сорочка Malvine с кружевами золотистый с черным L-XL</t>
  </si>
  <si>
    <t xml:space="preserve"> Укороченная свободная сорочка Malvine с кружевами белый L-XL</t>
  </si>
  <si>
    <t xml:space="preserve"> Укороченная свободная сорочка Malvine с кружевами белый S-M</t>
  </si>
  <si>
    <t xml:space="preserve"> Укороченная свободная сорочка Malvine с кружевами золотистый с черным S-M</t>
  </si>
  <si>
    <t xml:space="preserve"> Пикантная сорочка Petra с кружевными вставками белый S-M</t>
  </si>
  <si>
    <t xml:space="preserve"> Пикантная сорочка Petra с кружевными вставками черный S-M</t>
  </si>
  <si>
    <t xml:space="preserve"> Пикантная сорочка Petra с кружевными вставками белый L-XL</t>
  </si>
  <si>
    <t xml:space="preserve"> Пикантная сорочка Petra с кружевными вставками черный L-XL</t>
  </si>
  <si>
    <t xml:space="preserve"> Сорочка Shannon на тонких бретелях черный L-XL</t>
  </si>
  <si>
    <t xml:space="preserve"> Сорочка Shannon на тонких бретелях кремовый L-XL</t>
  </si>
  <si>
    <t xml:space="preserve"> Сорочка Shannon на тонких бретелях черный S-M</t>
  </si>
  <si>
    <t xml:space="preserve"> Сорочка Shannon на тонких бретелях кремовый S-M</t>
  </si>
  <si>
    <t xml:space="preserve"> Пеньюар Shannon с кружевными вставками кремовый S-M</t>
  </si>
  <si>
    <t xml:space="preserve"> Пеньюар Shannon с кружевными вставками черный S-M</t>
  </si>
  <si>
    <t xml:space="preserve"> Пеньюар Shannon с кружевными вставками кремовый L-XL</t>
  </si>
  <si>
    <t xml:space="preserve"> Пеньюар Shannon с кружевными вставками черный L-XL</t>
  </si>
  <si>
    <t xml:space="preserve"> Облегающая сорочка Adelaide с кружевом черный L-XL</t>
  </si>
  <si>
    <t xml:space="preserve"> Облегающая сорочка Adelaide с кружевом белый L-XL</t>
  </si>
  <si>
    <t xml:space="preserve"> Облегающая сорочка Adelaide с кружевом розовый L-XL</t>
  </si>
  <si>
    <t xml:space="preserve"> Облегающая сорочка Adelaide с кружевом черный S-M</t>
  </si>
  <si>
    <t xml:space="preserve"> Облегающая сорочка Adelaide с кружевом белый S-M</t>
  </si>
  <si>
    <t xml:space="preserve"> Облегающая сорочка Adelaide с кружевом розовый S-M</t>
  </si>
  <si>
    <t xml:space="preserve"> Облегающая сорочка Brida с кружевным лифом и вырезом на спинке красный с черным S-M</t>
  </si>
  <si>
    <t xml:space="preserve"> Облегающая сорочка Brida с кружевным лифом и вырезом на спинке черный S-M</t>
  </si>
  <si>
    <t xml:space="preserve"> Облегающая сорочка Brida с кружевным лифом и вырезом на спинке красный с черным L-XL</t>
  </si>
  <si>
    <t xml:space="preserve"> Облегающая сорочка Brida с кружевным лифом и вырезом на спинке черный L-XL</t>
  </si>
  <si>
    <t xml:space="preserve"> Соблазнительный пеньюар Stephanie черный L-XL</t>
  </si>
  <si>
    <t xml:space="preserve"> Соблазнительный пеньюар Stephanie золотистый с черным L-XL</t>
  </si>
  <si>
    <t xml:space="preserve"> Соблазнительный пеньюар Stephanie черный S-M</t>
  </si>
  <si>
    <t xml:space="preserve"> Соблазнительный пеньюар Stephanie золотистый с черным S-M</t>
  </si>
  <si>
    <t xml:space="preserve"> Соблазнительный пеньюар Stephanie белый с черным S-M</t>
  </si>
  <si>
    <t xml:space="preserve"> Соблазнительный пеньюар Stephanie белый с черным L-XL</t>
  </si>
  <si>
    <t xml:space="preserve"> Нежная сорочка Bianca Plus Sizeс аксессуарами для игры белый XXL-XXXL</t>
  </si>
  <si>
    <t xml:space="preserve"> Оригинальный пеньюар с поясом Florence Plus Size красный XXL-XXXL</t>
  </si>
  <si>
    <t xml:space="preserve"> Оригинальный пеньюар с поясом Florence Plus Size розовый XXL-XXXL</t>
  </si>
  <si>
    <t xml:space="preserve"> Оригинальный пеньюар с поясом Florence Plus Size черный XXL-XXXL</t>
  </si>
  <si>
    <t xml:space="preserve"> Длинная ажурная сорочка-труба Branca в комплекте с перчатками белый L-XL</t>
  </si>
  <si>
    <t xml:space="preserve"> Длинная ажурная сорочка-труба Branca в комплекте с перчатками черный L-XL</t>
  </si>
  <si>
    <t xml:space="preserve"> Длинная ажурная сорочка-труба Branca в комплекте с перчатками белый S-M</t>
  </si>
  <si>
    <t xml:space="preserve"> Длинная ажурная сорочка-труба Branca в комплекте с перчатками черный S-M</t>
  </si>
  <si>
    <t xml:space="preserve"> Оригинальный пеньюар Florence с поясом черный S-M</t>
  </si>
  <si>
    <t xml:space="preserve"> Оригинальный пеньюар Florence с поясом розовый S-M</t>
  </si>
  <si>
    <t xml:space="preserve"> Оригинальный пеньюар Florence с поясом красный S-M</t>
  </si>
  <si>
    <t xml:space="preserve"> Оригинальный пеньюар Florence с поясом черный L-XL</t>
  </si>
  <si>
    <t xml:space="preserve"> Оригинальный пеньюар Florence с поясом красный L-XL</t>
  </si>
  <si>
    <t xml:space="preserve"> Оригинальный пеньюар Florence с поясом розовый L-XL</t>
  </si>
  <si>
    <t xml:space="preserve"> Соблазнительная сорочка Amara с цветочным кружевом и разрезом белый L-XL</t>
  </si>
  <si>
    <t xml:space="preserve"> Соблазнительная сорочка Amara с цветочным кружевом и разрезом белый S-M</t>
  </si>
  <si>
    <t xml:space="preserve"> Коротенькая сорочка Blink Plus Size с лёгкой кружевной оторочкой лифа и бантом черный XXL-XXXL</t>
  </si>
  <si>
    <t xml:space="preserve"> Белая сорочка Catalina Plus Size с полуоткрытой спиной белый XXL-XXXL</t>
  </si>
  <si>
    <t xml:space="preserve"> Облегающая сорочка Brida Plus Size с кружевным лифом и вырезом на спине черный XXL-XXXL</t>
  </si>
  <si>
    <t xml:space="preserve"> Облегающая сорочка Brida Plus Size с кружевным лифом и вырезом на спине красный с черным XXL-XXXL</t>
  </si>
  <si>
    <t xml:space="preserve"> Полупрозрачная сорочка Enrica Plus Size с алой лентой под грудью черный с красным XXL-XXXL</t>
  </si>
  <si>
    <t xml:space="preserve"> Соблазнительная сорочка Enna Plus Size с прозрачным лифом без косточек черный XXL-XXXL</t>
  </si>
  <si>
    <t xml:space="preserve"> Коротенькая сорочка Lucilla Plus Size с открытым лифом черный XXXL</t>
  </si>
  <si>
    <t xml:space="preserve"> Коротенькая сорочка Lucilla Plus Size с открытым лифом черный XXL</t>
  </si>
  <si>
    <t xml:space="preserve"> Яркий бэби-долл с изысканным цветочным кружевом красный S-M</t>
  </si>
  <si>
    <t xml:space="preserve"> Яркий бэби-долл с изысканным цветочным кружевом красный L-XL</t>
  </si>
  <si>
    <t xml:space="preserve"> Коротенькая прозрачная сорочка Mia белый L-XL</t>
  </si>
  <si>
    <t xml:space="preserve"> Коротенькая прозрачная сорочка Mia черный L-XL</t>
  </si>
  <si>
    <t xml:space="preserve"> Коротенькая прозрачная сорочка Mia белый S-M</t>
  </si>
  <si>
    <t xml:space="preserve"> Коротенькая прозрачная сорочка Mia черный S-M</t>
  </si>
  <si>
    <t xml:space="preserve"> Коротенькая прозрачная сорочка Mia Plus Size на тонких бретелях черный XXL-XXXL</t>
  </si>
  <si>
    <t xml:space="preserve"> Коротенькая прозрачная сорочка Mia Plus Size на тонких бретелях белый XXL-XXXL</t>
  </si>
  <si>
    <t xml:space="preserve"> Контурная сорочка Selma из лент и оборок черный L-XL</t>
  </si>
  <si>
    <t xml:space="preserve"> Контурная сорочка Selma из лент и оборок черный S-M</t>
  </si>
  <si>
    <t xml:space="preserve"> Короткая сорочка Julia розовый с черным S-M</t>
  </si>
  <si>
    <t xml:space="preserve"> Короткая сорочка Julia розовый с черным L-XL</t>
  </si>
  <si>
    <t xml:space="preserve"> Облегающая полупрозрачная сорочка Palmira белый L-XL</t>
  </si>
  <si>
    <t xml:space="preserve"> Облегающая полупрозрачная сорочка Palmira красный L-XL</t>
  </si>
  <si>
    <t xml:space="preserve"> Облегающая полупрозрачная сорочка Palmira черный L-XL</t>
  </si>
  <si>
    <t xml:space="preserve"> Облегающая полупрозрачная сорочка Palmira белый S-M</t>
  </si>
  <si>
    <t xml:space="preserve"> Облегающая полупрозрачная сорочка Palmira красный S-M</t>
  </si>
  <si>
    <t xml:space="preserve"> Укороченная сорочка Mila с кружевным лифом черный с белым S-M</t>
  </si>
  <si>
    <t xml:space="preserve"> Укороченная сорочка Mila с кружевным лифом белый S-M</t>
  </si>
  <si>
    <t xml:space="preserve"> Укороченная сорочка Mila с кружевным лифом красный с белым S-M</t>
  </si>
  <si>
    <t xml:space="preserve"> Укороченная сорочка Mila с кружевным лифом черный с белым L-XL</t>
  </si>
  <si>
    <t xml:space="preserve"> Укороченная сорочка Mila с кружевным лифом красный с белым L-XL</t>
  </si>
  <si>
    <t xml:space="preserve"> Укороченная сорочка Mila Plus Size с кружевным лифом черный с белым XXL-XXXL</t>
  </si>
  <si>
    <t xml:space="preserve"> Укороченная сорочка Mila Plus Size с кружевным лифом красный с белым XXL-XXXL</t>
  </si>
  <si>
    <t xml:space="preserve"> Укороченная сорочка Mila Plus Size с кружевным лифом белый XXL-XXXL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</si>
  <si>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Яркая сорочка бэби-долл Plus Size с изысканным цветочным кружевом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</si>
  <si>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t xml:space="preserve"> Оригинальный полупрозрачный пеньюар Izmira с капюшоном черный S-M</t>
  </si>
  <si>
    <t xml:space="preserve"> Оригинальный полупрозрачный пеньюар Izmira с капюшоном черный L-XL</t>
  </si>
  <si>
    <t xml:space="preserve"> Полупрозрачная сорочка Renee с кружевной отделкой черный L-XL</t>
  </si>
  <si>
    <t xml:space="preserve"> Полупрозрачная сорочка Renee с кружевной отделкой черный S-M</t>
  </si>
  <si>
    <t xml:space="preserve"> Сорочка Severine с V-образным вырезом белый S-M</t>
  </si>
  <si>
    <t xml:space="preserve"> Сорочка Severine с V-образным вырезом белый L-XL</t>
  </si>
  <si>
    <t xml:space="preserve"> Сорочка-труба Sibille из широких кружевных лент белый L-XL</t>
  </si>
  <si>
    <t xml:space="preserve"> Сорочка-труба Sibille из широких кружевных лент белый S-M</t>
  </si>
  <si>
    <t xml:space="preserve"> Кружевной пеньюар Genevieve фасона «летучая мышь» синий XL-XXL</t>
  </si>
  <si>
    <t xml:space="preserve"> Чувственная сорочка Mystique с разрезами черный L-XL</t>
  </si>
  <si>
    <t xml:space="preserve"> Чувственная сорочка Mystique с разрезами черный S-M</t>
  </si>
  <si>
    <t xml:space="preserve"> Кружевной пеньюар Genevieve фасона «летучая мышь» синий One Size</t>
  </si>
  <si>
    <t xml:space="preserve"> Кружевной пеньюар Paulette с длинными рукавами синий S-M</t>
  </si>
  <si>
    <t xml:space="preserve"> Кружевной пеньюар Paulette с длинными рукавами красный S-M</t>
  </si>
  <si>
    <t xml:space="preserve"> Кружевной пеньюар Paulette с длинными рукавами красный L-XL</t>
  </si>
  <si>
    <t xml:space="preserve"> Роскошная сорочка Peyton из нежного кружева лиловый L-XL</t>
  </si>
  <si>
    <t xml:space="preserve"> Роскошная сорочка Peyton из нежного кружева черный L-XL</t>
  </si>
  <si>
    <t xml:space="preserve"> Роскошная сорочка Peyton из нежного кружева лиловый S-M</t>
  </si>
  <si>
    <t xml:space="preserve"> Роскошная сорочка Peyton из нежного кружева черный S-M</t>
  </si>
  <si>
    <t xml:space="preserve"> Роскошная сорочка Haya с выделенным лифом черный S-M</t>
  </si>
  <si>
    <t xml:space="preserve"> Роскошная сорочка Haya с выделенным лифом черный L-XL</t>
  </si>
  <si>
    <t xml:space="preserve"> Роскошная сорочка Haya Plus Size с выделенным лифом черный XXL-XXXL</t>
  </si>
  <si>
    <t xml:space="preserve"> Облегающая сорочка Loraine с нежным кружевом и разрезами красный L-XL</t>
  </si>
  <si>
    <t xml:space="preserve"> Облегающая сорочка Loraine с нежным кружевом и разрезами красный S-M</t>
  </si>
  <si>
    <t xml:space="preserve"> Соблазнительная сорочка Lotus с кружевами на лифе кремовый S-M</t>
  </si>
  <si>
    <t xml:space="preserve"> Соблазнительная сорочка Lotus с кружевами на лифе черный S-M</t>
  </si>
  <si>
    <t xml:space="preserve"> Соблазнительная сорочка Lotus с кружевами на лифе кремовый L-XL</t>
  </si>
  <si>
    <t xml:space="preserve"> Соблазнительная сорочка Lotus с кружевами на лифе черный L-XL</t>
  </si>
  <si>
    <t xml:space="preserve"> Соблазнительная сорочка Lotus Plus Size с кружевами на лифе черный XXL-XXXL</t>
  </si>
  <si>
    <t xml:space="preserve"> Соблазнительная сорочка Lotus Plus Size с кружевами на лифе кремовый XXL-XXXL</t>
  </si>
  <si>
    <t xml:space="preserve"> Игривая сорочка беби-долл Merry со шнуровками на лифе черный с красным L-XL</t>
  </si>
  <si>
    <t xml:space="preserve"> Игривая сорочка беби-долл Merry со шнуровками на лифе черный с красным S-M</t>
  </si>
  <si>
    <t xml:space="preserve"> Сорочка Montana Plus Size с сетчатыми вставками черный XXL-XXXL</t>
  </si>
  <si>
    <t xml:space="preserve"> Облегающая сорочка Petra с вставками из полупрозрачного материала черный L-XL</t>
  </si>
  <si>
    <t xml:space="preserve"> Облегающая сорочка Petra с вставками из полупрозрачного материала черный S-M</t>
  </si>
  <si>
    <t xml:space="preserve"> Облегающая сорочка Petra Plus Size с вставками из полупрозрачного материала черный XXL-XXXL</t>
  </si>
  <si>
    <t xml:space="preserve"> Ультра соблазнительная сорочка Rodos со шнуровками черный с красным L-XL</t>
  </si>
  <si>
    <t xml:space="preserve"> Ультра соблазнительная сорочка Rodos со шнуровками черный с красным S-M</t>
  </si>
  <si>
    <t xml:space="preserve"> Коротенькая сорочка Viola Plus Size с цветочным кружевом черный XXL-XXXL</t>
  </si>
  <si>
    <t xml:space="preserve"> Пеньюар Lotus Plus Size с завязками в области груди кремовый XXL-XXXL</t>
  </si>
  <si>
    <t xml:space="preserve"> Облегающая сорочка Madlen с кружевами черный с серым L-XL</t>
  </si>
  <si>
    <t xml:space="preserve"> Облегающая сорочка Madlen с кружевами черный с серым S-M</t>
  </si>
  <si>
    <t xml:space="preserve"> Полупрозрачная тюлевая сорочка Obsydian Plus Size черный XXL-XXXL</t>
  </si>
  <si>
    <t xml:space="preserve"> Игривая сорочка беби-долл Merry Plus Size со шнуровками на лифе черный с красным XXL-XXXL</t>
  </si>
  <si>
    <t xml:space="preserve"> Ультра соблазнительная сорочка Rodos Plus Size со шнуровками черный с красным XXL-XXXL</t>
  </si>
  <si>
    <t xml:space="preserve"> Облегающая сорочка с непрозрачным лифом черный L-XL</t>
  </si>
  <si>
    <t xml:space="preserve"> Облегающая сорочка с непрозрачным лифом черный S-M</t>
  </si>
  <si>
    <t xml:space="preserve"> Пикантная сорочка Viviane с открытой грудью черный S-M</t>
  </si>
  <si>
    <t xml:space="preserve"> Пикантная сорочка Viviane с открытой грудью черный L-XL</t>
  </si>
  <si>
    <t xml:space="preserve"> Короткая сорочка Julia Plus Size на тонких бретелях розовый с черным XXL-XXXL</t>
  </si>
  <si>
    <t xml:space="preserve"> Золотистый пеньюар с поясом Goldie и короткими широкими рукавчиками золотистый L-XL</t>
  </si>
  <si>
    <t xml:space="preserve"> Золотистый пеньюар с поясом Goldie и короткими широкими рукавчиками золотистый S-M</t>
  </si>
  <si>
    <t xml:space="preserve"> Ночная сорочка Alida с полуоткрытым лифом черный M</t>
  </si>
  <si>
    <t xml:space="preserve"> Ночная сорочка Alida с полуоткрытым лифом красный M</t>
  </si>
  <si>
    <t xml:space="preserve"> Ночная сорочка Alida с полуоткрытым лифом красный S</t>
  </si>
  <si>
    <t xml:space="preserve"> Ночная сорочка Alida с полуоткрытым лифом черный S</t>
  </si>
  <si>
    <t xml:space="preserve"> Ночная сорочка Alida с полуоткрытым лифом черный L</t>
  </si>
  <si>
    <t xml:space="preserve"> Ночная сорочка Alida с полуоткрытым лифом красный L</t>
  </si>
  <si>
    <t xml:space="preserve"> Ночная сторочка Helen с кружевным лифом черный M-L</t>
  </si>
  <si>
    <t xml:space="preserve"> Ночная сторочка Helen с кружевным лифом черный S-M</t>
  </si>
  <si>
    <t xml:space="preserve"> Ночная сорочка Bridget с нежным ажуром черный S-M</t>
  </si>
  <si>
    <t xml:space="preserve"> Ночная сорочка Bridget с нежным ажуром белый M-L</t>
  </si>
  <si>
    <t xml:space="preserve"> Ночная сорочка Bridget с нежным ажуром белый S-M</t>
  </si>
  <si>
    <t xml:space="preserve"> Ночная сорочка Bridget с нежным ажуром черный M-L</t>
  </si>
  <si>
    <t xml:space="preserve"> Бэби-долл из мягкой эластичной сетки с кружевным лифом фиолетовый One Size</t>
  </si>
  <si>
    <t xml:space="preserve"> Нежная полупрозрачная сорочка в комплекте с трусиками белый S-M</t>
  </si>
  <si>
    <t xml:space="preserve"> Нежная полупрозрачная сорочка в комплекте с трусиками белый L-XL</t>
  </si>
  <si>
    <t xml:space="preserve"> Элегантный пеньюар Dorettela с запахом черный L-XL</t>
  </si>
  <si>
    <t xml:space="preserve"> Элегантный пеньюар Dorettela с запахом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</si>
  <si>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бэби-долл с малиновым кружевом и бантом </d:t>
    </d:r>
    <d:r xmlns:d="http://schemas.openxmlformats.org/spreadsheetml/2006/main">
      <d:rPr>
        <d:sz val="11"/>
        <d:color rgb="FF000000"/>
        <d:rFont val="Calibri"/>
      </d:rPr>
      <d:t>черный с малиновым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</si>
  <si>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Чувственный бэби-долл с малиновым кружевом и бантом </d:t>
    </d:r>
    <d:r xmlns:d="http://schemas.openxmlformats.org/spreadsheetml/2006/main">
      <d:rPr>
        <d:sz val="11"/>
        <d:color rgb="FF000000"/>
        <d:rFont val="Calibri"/>
      </d:rPr>
      <d:t>черный с малиновым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</si>
  <si>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t xml:space="preserve"> Роскошный пеньюар с запахом и малиновым кружевом черный с малиновым L-XL</t>
  </si>
  <si>
    <t xml:space="preserve"> Роскошный пеньюар с запахом и малиновым кружевом черный с малиновым S-M</t>
  </si>
  <si>
    <t xml:space="preserve"> Облегающая сорочка Maddie Plus Size с цветочным кружевом черный XXL-XXXL</t>
  </si>
  <si>
    <t xml:space="preserve"> Роскошная сорочка Floris с двухцветным кружевным лифом черный L-XL</t>
  </si>
  <si>
    <t xml:space="preserve"> Роскошная сорочка Floris с двухцветным кружевным лифом черный S-M</t>
  </si>
  <si>
    <t xml:space="preserve"> Роскошная сорочка Floris Plus Size с двухцветным кружевным лифом черный XXL-XXXL</t>
  </si>
  <si>
    <t xml:space="preserve"> Кружевная сорочка Geali с бахромой по подолу черный 3X-4X</t>
  </si>
  <si>
    <t xml:space="preserve"> Кружевная сорочка Geali с бахромой по подолу черный 1X-2X</t>
  </si>
  <si>
    <t xml:space="preserve"> Кружевная сорочка Geali с бахромой по подолу черный 5X-6X</t>
  </si>
  <si>
    <t xml:space="preserve"> Полупрозрачная сорочка Liessa голубой с черным 3X-4X</t>
  </si>
  <si>
    <t xml:space="preserve"> Полупрозрачная сорочка Liessa голубой с черным 5X-6X</t>
  </si>
  <si>
    <t xml:space="preserve"> Полупрозрачная сорочка Liessa голубой с черным 1X-2X</t>
  </si>
  <si>
    <t xml:space="preserve"> Манящая полупрозрачная сорочка Ofeely с кружевом голубой 1X-2X</t>
  </si>
  <si>
    <t xml:space="preserve"> Манящая полупрозрачная сорочка Ofeely с кружевом голубой 5X-6X</t>
  </si>
  <si>
    <t xml:space="preserve"> Манящая полупрозрачная сорочка Ofeely с кружевом голубой 3X-4X</t>
  </si>
  <si>
    <t xml:space="preserve"> Роскошная сорочка Venea с кружевным лифом черный 1X-2X</t>
  </si>
  <si>
    <t xml:space="preserve"> Роскошная сорочка Venea с кружевным лифом черный 3X-4X</t>
  </si>
  <si>
    <t xml:space="preserve"> Роскошная сорочка Venea с кружевным лифом черный 5X-6X</t>
  </si>
  <si>
    <t xml:space="preserve"> Соблазнительная сорочка Claea Plus Size с украшениями из страз черный XXL</t>
  </si>
  <si>
    <t xml:space="preserve"> Соблазнительная сорочка Claea Plus Size с украшениями из страз черный XXXL</t>
  </si>
  <si>
    <t xml:space="preserve"> Соблазнительная сорочка Claea с украшениями из страз черный XL</t>
  </si>
  <si>
    <t xml:space="preserve"> Соблазнительная сорочка Claea с украшениями из страз черный S</t>
  </si>
  <si>
    <t xml:space="preserve"> Соблазнительная сорочка Claea с украшениями из страз черный L</t>
  </si>
  <si>
    <t xml:space="preserve"> Соблазнительная сорочка Claea с украшениями из страз черный M</t>
  </si>
  <si>
    <t xml:space="preserve"> Сорочка беби-долл Maya Plus Size с кружевным лифом черный XXL</t>
  </si>
  <si>
    <t xml:space="preserve"> Сорочка беби-долл Maya Plus Size с кружевным лифом черный XXXL</t>
  </si>
  <si>
    <t xml:space="preserve"> Сорочка беби-долл Maya с кружевным лифом черный XL</t>
  </si>
  <si>
    <t xml:space="preserve"> Сорочка беби-долл Maya с кружевным лифом черный L</t>
  </si>
  <si>
    <t xml:space="preserve"> Сорочка беби-долл Maya с кружевным лифом черный S</t>
  </si>
  <si>
    <t xml:space="preserve"> Сорочка беби-долл Maya с кружевным лифом черный M</t>
  </si>
  <si>
    <t xml:space="preserve"> Откровенная сорочка Lilith Plus Size с декоративными цепочками черный XXL</t>
  </si>
  <si>
    <t xml:space="preserve"> Откровенная сорочка Lilith Plus Size с декоративными цепочками черный XXXL</t>
  </si>
  <si>
    <t xml:space="preserve"> Откровенная сорочка Lilith с декоративными цепочками черный XL</t>
  </si>
  <si>
    <t xml:space="preserve"> Откровенная сорочка Lilith с декоративными цепочками черный S</t>
  </si>
  <si>
    <t xml:space="preserve"> Откровенная сорочка Lilith с декоративными цепочками черный L</t>
  </si>
  <si>
    <t xml:space="preserve"> Откровенная сорочка Lilith с декоративными цепочками черный M</t>
  </si>
  <si>
    <t xml:space="preserve"> Полупрозрачная сорочка Clotilde с кружевными вставками черный S</t>
  </si>
  <si>
    <t xml:space="preserve"> Полупрозрачная сорочка Clotilde с кружевными вставками черный L</t>
  </si>
  <si>
    <t xml:space="preserve"> Полупрозрачная сорочка Clotilde с кружевными вставками черный 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</si>
  <si>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Соблазнительная сорочка Mia с кружевными элементами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</si>
  <si>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Соблазнительная сорочка Mia с кружевными элементами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</si>
  <si>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Чарующая сорочка Tonya с асимметричным низом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</si>
  <si>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Чарующая сорочка Tonya с асимметричным низом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</si>
  <si>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Нежная сорочка Marcy на тонких бретелях </d:t>
    </d:r>
    <d:r xmlns:d="http://schemas.openxmlformats.org/spreadsheetml/2006/main">
      <d:rPr>
        <d:sz val="11"/>
        <d:color rgb="FF000000"/>
        <d:rFont val="Calibri"/>
      </d:rPr>
      <d:t>нежно-розовый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</si>
  <si>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Нежная сорочка Marcy на тонких бретелях </d:t>
    </d:r>
    <d:r xmlns:d="http://schemas.openxmlformats.org/spreadsheetml/2006/main">
      <d:rPr>
        <d:sz val="11"/>
        <d:color rgb="FF000000"/>
        <d:rFont val="Calibri"/>
      </d:rPr>
      <d:t>нежно-розовый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</si>
  <si>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Нежный коротенький пеньюар Marcy с кружевной оторочкой по краю </d:t>
    </d:r>
    <d:r xmlns:d="http://schemas.openxmlformats.org/spreadsheetml/2006/main">
      <d:rPr>
        <d:sz val="11"/>
        <d:color rgb="FF000000"/>
        <d:rFont val="Calibri"/>
      </d:rPr>
      <d:t>нежно-розовый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</si>
  <si>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Нежный коротенький пеньюар Marcy с кружевной оторочкой по краю </d:t>
    </d:r>
    <d:r xmlns:d="http://schemas.openxmlformats.org/spreadsheetml/2006/main">
      <d:rPr>
        <d:sz val="11"/>
        <d:color rgb="FF000000"/>
        <d:rFont val="Calibri"/>
      </d:rPr>
      <d:t>нежно-розовый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</si>
  <si>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Plus Size с кружевным подолом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</si>
  <si>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Изысканный бэби-долл с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</si>
  <si>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Изысканный бэби-долл с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</si>
  <si>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</si>
  <si>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</si>
  <si>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Укороченный бэби-долл малинового цвета </d:t>
    </d:r>
    <d:r xmlns:d="http://schemas.openxmlformats.org/spreadsheetml/2006/main">
      <d:rPr>
        <d:sz val="11"/>
        <d:color rgb="FF000000"/>
        <d:rFont val="Calibri"/>
      </d:rPr>
      <d:t>малиновый с чёрным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</si>
  <si>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Укороченный бэби-долл малинового цвета </d:t>
    </d:r>
    <d:r xmlns:d="http://schemas.openxmlformats.org/spreadsheetml/2006/main">
      <d:rPr>
        <d:sz val="11"/>
        <d:color rgb="FF000000"/>
        <d:rFont val="Calibri"/>
      </d:rPr>
      <d:t>малиновый с чёрным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</si>
  <si>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Очаровательная сорочка с оборкой </d:t>
    </d:r>
    <d:r xmlns:d="http://schemas.openxmlformats.org/spreadsheetml/2006/main">
      <d:rPr>
        <d:sz val="11"/>
        <d:color rgb="FF000000"/>
        <d:rFont val="Calibri"/>
      </d:rPr>
      <d:t>малиновый с чёрным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</si>
  <si>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Очаровательная сорочка с оборкой </d:t>
    </d:r>
    <d:r xmlns:d="http://schemas.openxmlformats.org/spreadsheetml/2006/main">
      <d:rPr>
        <d:sz val="11"/>
        <d:color rgb="FF000000"/>
        <d:rFont val="Calibri"/>
      </d:rPr>
      <d:t>малиновый с чёрным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</si>
  <si>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Кружевная сорочка с разрезом сзади Plus Size размером </d:t>
    </d:r>
    <d:r xmlns:d="http://schemas.openxmlformats.org/spreadsheetml/2006/main">
      <d:rPr>
        <d:sz val="11"/>
        <d:color rgb="FF000000"/>
        <d:rFont val="Calibri"/>
      </d:rPr>
      <d:t>фиолетовый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</si>
  <si>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Кружевная комбинация с разрезом сзади </d:t>
    </d:r>
    <d:r xmlns:d="http://schemas.openxmlformats.org/spreadsheetml/2006/main">
      <d:rPr>
        <d:sz val="11"/>
        <d:color rgb="FF000000"/>
        <d:rFont val="Calibri"/>
      </d:rPr>
      <d:t>фиолетовый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</si>
  <si>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Кружевная комбинация с разрезом сзади </d:t>
    </d:r>
    <d:r xmlns:d="http://schemas.openxmlformats.org/spreadsheetml/2006/main">
      <d:rPr>
        <d:sz val="11"/>
        <d:color rgb="FF000000"/>
        <d:rFont val="Calibri"/>
      </d:rPr>
      <d:t>фиолетовый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</si>
  <si>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Кружевная комбинация с разрезом сзади </d:t>
    </d:r>
    <d:r xmlns:d="http://schemas.openxmlformats.org/spreadsheetml/2006/main">
      <d:rPr>
        <d:sz val="11"/>
        <d:color rgb="FF000000"/>
        <d:rFont val="Calibri"/>
      </d:rPr>
      <d:t>фиолетовый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</si>
  <si>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Кружевная комбинация с разрезом сзади </d:t>
    </d:r>
    <d:r xmlns:d="http://schemas.openxmlformats.org/spreadsheetml/2006/main">
      <d:rPr>
        <d:sz val="11"/>
        <d:color rgb="FF000000"/>
        <d:rFont val="Calibri"/>
      </d:rPr>
      <d:t>фиолетовый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</si>
  <si>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Соблазнительная сорочка с кружевным подолом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</si>
  <si>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Соблазнительная сорочка с кружевным подолом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</si>
  <si>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Соблазнительная сорочка с кружевным подолом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</si>
  <si>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Соблазнительная сорочка с кружевным подолом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</si>
  <si>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Plus Size с бахромой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</si>
  <si>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Изысканная комбинация с бахромой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</si>
  <si>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Изысканная комбинация с бахромой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</si>
  <si>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Изысканная комбинация с бахромой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</si>
  <si>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Изысканная комбинация с бахромой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</si>
  <si>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Роскошная сорочка с кружевами Michele Plus Size </d:t>
    </d:r>
    <d:r xmlns:d="http://schemas.openxmlformats.org/spreadsheetml/2006/main">
      <d:rPr>
        <d:sz val="11"/>
        <d:color rgb="FF000000"/>
        <d:rFont val="Calibri"/>
      </d:rPr>
      <d:t>белый с черным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</si>
  <si>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Роскошная сорочка с кружевами Michele Plus Size </d:t>
    </d:r>
    <d:r xmlns:d="http://schemas.openxmlformats.org/spreadsheetml/2006/main">
      <d:rPr>
        <d:sz val="11"/>
        <d:color rgb="FF000000"/>
        <d:rFont val="Calibri"/>
      </d:rPr>
      <d:t>голубой с черным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</si>
  <si>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Роскошная сорочка с кружевами Michele Plus Size </d:t>
    </d:r>
    <d:r xmlns:d="http://schemas.openxmlformats.org/spreadsheetml/2006/main">
      <d:rPr>
        <d:sz val="11"/>
        <d:color rgb="FF000000"/>
        <d:rFont val="Calibri"/>
      </d:rPr>
      <d:t>золотистый с черным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</si>
  <si>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пеньюар Stephanie Plus Size с пояском </d:t>
    </d:r>
    <d:r xmlns:d="http://schemas.openxmlformats.org/spreadsheetml/2006/main">
      <d:rPr>
        <d:sz val="11"/>
        <d:color rgb="FF000000"/>
        <d:rFont val="Calibri"/>
      </d:rPr>
      <d:t>золотистый с черным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</si>
  <si>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пеньюар Stephanie Plus Size с пояском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</si>
  <si>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Пеньюар с цветочным кружевом Federica Plus Size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</si>
  <si>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Оригинальная сорочка Picantina из двух частей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</si>
  <si>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Оригинальная сорочка Picantina из двух частей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</si>
  <si>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бэби-долл с крупным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</si>
  <si>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бэби-долл с крупным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</si>
  <si>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Элегантная сорочка с кружевом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</si>
  <si>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Элегантная сорочка с кружевом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</si>
  <si>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Элегантная сорочка Plus Size из стрейч-атласного материала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</si>
  <si>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Элегантный пеньюар из стрейч-атласного материала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</si>
  <si>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Элегантный пеньюар из стрейч-атласного материала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</si>
  <si>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Элегантный пеньюар Plus Size из материала под атлас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</si>
  <si>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Коротенькая сорочка с открытыми плечами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</si>
  <si>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с синим кружевом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</si>
  <si>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с синим кружевом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</si>
  <si>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с перекрёстными бретелями на спине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</si>
  <si>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с перекрёстными бретелями на спине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</si>
  <si>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Коротенький пеньюар с атласным пояском и кружевами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</si>
  <si>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Коротенький пеньюар с атласным пояском и кружевами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</si>
  <si>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Coline с ошейником из мягкой сетки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</si>
  <si>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Coline с ошейником из мягкой сетки </d:t>
    </d:r>
    <d:r xmlns:d="http://schemas.openxmlformats.org/spreadsheetml/2006/main">
      <d:rPr>
        <d:sz val="11"/>
        <d:color rgb="FF000000"/>
        <d:rFont val="Calibri"/>
      </d:rPr>
      <d:t>красный с черным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</si>
  <si>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Nea с полупрозрачной кружевной вставкой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</si>
  <si>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Nea с полупрозрачной кружевной вставкой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</si>
  <si>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Очаровательная сорочка Ivone с кружевным темно-синим лифом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</si>
  <si>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Очаровательная сорочка Ivone с кружевным темно-синим лифом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</si>
  <si>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Полупрозрачная облегающая сорочка с лифом на косточках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</si>
  <si>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Полупрозрачная облегающая сорочка с лифом на косточках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</si>
  <si>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Полупрозрачная сорочка Plus Size с лифом на косточках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</si>
  <si>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Коротенькая сорочка Marilyn с пажами для чулок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</si>
  <si>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Коротенькая сорочка Marilyn с пажами для чулок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</si>
  <si>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Maxime с вырезом-капелькой на лифе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</si>
  <si>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Maxime с вырезом-капелькой на лифе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</si>
  <si>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Maxime с вырезом-капелькой на лифе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</si>
  <si>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сорочка Maxime с вырезом-капелькой на лифе </d:t>
    </d:r>
    <d:r xmlns:d="http://schemas.openxmlformats.org/spreadsheetml/2006/main">
      <d:rPr>
        <d:sz val="11"/>
        <d:color rgb="FF000000"/>
        <d:rFont val="Calibri"/>
      </d:rPr>
      <d:t>телесный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</si>
  <si>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Коротенькая сорочка Lou с переплетением бретелей в зоне декольте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</si>
  <si>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Коротенькая сорочка Lou с переплетением бретелей в зоне декольте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</si>
  <si>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Соблазнительная сорочка Rebecca с прозрачным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</si>
  <si>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Соблазнительная сорочка Rebecca с прозрачным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</si>
  <si>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Чарующая сорочка Valentine из прозрачного тюля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</si>
  <si>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Чарующая сорочка Valentine из прозрачного тюля </d:t>
    </d:r>
    <d:r xmlns:d="http://schemas.openxmlformats.org/spreadsheetml/2006/main">
      <d:rPr>
        <d:sz val="11"/>
        <d:color rgb="FF000000"/>
        <d:rFont val="Calibri"/>
      </d:rPr>
      <d:t>черный с красным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</si>
  <si>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Чарующая сорочка Valentine из прозрачного тюля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</si>
  <si>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Чарующая сорочка Valentine из прозрачного тюля </d:t>
    </d:r>
    <d:r xmlns:d="http://schemas.openxmlformats.org/spreadsheetml/2006/main">
      <d:rPr>
        <d:sz val="11"/>
        <d:color rgb="FF000000"/>
        <d:rFont val="Calibri"/>
      </d:rPr>
      <d:t>черный с красным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</si>
  <si>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Игривая прозрачная сорочка Praline с полуоткрытым лифом и бантиками </d:t>
    </d:r>
    <d:r xmlns:d="http://schemas.openxmlformats.org/spreadsheetml/2006/main">
      <d:rPr>
        <d:sz val="11"/>
        <d:color rgb="FF000000"/>
        <d:rFont val="Calibri"/>
      </d:rPr>
      <d:t>черный с розовым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</si>
  <si>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Игривая прозрачная сорочка Praline с полуоткрытым лифом и бантиками </d:t>
    </d:r>
    <d:r xmlns:d="http://schemas.openxmlformats.org/spreadsheetml/2006/main">
      <d:rPr>
        <d:sz val="11"/>
        <d:color rgb="FF000000"/>
        <d:rFont val="Calibri"/>
      </d:rPr>
      <d:t>черный с розовым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</si>
  <si>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Полупрозрачная кружевная сорочка с регулируемыми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</si>
  <si>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Полупрозрачная кружевная сорочка с регулируемыми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</si>
  <si>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из полупрозрачной сеточки с кружевной отделкой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</si>
  <si>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из полупрозрачной сеточки с кружевной отделкой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</si>
  <si>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кружевная сорочка на двойных бретелях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</si>
  <si>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кружевная сорочка на двойных бретелях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</si>
  <si>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кружевная сорочка на двойных бретелях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</si>
  <si>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Облегающая кружевная сорочка на двойных бретелях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</si>
  <si>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Plus Size из полупрозрачной сеточки с отделкой цветочным кружевом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</si>
  <si>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с кружевным воротником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</si>
  <si>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Сорочка с кружевным воротником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</si>
  <si>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бэби-долл с глубоким вырезом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</si>
  <si>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бэби-долл с глубоким вырезом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</si>
  <si>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Элегантная сорочка Elisya Plus Size с плотным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</si>
  <si>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Элегантная сорочка Elisya Plus Size с плотным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5X-6X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</si>
  <si>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Элегантная сорочка Elisya Plus Size с плотным лифом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3X-4X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</si>
  <si>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Оригинальная сорочка Gia Plus Size с кружевными вставками и оборками </d:t>
    </d:r>
    <d:r xmlns:d="http://schemas.openxmlformats.org/spreadsheetml/2006/main">
      <d:rPr>
        <d:sz val="11"/>
        <d:color rgb="FF000000"/>
        <d:rFont val="Calibri"/>
      </d:rPr>
      <d:t>черный с малиновым </d:t>
    </d:r>
    <d:r xmlns:d="http://schemas.openxmlformats.org/spreadsheetml/2006/main">
      <d:rPr>
        <d:sz val="11"/>
        <d:color rgb="FF000000"/>
        <d:rFont val="Calibri"/>
      </d:rPr>
      <d:t xml:space="preserve">5X-6X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</si>
  <si>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Оригинальная сорочка Gia Plus Size с кружевными вставками и оборками </d:t>
    </d:r>
    <d:r xmlns:d="http://schemas.openxmlformats.org/spreadsheetml/2006/main">
      <d:rPr>
        <d:sz val="11"/>
        <d:color rgb="FF000000"/>
        <d:rFont val="Calibri"/>
      </d:rPr>
      <d:t>черный с малиновым </d:t>
    </d:r>
    <d:r xmlns:d="http://schemas.openxmlformats.org/spreadsheetml/2006/main">
      <d:rPr>
        <d:sz val="11"/>
        <d:color rgb="FF000000"/>
        <d:rFont val="Calibri"/>
      </d:rPr>
      <d:t xml:space="preserve">3X-4X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</si>
  <si>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Оригинальная сорочка Gia Plus Size с кружевными вставками и оборками </d:t>
    </d:r>
    <d:r xmlns:d="http://schemas.openxmlformats.org/spreadsheetml/2006/main">
      <d:rPr>
        <d:sz val="11"/>
        <d:color rgb="FF000000"/>
        <d:rFont val="Calibri"/>
      </d:rPr>
      <d:t>черный с малиновым </d:t>
    </d:r>
    <d:r xmlns:d="http://schemas.openxmlformats.org/spreadsheetml/2006/main">
      <d:rPr>
        <d:sz val="11"/>
        <d:color rgb="FF000000"/>
        <d:rFont val="Calibri"/>
      </d:rPr>
      <d:t xml:space="preserve">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</si>
  <si>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Роскошная сорочка Riley Plus Size с кружевным верхом и поясом под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</si>
  <si>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Роскошная сорочка Riley Plus Size с кружевным верхом и поясом под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5X-6X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</si>
  <si>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Роскошная сорочка Riley Plus Size с кружевным верхом и поясом под грудью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3X-4X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</si>
  <si>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Кокетливая кружевная сорочка Rhiannon Plus Size с узором в виде бантиков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3X-4X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</si>
  <si>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Кокетливая кружевная сорочка Rhiannon Plus Size с узором в виде бантиков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5X-6X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</si>
  <si>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Кокетливая кружевная сорочка Rhiannon Plus Size с узором в виде бантиков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XL-XXL </d:t>
    </d:r>
  </si>
  <si>
    <t xml:space="preserve">    Трусики</t>
  </si>
  <si>
    <t xml:space="preserve"> Трусы из мягкой кожи</t>
  </si>
  <si>
    <t xml:space="preserve"> Женские трусики «Ангел» белый S-M</t>
  </si>
  <si>
    <t xml:space="preserve"> Женские трусики «Ангел» белый M-L</t>
  </si>
  <si>
    <t xml:space="preserve"> Ажурные трусики с разрезом белый One Size</t>
  </si>
  <si>
    <t xml:space="preserve"> Ажурные трусики с разрезом черный One Size</t>
  </si>
  <si>
    <t xml:space="preserve"> Ажурные трусики с разрезом красный One Size</t>
  </si>
  <si>
    <t xml:space="preserve"> Ажурные стринги с разрезом красный One Size</t>
  </si>
  <si>
    <t xml:space="preserve"> Ажурные стринги с разрезом черный One Size</t>
  </si>
  <si>
    <t xml:space="preserve"> Ажурные стринги с разрезом белый One Size</t>
  </si>
  <si>
    <t xml:space="preserve"> Трусики-стринги с разрезом черный One Size</t>
  </si>
  <si>
    <t xml:space="preserve"> Трусики-стринги с разрезом красный One Size</t>
  </si>
  <si>
    <t xml:space="preserve"> Черные прозрачные трусики черный S-M</t>
  </si>
  <si>
    <t xml:space="preserve"> Черные прозрачные трусики черный M-L</t>
  </si>
  <si>
    <t xml:space="preserve"> Кружевные стринг с разрезом черный M-L</t>
  </si>
  <si>
    <t xml:space="preserve"> Кружевные стринг с разрезом белый M-L</t>
  </si>
  <si>
    <t xml:space="preserve"> Кружевные стринг с разрезом черный S-M</t>
  </si>
  <si>
    <t xml:space="preserve"> Кружевные стринг с разрезом белый S-M</t>
  </si>
  <si>
    <t xml:space="preserve"> Кружевные стринги с разрезом белый One Size</t>
  </si>
  <si>
    <t xml:space="preserve"> Кружевные стринги с разрезом черный One Size</t>
  </si>
  <si>
    <t xml:space="preserve"> Кружевные трусики с вырезом и украшением черный One Size</t>
  </si>
  <si>
    <t xml:space="preserve"> Кружевные трусики с вырезом и украшением белый One Size</t>
  </si>
  <si>
    <t xml:space="preserve"> Кружевные трусики с вырезом и украшением красный One Size</t>
  </si>
  <si>
    <t xml:space="preserve"> Женские трусики с бантиком сзади черный One Size</t>
  </si>
  <si>
    <t xml:space="preserve"> Женские трусики с бантиком сзади черный XL</t>
  </si>
  <si>
    <t xml:space="preserve"> Черно-розовые трусики с вырезом черный с розовым XL</t>
  </si>
  <si>
    <t xml:space="preserve"> Черно-розовые трусики с вырезом черный с розовым One Size</t>
  </si>
  <si>
    <t xml:space="preserve"> Черные трусики с бантиком сзади черный One Size</t>
  </si>
  <si>
    <t xml:space="preserve"> Открытые белые трусики с бантиками и украшениями белый One Size</t>
  </si>
  <si>
    <t xml:space="preserve"> Кружевные трусики с прорезью белый One Size</t>
  </si>
  <si>
    <t xml:space="preserve"> Кружевные трусики с прорезью черный One Size</t>
  </si>
  <si>
    <t xml:space="preserve"> Трусики с прорезью «Скорая помощь» белый S-M</t>
  </si>
  <si>
    <t xml:space="preserve"> Трусики с прорезью «Скорая помощь» белый M-L</t>
  </si>
  <si>
    <t xml:space="preserve"> Черные ажурные трусики с вырезом и завязочкой белый One Size</t>
  </si>
  <si>
    <t xml:space="preserve"> Черные ажурные трусики с вырезом и завязочкой черный One Size</t>
  </si>
  <si>
    <t xml:space="preserve"> Кружевные трусики-стринги с разрезом и завязочкой черный One Size</t>
  </si>
  <si>
    <t xml:space="preserve"> Кружевные трусики-стринги с разрезом и завязочкой белый One Size</t>
  </si>
  <si>
    <t xml:space="preserve"> Трусики с бантиком и разрезом белый One Size</t>
  </si>
  <si>
    <t xml:space="preserve"> Трусики с бантиком и разрезом красный One Size</t>
  </si>
  <si>
    <t xml:space="preserve"> Откровенные трусики с украшением черный One Size</t>
  </si>
  <si>
    <t xml:space="preserve"> Леопардовые трусики-стринги с украшением леопард One Size</t>
  </si>
  <si>
    <t xml:space="preserve"> Прозрачные трусики с разрезом и бантиком черный One Size</t>
  </si>
  <si>
    <t xml:space="preserve"> Прозрачные трусики с разрезом и бантиком красный One Size</t>
  </si>
  <si>
    <t xml:space="preserve"> Прозрачные трусики с разрезом и бантиком красный XL</t>
  </si>
  <si>
    <t xml:space="preserve"> Прозрачные трусики с разрезом и бантиком черный XL</t>
  </si>
  <si>
    <t xml:space="preserve"> Атласные трусики с кружевной вставкой и бантиком черный с розовым XL</t>
  </si>
  <si>
    <t xml:space="preserve"> Атласные трусики с кружевной вставкой и бантиком черный с розовым One Size</t>
  </si>
  <si>
    <t xml:space="preserve"> Женские трусики с кружевным рисунком и прорезью красный One Size</t>
  </si>
  <si>
    <t xml:space="preserve"> Женские трусики с кружевным рисунком и прорезью черный One Size</t>
  </si>
  <si>
    <t xml:space="preserve"> Женские трусики с кружевным рисунком и прорезью белый One Size</t>
  </si>
  <si>
    <t xml:space="preserve"> Трусики с кружевной юбочкой и доступом белый One Size</t>
  </si>
  <si>
    <t xml:space="preserve"> Трусики с кружевной юбочкой и доступом черный One Size</t>
  </si>
  <si>
    <t xml:space="preserve"> Трусики с кружевной юбочкой и доступом красный One Size</t>
  </si>
  <si>
    <t xml:space="preserve"> Трусики в форме клубники клубника One Size</t>
  </si>
  <si>
    <t xml:space="preserve"> Кружевные трусики-стринги с пикантным разрезом черный One Size</t>
  </si>
  <si>
    <t xml:space="preserve"> Кружевные трусики-стринги с пикантным разрезом черный XL</t>
  </si>
  <si>
    <t xml:space="preserve"> Стринги с игривым бантиком красный XL</t>
  </si>
  <si>
    <t xml:space="preserve"> Стринги с игривым бантиком красный One Size</t>
  </si>
  <si>
    <t xml:space="preserve"> Стринги с ниткой бусин черный One Size</t>
  </si>
  <si>
    <t xml:space="preserve"> Стринги с ниткой бусин белый One Size</t>
  </si>
  <si>
    <t xml:space="preserve"> Трусики с прорезью и поясом в виде двух лент на брошке черный S-M</t>
  </si>
  <si>
    <t xml:space="preserve"> Трусики с прорезью и поясом в виде двух лент на брошке черный M-L</t>
  </si>
  <si>
    <t xml:space="preserve"> Стринги с нитью бусин спереди и кружевным поясом черный M-L</t>
  </si>
  <si>
    <t xml:space="preserve"> Стринги с нитью бусин спереди и кружевным поясом черный S-M</t>
  </si>
  <si>
    <t xml:space="preserve"> Трусики-пояс с прорезью спереди и сзади черный S-M</t>
  </si>
  <si>
    <t xml:space="preserve"> Трусики-пояс с прорезью спереди и сзади красный S-M</t>
  </si>
  <si>
    <t xml:space="preserve"> Трусики-пояс с прорезью спереди и сзади белый S-M</t>
  </si>
  <si>
    <t xml:space="preserve"> Трусики-пояс с прорезью спереди и сзади черный M-L</t>
  </si>
  <si>
    <t xml:space="preserve"> Трусики-пояс с прорезью спереди и сзади красный M-L</t>
  </si>
  <si>
    <t xml:space="preserve"> Трусики-пояс с прорезью спереди и сзади белый M-L</t>
  </si>
  <si>
    <t xml:space="preserve"> Трусики со стразами и прорезью белый M-L</t>
  </si>
  <si>
    <t xml:space="preserve"> Трусики со стразами и прорезью красный M-L</t>
  </si>
  <si>
    <t xml:space="preserve"> Трусики со стразами и прорезью черный M-L</t>
  </si>
  <si>
    <t xml:space="preserve"> Трусики со стразами и прорезью белый S-M</t>
  </si>
  <si>
    <t xml:space="preserve"> Трусики со стразами и прорезью красный S-M</t>
  </si>
  <si>
    <t xml:space="preserve"> Трусики со стразами и прорезью черный S-M</t>
  </si>
  <si>
    <t xml:space="preserve"> Трусики с бантиком сзади и прорезью красный S-M</t>
  </si>
  <si>
    <t xml:space="preserve"> Трусики с бантиком сзади и прорезью белый S-M</t>
  </si>
  <si>
    <t xml:space="preserve"> Трусики с бантиком сзади и прорезью черный S-M</t>
  </si>
  <si>
    <t xml:space="preserve"> Трусики с бантиком сзади и прорезью красный M-L</t>
  </si>
  <si>
    <t xml:space="preserve"> Трусики с бантиком сзади и прорезью черный M-L</t>
  </si>
  <si>
    <t xml:space="preserve"> Трусики с бантиком сзади и прорезью белый M-L</t>
  </si>
  <si>
    <t xml:space="preserve"> Трусики-вуаль с вышивкой белый M-L</t>
  </si>
  <si>
    <t xml:space="preserve"> Трусики-вуаль с вышивкой черный M-L</t>
  </si>
  <si>
    <t xml:space="preserve"> Трусики-вуаль с вышивкой черный S-M</t>
  </si>
  <si>
    <t xml:space="preserve"> Трусики-вуаль с вышивкой белый S-M</t>
  </si>
  <si>
    <t xml:space="preserve"> Трусики с вырезами с обеих сторон черный с белым S-M</t>
  </si>
  <si>
    <t xml:space="preserve"> Трусики с вырезами с обеих сторон черный с белым M-L</t>
  </si>
  <si>
    <t xml:space="preserve"> Трусики с кружевным пояском розовый с черным M-L</t>
  </si>
  <si>
    <t xml:space="preserve"> Трусики с кружевным пояском леопард M-L</t>
  </si>
  <si>
    <t xml:space="preserve"> Трусики с кружевным пояском розовый с черным S-M</t>
  </si>
  <si>
    <t xml:space="preserve"> Трусики с кружевным пояском леопард S-M</t>
  </si>
  <si>
    <t xml:space="preserve"> Трусики с прорезью и вышитым цветочком черный One Size</t>
  </si>
  <si>
    <t xml:space="preserve"> Аккуратные трусики-стринг с доступом черный One Size</t>
  </si>
  <si>
    <t xml:space="preserve"> Аккуратные трусики-стринг с доступом белый One Size</t>
  </si>
  <si>
    <t xml:space="preserve"> Трусики с кружевной оборкой и доступом розовый с черным One Size</t>
  </si>
  <si>
    <t xml:space="preserve"> Трусики с кружевной оборкой и доступом красный с черным One Size</t>
  </si>
  <si>
    <t xml:space="preserve"> Ажурные трусики с вырезом спереди черный S-M</t>
  </si>
  <si>
    <t xml:space="preserve"> Ажурные трусики с вырезом спереди белый S-M</t>
  </si>
  <si>
    <t xml:space="preserve"> Ажурные трусики с вырезом спереди белый M-L</t>
  </si>
  <si>
    <t xml:space="preserve"> Ажурные трусики с вырезом спереди черный M-L</t>
  </si>
  <si>
    <t xml:space="preserve"> Трусики-шортики с кружевными вставками черный XL</t>
  </si>
  <si>
    <t xml:space="preserve"> Трусики-шортики с кружевными вставками белый XL</t>
  </si>
  <si>
    <t xml:space="preserve"> Трусики-шортики с кружевными вставками черный XXL</t>
  </si>
  <si>
    <t xml:space="preserve"> Трусики-шортики с кружевными вставками белый XXL</t>
  </si>
  <si>
    <t xml:space="preserve"> Трусики-шортики с кружевными вставками белый XXXL</t>
  </si>
  <si>
    <t xml:space="preserve"> Трусики-шортики с кружевными вставками черный XXXL</t>
  </si>
  <si>
    <t xml:space="preserve"> Трусики с вырезом и бантом сзади белый One Size</t>
  </si>
  <si>
    <t xml:space="preserve"> Трусики с вырезом и бантом сзади черный One Size</t>
  </si>
  <si>
    <t xml:space="preserve"> Трусики с вырезом и бантом сзади красный One Size</t>
  </si>
  <si>
    <t xml:space="preserve"> Стринги с прорезью и бантиком красный One Size</t>
  </si>
  <si>
    <t xml:space="preserve"> Стринги с прорезью и бантиком черный One Size</t>
  </si>
  <si>
    <t xml:space="preserve"> Стринги с прорезью и бантиком белый One Size</t>
  </si>
  <si>
    <t xml:space="preserve"> Трусики-стринги с ажурной оборкой белый XL</t>
  </si>
  <si>
    <t xml:space="preserve"> Трусики-стринги с ажурной оборкой черный XL</t>
  </si>
  <si>
    <t xml:space="preserve"> Трусики с кружевной вставкой и доступом черный XL</t>
  </si>
  <si>
    <t xml:space="preserve"> Трусики с кружевной вставкой и доступом красный XXL</t>
  </si>
  <si>
    <t xml:space="preserve"> Трусики с кружевной вставкой и доступом красный XL</t>
  </si>
  <si>
    <t xml:space="preserve"> Трусики с кружевной вставкой и доступом черный XXXL</t>
  </si>
  <si>
    <t xml:space="preserve"> Трусики с кружевной вставкой и доступом черный XXL</t>
  </si>
  <si>
    <t xml:space="preserve"> Трусики с кружевной вставкой и доступом красный XXXL</t>
  </si>
  <si>
    <t xml:space="preserve"> Полупрозрачные трусики-стринги с доступом белый 1X-2X-3X</t>
  </si>
  <si>
    <t xml:space="preserve"> Полупрозрачные трусики-стринги с доступом черный 1X-2X-3X</t>
  </si>
  <si>
    <t xml:space="preserve"> Трусики с доступом и бантиком красный XXXL</t>
  </si>
  <si>
    <t xml:space="preserve"> Трусики с доступом и бантиком черный XXL</t>
  </si>
  <si>
    <t xml:space="preserve"> Трусики с доступом и бантиком черный XXXL</t>
  </si>
  <si>
    <t xml:space="preserve"> Трусики с доступом и бантиком красный XL</t>
  </si>
  <si>
    <t xml:space="preserve"> Трусики с доступом и бантиком красный XXL</t>
  </si>
  <si>
    <t xml:space="preserve"> Трусики с доступом и бантиком черный XL</t>
  </si>
  <si>
    <t xml:space="preserve"> Черные женские стринги M-L</t>
  </si>
  <si>
    <t xml:space="preserve"> Черные женские стринги белый M-L</t>
  </si>
  <si>
    <t xml:space="preserve"> Черные женские стринги белый S-M</t>
  </si>
  <si>
    <t xml:space="preserve"> Черные женские стринги S-M</t>
  </si>
  <si>
    <t xml:space="preserve"> Открытые трусики-стринги «Indra» белый S-M</t>
  </si>
  <si>
    <t xml:space="preserve"> Открытые трусики-стринги «Indra» белый L-XL</t>
  </si>
  <si>
    <t xml:space="preserve"> Трусики-шорты милитари черный M</t>
  </si>
  <si>
    <t xml:space="preserve"> Трусики-шорты милитари черный S</t>
  </si>
  <si>
    <t xml:space="preserve"> Трусики-шорты милитари черный L</t>
  </si>
  <si>
    <t xml:space="preserve"> Трусы-слипы из хлопка на широкой резинке  «Hustler» черный M-L</t>
  </si>
  <si>
    <t xml:space="preserve"> Трусы-слипы из хлопка на широкой резинке  «Hustler» розовый M-L</t>
  </si>
  <si>
    <t xml:space="preserve"> Трусы-слипы из хлопка на широкой резинке  «Hustler» белый S-M</t>
  </si>
  <si>
    <t xml:space="preserve"> Трусы-слипы из хлопка на широкой резинке  «Hustler» черный S-M</t>
  </si>
  <si>
    <t xml:space="preserve"> Трусы-слипы из хлопка на широкой резинке  «Hustler» розовый S-M</t>
  </si>
  <si>
    <t xml:space="preserve"> Трусики-танга из кожи на широкой резинке розовый S-M</t>
  </si>
  <si>
    <t xml:space="preserve"> Трусики-танга из кожи на широкой резинке красный S-M</t>
  </si>
  <si>
    <t xml:space="preserve"> Трусики-танга из кожи на широкой резинке черный S-M</t>
  </si>
  <si>
    <t xml:space="preserve"> Трусики-танга из кожи на широкой резинке розовый M-L</t>
  </si>
  <si>
    <t xml:space="preserve"> Трусики-танга из кожи на широкой резинке красный M-L</t>
  </si>
  <si>
    <t xml:space="preserve"> Трусики-танга из кожи на широкой резинке черный M-L</t>
  </si>
  <si>
    <t xml:space="preserve"> Черные трусики с розовой надписью «Slut» и сердечками черный с розовым M-L</t>
  </si>
  <si>
    <t xml:space="preserve"> Черные трусики с розовой надписью «Slut» и сердечками черный с розовым S-M</t>
  </si>
  <si>
    <t xml:space="preserve"> Женские трусики Hustler с аббревиатурой DTF черный S-M</t>
  </si>
  <si>
    <t xml:space="preserve"> Женские трусики Hustler с аббревиатурой DTF черный M-L</t>
  </si>
  <si>
    <t xml:space="preserve"> Женские трусики Hustler с надписью «Sinner» черный M-L</t>
  </si>
  <si>
    <t xml:space="preserve"> Женские трусики Hustler с надписью «Sinner» черный S-M</t>
  </si>
  <si>
    <t xml:space="preserve"> Женские трусики Hustler с надписью «Barely Legal» черный S-M</t>
  </si>
  <si>
    <t xml:space="preserve"> Женские трусики Hustler с надписью «Barely Legal» черный M-L</t>
  </si>
  <si>
    <t xml:space="preserve"> Женские трусики Hustler с надписью «I Accept Tips» черный M-L</t>
  </si>
  <si>
    <t xml:space="preserve"> Женские трусики Hustler с надписью «I Accept Tips» черный S-M</t>
  </si>
  <si>
    <t xml:space="preserve"> Трусики-слип с надписью стразами «MILF» черный S-M</t>
  </si>
  <si>
    <t xml:space="preserve"> Трусики-слип с надписью стразами «MILF» черный M-L</t>
  </si>
  <si>
    <t xml:space="preserve"> Трусики-слип с надписью стразами «Hustler» черный M-L</t>
  </si>
  <si>
    <t xml:space="preserve"> Трусики-слип с надписью стразами «Hustler» черный S-M</t>
  </si>
  <si>
    <t xml:space="preserve"> Трусики-слип с надписью стразами «100% DTF» черный S-M</t>
  </si>
  <si>
    <t xml:space="preserve"> Трусики-слип с надписью стразами «100% DTF» черный M-L</t>
  </si>
  <si>
    <t xml:space="preserve"> Фиолетовые ажурные трусики-танга фиолетовый M-L</t>
  </si>
  <si>
    <t xml:space="preserve"> Фиолетовые ажурные трусики-танга фиолетовый S-M</t>
  </si>
  <si>
    <t xml:space="preserve"> Неоново-розовые шортики с рюшками неоновый розовый S-M</t>
  </si>
  <si>
    <t xml:space="preserve"> Неоново-розовые шортики с рюшками неоновый розовый M-L</t>
  </si>
  <si>
    <t xml:space="preserve"> Трусики с блеском и кружевной окантовкой леопард M-L</t>
  </si>
  <si>
    <t xml:space="preserve"> Трусики с блеском и кружевной окантовкой розовый M-L</t>
  </si>
  <si>
    <t xml:space="preserve"> Трусики с блеском и кружевной окантовкой леопард S-M</t>
  </si>
  <si>
    <t xml:space="preserve"> Трусики с блеском и кружевной окантовкой розовый S-M</t>
  </si>
  <si>
    <t xml:space="preserve"> Розовые трусики-стринги на широкой резинке розовый S-M</t>
  </si>
  <si>
    <t xml:space="preserve"> Розовые трусики-стринги на широкой резинке розовый M-L</t>
  </si>
  <si>
    <t xml:space="preserve"> Розовые трусики с подвязками для чулок розовый M-L</t>
  </si>
  <si>
    <t xml:space="preserve"> Розовые трусики с подвязками для чулок розовый S-M</t>
  </si>
  <si>
    <t xml:space="preserve"> Полупрозрачные кружевные шортики черный S-M</t>
  </si>
  <si>
    <t xml:space="preserve"> Полупрозрачные кружевные шортики черный M-L</t>
  </si>
  <si>
    <t xml:space="preserve"> Эластичные трусики-шортики черный M-L</t>
  </si>
  <si>
    <t xml:space="preserve"> Эластичные трусики-шортики розовый M-L</t>
  </si>
  <si>
    <t xml:space="preserve"> Эластичные трусики-шортики черный S-M</t>
  </si>
  <si>
    <t xml:space="preserve"> Эластичные трусики-шортики розовый S-M</t>
  </si>
  <si>
    <t xml:space="preserve"> Трусики-танга с декоративной шнуровкой красный One Size</t>
  </si>
  <si>
    <t xml:space="preserve"> Трусики-танга с декоративной шнуровкой розовый One Size</t>
  </si>
  <si>
    <t xml:space="preserve"> Трусики-танга с декоративной шнуровкой черный One Size</t>
  </si>
  <si>
    <t xml:space="preserve"> Трусики-стринг на подтяжках «Business Style» черный One Size</t>
  </si>
  <si>
    <t xml:space="preserve"> Трусики-стринг на подтяжках «Business Style» белый One Size</t>
  </si>
  <si>
    <t xml:space="preserve"> Шортики с рюшами нежно-розовый One Size</t>
  </si>
  <si>
    <t xml:space="preserve"> Шортики с рюшами розовый с черным One Size</t>
  </si>
  <si>
    <t xml:space="preserve"> Шортики с рюшами черный One Size</t>
  </si>
  <si>
    <t xml:space="preserve"> Шортики с рюшами черный с красным One Size</t>
  </si>
  <si>
    <t xml:space="preserve"> Шортики с рюшами черный с розовым One Size</t>
  </si>
  <si>
    <t xml:space="preserve"> Шортики с рюшами красный One Size</t>
  </si>
  <si>
    <t xml:space="preserve"> Шортики с рюшами фиолетовый One Size</t>
  </si>
  <si>
    <t xml:space="preserve"> Комплект труcиков-танга со шнуровкой (6 шт) черный S-M</t>
  </si>
  <si>
    <t xml:space="preserve"> Комплект труcиков-танга со шнуровкой (6 шт) черный M-L</t>
  </si>
  <si>
    <t xml:space="preserve"> Трусики-слипы с бахромой красный M-L</t>
  </si>
  <si>
    <t xml:space="preserve"> Трусики-слипы с бахромой красный S-M</t>
  </si>
  <si>
    <t xml:space="preserve"> Трусики с атласным поясом розовый с черным S-M</t>
  </si>
  <si>
    <t xml:space="preserve"> Трусики с атласным поясом розовый с черным M-L</t>
  </si>
  <si>
    <t xml:space="preserve"> Ажурные трусики с декоративной шнуровкой сзади розовый с черным M-L</t>
  </si>
  <si>
    <t xml:space="preserve"> Ажурные трусики с декоративной шнуровкой сзади черный M-L</t>
  </si>
  <si>
    <t xml:space="preserve"> Ажурные трусики с декоративной шнуровкой сзади розовый с черным S-M</t>
  </si>
  <si>
    <t xml:space="preserve"> Ажурные трусики с декоративной шнуровкой сзади черный S-M</t>
  </si>
  <si>
    <t xml:space="preserve"> Трусики-тонг «Crotchless» синий M</t>
  </si>
  <si>
    <t xml:space="preserve"> Трусики-тонг «Crotchless» белый M</t>
  </si>
  <si>
    <t xml:space="preserve"> Трусики-тонг «Crotchless» красный M</t>
  </si>
  <si>
    <t xml:space="preserve"> Трусики-тонг «Crotchless» синий S</t>
  </si>
  <si>
    <t xml:space="preserve"> Трусики-тонг «Crotchless» белый S</t>
  </si>
  <si>
    <t xml:space="preserve"> Трусики-тонг «Crotchless» белый L</t>
  </si>
  <si>
    <t xml:space="preserve"> Трусики-тонг «Crotchless» синий L</t>
  </si>
  <si>
    <t xml:space="preserve"> Трусики-тонг «Crotchless» красный S</t>
  </si>
  <si>
    <t xml:space="preserve"> Трусики-тонг «Crotchless» красный L</t>
  </si>
  <si>
    <t xml:space="preserve"> Трусики-тонг «Crotchless» черный XL</t>
  </si>
  <si>
    <t xml:space="preserve"> Трусики-тонг «Crotchless» синий XL</t>
  </si>
  <si>
    <t xml:space="preserve"> Трусики-тонг «Crotchless» белый XL</t>
  </si>
  <si>
    <t xml:space="preserve"> Трусики-тонг «Crotchless» красный XL</t>
  </si>
  <si>
    <t xml:space="preserve"> Открытые розовые трусики розовый с черным M-L</t>
  </si>
  <si>
    <t xml:space="preserve"> Открытые розовые трусики розовый с черным S-M</t>
  </si>
  <si>
    <t xml:space="preserve"> Трусики-стринги из кристаллов «Rhinestone G-String» серебро One Size</t>
  </si>
  <si>
    <t xml:space="preserve"> Трусики-стринги из золотых кристаллов «Rhinestone G-String» золотой One Size</t>
  </si>
  <si>
    <t xml:space="preserve"> Открытые трусики с бантом на попе розовый с черным S-M</t>
  </si>
  <si>
    <t xml:space="preserve"> Открытые трусики с бантом на попе черный S-M</t>
  </si>
  <si>
    <t xml:space="preserve"> Открытые трусики с бантом на попе розовый с черным M-L</t>
  </si>
  <si>
    <t xml:space="preserve"> Открытые трусики с бантом на попе черный M-L</t>
  </si>
  <si>
    <t xml:space="preserve"> Кружевные трусики-стринги черный One Size</t>
  </si>
  <si>
    <t xml:space="preserve"> Кружевные трусики-стринги белый One Size</t>
  </si>
  <si>
    <t xml:space="preserve"> Кружевные трусики-стринги красный One Size</t>
  </si>
  <si>
    <t xml:space="preserve"> Кружевные трусики-стринги розовый One Size</t>
  </si>
  <si>
    <t xml:space="preserve"> Трусики-тонг с жемчужной нитью черный 1X-2X</t>
  </si>
  <si>
    <t xml:space="preserve"> Миниатюрные стринги «Alice» с доступом белый S-M</t>
  </si>
  <si>
    <t xml:space="preserve"> Миниатюрные стринги «Alice» с доступом белый M-L</t>
  </si>
  <si>
    <t xml:space="preserve"> Миниатюрные стринги «Alice» с доступом белый 1X-2X</t>
  </si>
  <si>
    <t xml:space="preserve"> Миниатюрные стринги «Alice» с доступом белый L-XL</t>
  </si>
  <si>
    <t xml:space="preserve"> Трусики «Britney» с кружевами и доступом черный с белым L-XL</t>
  </si>
  <si>
    <t xml:space="preserve"> Трусики «Britney» с кружевами и доступом черный с белым 1X-2X</t>
  </si>
  <si>
    <t xml:space="preserve"> Трусики «Britney» с кружевами и доступом черный с белым M-L</t>
  </si>
  <si>
    <t xml:space="preserve"> Трусики «Britney» с кружевами и доступом черный с белым S-M</t>
  </si>
  <si>
    <t xml:space="preserve"> Ажурные трусики-стринги «Lily» с бантом и доступом черный с белым S-M</t>
  </si>
  <si>
    <t xml:space="preserve"> Ажурные трусики-стринги «Lily» с бантом и доступом черный с белым M-L</t>
  </si>
  <si>
    <t xml:space="preserve"> Ажурные трусики-стринги «Lily» с бантом и доступом черный с белым 1X-2X</t>
  </si>
  <si>
    <t xml:space="preserve"> Ажурные трусики-стринги «Lily» с бантом и доступом черный с белым L-XL</t>
  </si>
  <si>
    <t xml:space="preserve"> Черные трусики «Aurora» с доступом черный L-XL</t>
  </si>
  <si>
    <t xml:space="preserve"> Черные трусики «Aurora» с доступом черный 1X-2X</t>
  </si>
  <si>
    <t xml:space="preserve"> Черные трусики «Aurora» с доступом черный M-L</t>
  </si>
  <si>
    <t xml:space="preserve"> Черные трусики «Aurora» с доступом черный S-M</t>
  </si>
  <si>
    <t xml:space="preserve"> Трусики «Brilliant» с кристаллами черный S-M</t>
  </si>
  <si>
    <t xml:space="preserve"> Трусики «Brilliant» с кристаллами черный L-XL</t>
  </si>
  <si>
    <t xml:space="preserve"> Трусики-стринги из дышащей микрофибры телесный S-M</t>
  </si>
  <si>
    <t xml:space="preserve"> Трусики-стринги из дышащей микрофибры леопард S-M</t>
  </si>
  <si>
    <t xml:space="preserve"> Трусики-стринги из дышащей микрофибры черный M-L</t>
  </si>
  <si>
    <t xml:space="preserve"> Трусики-стринги из дышащей микрофибры телесный M-L</t>
  </si>
  <si>
    <t xml:space="preserve"> Трусики-стринги из дышащей микрофибры леопард M-L</t>
  </si>
  <si>
    <t xml:space="preserve"> Невидимые под одеждой трусики-шортики леопард M-L</t>
  </si>
  <si>
    <t xml:space="preserve"> Невидимые под одеждой трусики-шортики телесный M-L</t>
  </si>
  <si>
    <t xml:space="preserve"> Невидимые под одеждой трусики-шортики леопард S-M</t>
  </si>
  <si>
    <t xml:space="preserve"> Невидимые под одеждой трусики-шортики черный S-M</t>
  </si>
  <si>
    <t xml:space="preserve"> Трусики с вкладкой Push-Up на попе черный M</t>
  </si>
  <si>
    <t xml:space="preserve"> Трусики с вкладкой Push-Up на попе леопард M</t>
  </si>
  <si>
    <t xml:space="preserve"> Трусики с вкладкой Push-Up на попе телесный M</t>
  </si>
  <si>
    <t xml:space="preserve"> Трусики с вкладкой Push-Up на попе леопард S</t>
  </si>
  <si>
    <t xml:space="preserve"> Трусики с вкладкой Push-Up на попе телесный S</t>
  </si>
  <si>
    <t xml:space="preserve"> Трусики с вкладкой Push-Up на попе черный S</t>
  </si>
  <si>
    <t xml:space="preserve"> Трусики с вкладкой Push-Up на попе телесный L</t>
  </si>
  <si>
    <t xml:space="preserve"> Трусики с вкладкой Push-Up на попе леопард L</t>
  </si>
  <si>
    <t xml:space="preserve"> Трусики с вкладкой Push-Up на попе черный L</t>
  </si>
  <si>
    <t xml:space="preserve"> Ажурные белые трусики-стринги с доступом белый M-L</t>
  </si>
  <si>
    <t xml:space="preserve"> Ажурные белые трусики-стринги с доступом белый S-M</t>
  </si>
  <si>
    <t xml:space="preserve"> Расстегивающиеся стринги с полоской из кристаллов черный 1X-2X</t>
  </si>
  <si>
    <t xml:space="preserve"> Трусики «Alison» с V-образным вырезом и бантиками черный с белым XXL-XXXL</t>
  </si>
  <si>
    <t xml:space="preserve"> Трусики «Alison» с V-образным вырезом и бантиками черный с белым L-XL</t>
  </si>
  <si>
    <t xml:space="preserve"> Трусики «Alison» с V-образным вырезом и бантиками черный с белым S-M</t>
  </si>
  <si>
    <t xml:space="preserve"> Низкие трусики из кружева «Athena» черный XXL-XXXL</t>
  </si>
  <si>
    <t xml:space="preserve"> Низкие трусики из кружева «Athena» белый XXL-XXXL</t>
  </si>
  <si>
    <t xml:space="preserve"> Кружевной пояс для чулок «Denise» с вшитыми трусиками черный M-L</t>
  </si>
  <si>
    <t xml:space="preserve"> Кружевной пояс для чулок «Denise» с вшитыми трусиками черный S-M</t>
  </si>
  <si>
    <t xml:space="preserve"> Стринги «Abbigail» с кружевной оборкой черный M</t>
  </si>
  <si>
    <t xml:space="preserve"> Стринги «Abbigail» с кружевной оборкой черный S</t>
  </si>
  <si>
    <t xml:space="preserve"> Стринги «Abbigail» с кружевной оборкой черный L</t>
  </si>
  <si>
    <t xml:space="preserve"> Стринги «Abbigail» с кружевной оборкой черный XL</t>
  </si>
  <si>
    <t xml:space="preserve"> Кружевные трусики-слипы «Aprilla» красный XL</t>
  </si>
  <si>
    <t xml:space="preserve"> Кружевные трусики-слипы «Aprilla» красный L</t>
  </si>
  <si>
    <t xml:space="preserve"> Кружевные трусики-слипы «Aprilla» красный S</t>
  </si>
  <si>
    <t xml:space="preserve"> Кружевные трусики-слипы «Aprilla» красный M</t>
  </si>
  <si>
    <t xml:space="preserve"> Стринги «Avril» с разрезом и тонкими боковыми тесемками черный S</t>
  </si>
  <si>
    <t xml:space="preserve"> Стринги «Avril» с разрезом и тонкими боковыми тесемками черный L</t>
  </si>
  <si>
    <t xml:space="preserve"> Стринги «Avril» с разрезом и тонкими боковыми тесемками черный XL</t>
  </si>
  <si>
    <t xml:space="preserve"> Стринги «Avril» с разрезом и тонкими боковыми тесемками черный M</t>
  </si>
  <si>
    <t xml:space="preserve"> Стринги «Chantal» с тремя бантиками сзади черный M</t>
  </si>
  <si>
    <t xml:space="preserve"> Стринги «Chantal» с тремя бантиками сзади черный L</t>
  </si>
  <si>
    <t xml:space="preserve"> Стринги «Chantal» с тремя бантиками сзади черный S</t>
  </si>
  <si>
    <t xml:space="preserve"> Миниатюрные кружевные трусики «Evita» с доступом черный S</t>
  </si>
  <si>
    <t xml:space="preserve"> Миниатюрные кружевные трусики «Evita» с доступом черный L</t>
  </si>
  <si>
    <t xml:space="preserve"> Миниатюрные кружевные трусики «Evita» с доступом черный M</t>
  </si>
  <si>
    <t xml:space="preserve"> Женские трусики c розочками «Гламур» розовый M-L</t>
  </si>
  <si>
    <t xml:space="preserve"> Трусики-слип с надписью «I Love Cock» черный M-L</t>
  </si>
  <si>
    <t xml:space="preserve"> Трусики-слип с надписью «I Love Cock» черный S-M</t>
  </si>
  <si>
    <t xml:space="preserve"> Трусики-слип с надписью стразами «Kinky» черный S-M</t>
  </si>
  <si>
    <t xml:space="preserve"> Трусики-слип с надписью стразами «Kinky» черный M-L</t>
  </si>
  <si>
    <t xml:space="preserve"> Женские трусики-стринги «Валентин» M-L</t>
  </si>
  <si>
    <t xml:space="preserve"> Женские трусики-стринги «Валентин» S-M</t>
  </si>
  <si>
    <t xml:space="preserve"> Женские стринги «Зона высадки» M-L</t>
  </si>
  <si>
    <t xml:space="preserve"> Женские стринги «Зона высадки» S-M</t>
  </si>
  <si>
    <t xml:space="preserve"> Женские трусики-стринги на резинке «Слоник» S-M</t>
  </si>
  <si>
    <t xml:space="preserve"> Женские трусики-стринги на резинке «Слоник» M-L</t>
  </si>
  <si>
    <t xml:space="preserve"> Голубые женские трусики-стринги «Xmas» с пушком и помпончиками голубой S-M</t>
  </si>
  <si>
    <t xml:space="preserve"> Голубые женские трусики-стринги «Xmas» с пушком и помпончиками голубой M-L</t>
  </si>
  <si>
    <t xml:space="preserve"> Трусики-стринги «Inspires» с ажурной цепочкой черный XL</t>
  </si>
  <si>
    <t xml:space="preserve"> Трусики-стринги «Inspires» с ажурной цепочкой черный L</t>
  </si>
  <si>
    <t xml:space="preserve"> Трусики-стринги «Inspires» с ажурной цепочкой черный S</t>
  </si>
  <si>
    <t xml:space="preserve"> Трусики-стринги «Inspires» с ажурной цепочкой черный M</t>
  </si>
  <si>
    <t xml:space="preserve"> Кружевные стринги «Jill» черный XL</t>
  </si>
  <si>
    <t xml:space="preserve"> Кружевные стринги «Jill» черный L</t>
  </si>
  <si>
    <t xml:space="preserve"> Кружевные стринги «Jill» черный S</t>
  </si>
  <si>
    <t xml:space="preserve"> Кружевные стринги «Jill» черный M</t>
  </si>
  <si>
    <t xml:space="preserve"> Миниатюрные трусики «Join Me» с кружевной полосой посередине черный M</t>
  </si>
  <si>
    <t xml:space="preserve"> Миниатюрные трусики «Join Me» с кружевной полосой посередине черный S</t>
  </si>
  <si>
    <t xml:space="preserve"> Миниатюрные трусики «Join Me» с кружевной полосой посередине черный L</t>
  </si>
  <si>
    <t xml:space="preserve"> Миниатюрные трусики «Join Me» с кружевной полосой посередине черный XL</t>
  </si>
  <si>
    <t xml:space="preserve"> Крошечные стринги с цветком «Lazy Girl» черный XL</t>
  </si>
  <si>
    <t xml:space="preserve"> Крошечные стринги с цветком «Lazy Girl» черный L</t>
  </si>
  <si>
    <t xml:space="preserve"> Крошечные стринги с цветком «Lazy Girl» черный S</t>
  </si>
  <si>
    <t xml:space="preserve"> Крошечные стринги с цветком «Lazy Girl» черный M</t>
  </si>
  <si>
    <t xml:space="preserve"> Трусики «Light Up» из тонких рюшей белый XL</t>
  </si>
  <si>
    <t xml:space="preserve"> Трусики «Light Up» из тонких рюшей белый L</t>
  </si>
  <si>
    <t xml:space="preserve"> Трусики «Light Up» из тонких рюшей черный L</t>
  </si>
  <si>
    <t xml:space="preserve"> Трусики «Light Up» из тонких рюшей белый S</t>
  </si>
  <si>
    <t xml:space="preserve"> Трусики «Light Up» из тонких рюшей черный S</t>
  </si>
  <si>
    <t xml:space="preserve"> Трусики «Light Up» из тонких рюшей белый M</t>
  </si>
  <si>
    <t xml:space="preserve"> Трусики «Light Up» из тонких рюшей черный M</t>
  </si>
  <si>
    <t xml:space="preserve"> Трусики-стринги «Mysterious» с кружевной вставкой черный M</t>
  </si>
  <si>
    <t xml:space="preserve"> Трусики-стринги «Mysterious» с кружевной вставкой черный S</t>
  </si>
  <si>
    <t xml:space="preserve"> Трусики-стринги «Mysterious» с кружевной вставкой черный L</t>
  </si>
  <si>
    <t xml:space="preserve"> Трусики-стринги «Mysterious» с кружевной вставкой черный XL</t>
  </si>
  <si>
    <t xml:space="preserve"> Крошечные стринги Senses с кружевной вставкой контрастного цвета черный XL</t>
  </si>
  <si>
    <t xml:space="preserve"> Крошечные стринги Senses с кружевной вставкой контрастного цвета черный L</t>
  </si>
  <si>
    <t xml:space="preserve"> Крошечные стринги Senses с кружевной вставкой контрастного цвета черный S</t>
  </si>
  <si>
    <t xml:space="preserve"> Крошечные стринги Senses с кружевной вставкой контрастного цвета черный M</t>
  </si>
  <si>
    <t xml:space="preserve"> Стринги с юбочкой «Spice Up» и подвеской-кристаллом черный M</t>
  </si>
  <si>
    <t xml:space="preserve"> Стринги с юбочкой «Spice Up» и подвеской-кристаллом черный S</t>
  </si>
  <si>
    <t xml:space="preserve"> Стринги с юбочкой «Spice Up» и подвеской-кристаллом черный L</t>
  </si>
  <si>
    <t xml:space="preserve"> Стринги с юбочкой «Spice Up» и подвеской-кристаллом черный XL</t>
  </si>
  <si>
    <t xml:space="preserve"> Трусики-слипы Carol с кружевными вставками черный XL</t>
  </si>
  <si>
    <t xml:space="preserve"> Трусики-слипы Carol с кружевными вставками черный L</t>
  </si>
  <si>
    <t xml:space="preserve"> Трусики-слипы Carol с кружевными вставками черный S</t>
  </si>
  <si>
    <t xml:space="preserve"> Трусики-слипы Carol с кружевными вставками черный M</t>
  </si>
  <si>
    <t xml:space="preserve"> Трусики-слипы «Dakota» с кружевом красный XL</t>
  </si>
  <si>
    <t xml:space="preserve"> Трусики-слипы «Dakota» с кружевом красный L</t>
  </si>
  <si>
    <t xml:space="preserve"> Трусики-слипы «Dakota» с кружевом красный S</t>
  </si>
  <si>
    <t xml:space="preserve"> Трусики-слипы «Dakota» с кружевом красный M</t>
  </si>
  <si>
    <t xml:space="preserve"> Трусики-слипы Flavia с тесемкой и металлическими колечками черный M</t>
  </si>
  <si>
    <t xml:space="preserve"> Трусики-слипы Flavia с тесемкой и металлическими колечками черный S</t>
  </si>
  <si>
    <t xml:space="preserve"> Трусики-слипы Flavia с тесемкой и металлическими колечками черный L</t>
  </si>
  <si>
    <t xml:space="preserve"> Трусики-слипы Flavia с тесемкой и металлическими колечками черный XL</t>
  </si>
  <si>
    <t xml:space="preserve"> Кружевные трусики Forme с тремя боковыми тесемками черный XL</t>
  </si>
  <si>
    <t xml:space="preserve"> Кружевные трусики Forme с тремя боковыми тесемками черный L</t>
  </si>
  <si>
    <t xml:space="preserve"> Кружевные трусики Forme с тремя боковыми тесемками черный S</t>
  </si>
  <si>
    <t xml:space="preserve"> Кружевные трусики Forme с тремя боковыми тесемками черный M</t>
  </si>
  <si>
    <t xml:space="preserve"> Трусики-слипы «Imagine» с широкой кружевной вставкой на попе черный M</t>
  </si>
  <si>
    <t xml:space="preserve"> Трусики-слипы «Imagine» с широкой кружевной вставкой на попе черный S</t>
  </si>
  <si>
    <t xml:space="preserve"> Трусики-слипы «Imagine» с широкой кружевной вставкой на попе черный XL</t>
  </si>
  <si>
    <t xml:space="preserve"> Трусики-слипы «Imagine» с широкой кружевной вставкой на попе черный L</t>
  </si>
  <si>
    <t xml:space="preserve"> Открытые трусики «Keira» из кружева в горошек с милой боковой рюшей красный M</t>
  </si>
  <si>
    <t xml:space="preserve"> Открытые трусики «Keira» из кружева в горошек с милой боковой рюшей красный L</t>
  </si>
  <si>
    <t xml:space="preserve"> Открытые трусики «Keira» из кружева в горошек с милой боковой рюшей красный S</t>
  </si>
  <si>
    <t xml:space="preserve"> Открытые трусики «Keira» из кружева в горошек с милой боковой рюшей красный XL</t>
  </si>
  <si>
    <t xml:space="preserve"> Кружевные трусики-слипы «Kitten» с вырезом белый M</t>
  </si>
  <si>
    <t xml:space="preserve"> Кружевные трусики-слипы «Kitten» с вырезом черный M</t>
  </si>
  <si>
    <t xml:space="preserve"> Кружевные трусики-слипы «Kitten» с вырезом белый S</t>
  </si>
  <si>
    <t xml:space="preserve"> Кружевные трусики-слипы «Kitten» с вырезом черный S</t>
  </si>
  <si>
    <t xml:space="preserve"> Кружевные трусики-слипы «Kitten» с вырезом черный L</t>
  </si>
  <si>
    <t xml:space="preserve"> Кружевные трусики-слипы «Kitten» с вырезом белый L</t>
  </si>
  <si>
    <t xml:space="preserve"> Кружевные трусики-слипы «Kitten» с вырезом белый XL</t>
  </si>
  <si>
    <t xml:space="preserve"> Кружевные трусики-слипы «Kitten» с вырезом черный XL</t>
  </si>
  <si>
    <t xml:space="preserve"> Кружевные трусики «Permission» с низкой посадкой и открытой попой черный XL</t>
  </si>
  <si>
    <t xml:space="preserve"> Кружевные трусики «Permission» с низкой посадкой и открытой попой черный L</t>
  </si>
  <si>
    <t xml:space="preserve"> Кружевные трусики «Permission» с низкой посадкой и открытой попой черный S</t>
  </si>
  <si>
    <t xml:space="preserve"> Кружевные трусики «Permission» с низкой посадкой и открытой попой черный M</t>
  </si>
  <si>
    <t xml:space="preserve"> Трусики-слипы «Touch Me» с атласным бантом черный M</t>
  </si>
  <si>
    <t xml:space="preserve"> Трусики-слипы «Touch Me» с атласным бантом белый M</t>
  </si>
  <si>
    <t xml:space="preserve"> Трусики-слипы «Touch Me» с атласным бантом черный S</t>
  </si>
  <si>
    <t xml:space="preserve"> Трусики-слипы «Touch Me» с атласным бантом белый S</t>
  </si>
  <si>
    <t xml:space="preserve"> Трусики-слипы «Touch Me» с атласным бантом белый L</t>
  </si>
  <si>
    <t xml:space="preserve"> Трусики-слипы «Touch Me» с атласным бантом черный L</t>
  </si>
  <si>
    <t xml:space="preserve"> Трусики-слипы «Touch Me» с атласным бантом черный XL</t>
  </si>
  <si>
    <t xml:space="preserve"> Трусики-слипы «Touch Me» с атласным бантом белый XL</t>
  </si>
  <si>
    <t xml:space="preserve"> Полупрозрачные трусики «Volere» с треугольным вырезом черный M</t>
  </si>
  <si>
    <t xml:space="preserve"> Полупрозрачные трусики «Volere» с треугольным вырезом черный S</t>
  </si>
  <si>
    <t xml:space="preserve"> Полупрозрачные трусики «Volere» с треугольным вырезом черный L</t>
  </si>
  <si>
    <t xml:space="preserve"> Кружевной пояс для чулок и трусики-стринги белый S-M</t>
  </si>
  <si>
    <t xml:space="preserve"> Кружевной пояс для чулок и трусики-стринги черный S-M</t>
  </si>
  <si>
    <t xml:space="preserve"> Кружевной пояс для чулок и трусики-стринги белый M-L</t>
  </si>
  <si>
    <t xml:space="preserve"> Кружевной пояс для чулок и трусики-стринги черный M-L</t>
  </si>
  <si>
    <t xml:space="preserve"> Кружевной пояс для чулок и трусики-стринги черный L-XL</t>
  </si>
  <si>
    <t xml:space="preserve"> Кружевной пояс для чулок и трусики-стринги белый L-XL</t>
  </si>
  <si>
    <t xml:space="preserve"> Кружевные трусики из сеточки черный L-XL</t>
  </si>
  <si>
    <t xml:space="preserve"> Кружевные трусики из сеточки белый L-XL</t>
  </si>
  <si>
    <t xml:space="preserve"> Кружевные трусики из сеточки черный S-M</t>
  </si>
  <si>
    <t xml:space="preserve"> Кружевные трусики из сеточки белый S-M</t>
  </si>
  <si>
    <t xml:space="preserve"> Кружевные трусики из сеточки белый M-L</t>
  </si>
  <si>
    <t xml:space="preserve"> Кружевные трусики из сеточки черный M-L</t>
  </si>
  <si>
    <t xml:space="preserve"> Кружевные трусики с фигурными вырезами белый M-L</t>
  </si>
  <si>
    <t xml:space="preserve"> Кружевные трусики с фигурными вырезами красный с черным M-L</t>
  </si>
  <si>
    <t xml:space="preserve"> Кружевные трусики с фигурными вырезами черный M-L</t>
  </si>
  <si>
    <t xml:space="preserve"> Кружевные трусики с фигурными вырезами белый S-M</t>
  </si>
  <si>
    <t xml:space="preserve"> Кружевные трусики с фигурными вырезами черный S-M</t>
  </si>
  <si>
    <t xml:space="preserve"> Кружевные трусики с фигурными вырезами красный с черным S-M</t>
  </si>
  <si>
    <t xml:space="preserve"> Кружевные трусики с фигурными вырезами красный с черным L-XL</t>
  </si>
  <si>
    <t xml:space="preserve"> Кружевные трусики с фигурными вырезами белый L-XL</t>
  </si>
  <si>
    <t xml:space="preserve"> Кружевные трусики с фигурными вырезами черный L-XL</t>
  </si>
  <si>
    <t xml:space="preserve"> Трусики из эластичного кружева белый M-L</t>
  </si>
  <si>
    <t xml:space="preserve"> Трусики из эластичного кружева красный с черным M-L</t>
  </si>
  <si>
    <t xml:space="preserve"> Трусики из эластичного кружева черный M-L</t>
  </si>
  <si>
    <t xml:space="preserve"> Трусики из эластичного кружева красный с черным S-M</t>
  </si>
  <si>
    <t xml:space="preserve"> Трусики из эластичного кружева черный S-M</t>
  </si>
  <si>
    <t xml:space="preserve"> Трусики из эластичного кружева белый S-M</t>
  </si>
  <si>
    <t xml:space="preserve"> Трусики из эластичного кружева белый L-XL</t>
  </si>
  <si>
    <t xml:space="preserve"> Трусики из эластичного кружева красный с черным L-XL</t>
  </si>
  <si>
    <t xml:space="preserve"> Трусики из эластичного кружева черный L-XL</t>
  </si>
  <si>
    <t xml:space="preserve"> Трусики-пояс из эластичного кружева с пажами для чулок белый M-L</t>
  </si>
  <si>
    <t xml:space="preserve"> Трусики-пояс из эластичного кружева с пажами для чулок черный M-L</t>
  </si>
  <si>
    <t xml:space="preserve"> Трусики-пояс из эластичного кружева с пажами для чулок черный S-M</t>
  </si>
  <si>
    <t xml:space="preserve"> Трусики-пояс из эластичного кружева с пажами для чулок белый S-M</t>
  </si>
  <si>
    <t xml:space="preserve"> Трусики-пояс из эластичного кружева с пажами для чулок белый L-XL</t>
  </si>
  <si>
    <t xml:space="preserve"> Трусики-пояс из эластичного кружева с пажами для чулок черный L-XL</t>
  </si>
  <si>
    <t xml:space="preserve"> Трусики-юбочка с кружевной вставкой черный M-L</t>
  </si>
  <si>
    <t xml:space="preserve"> Трусики-юбочка с кружевной вставкой белый M-L</t>
  </si>
  <si>
    <t xml:space="preserve"> Трусики-юбочка с кружевной вставкой черный S-M</t>
  </si>
  <si>
    <t xml:space="preserve"> Трусики-юбочка с кружевной вставкой белый S-M</t>
  </si>
  <si>
    <t xml:space="preserve"> Трусики-юбочка с кружевной вставкой черный L-XL</t>
  </si>
  <si>
    <t xml:space="preserve"> Трусики-юбочка с кружевной вставкой белый L-XL</t>
  </si>
  <si>
    <t xml:space="preserve"> Кружевной пояс с пажами для чулок и трусики красный M-L</t>
  </si>
  <si>
    <t xml:space="preserve"> Кружевной пояс с пажами для чулок и трусики черный M-L</t>
  </si>
  <si>
    <t xml:space="preserve"> Кружевной пояс с пажами для чулок и трусики синий M-L</t>
  </si>
  <si>
    <t xml:space="preserve"> Кружевной пояс с пажами для чулок и трусики бежевый M-L</t>
  </si>
  <si>
    <t xml:space="preserve"> Кружевной пояс с пажами для чулок и трусики белый M-L</t>
  </si>
  <si>
    <t xml:space="preserve"> Кружевной пояс с пажами для чулок и трусики синий S-M</t>
  </si>
  <si>
    <t xml:space="preserve"> Кружевной пояс с пажами для чулок и трусики белый S-M</t>
  </si>
  <si>
    <t xml:space="preserve"> Кружевной пояс с пажами для чулок и трусики бежевый S-M</t>
  </si>
  <si>
    <t xml:space="preserve"> Кружевной пояс с пажами для чулок и трусики черный S-M</t>
  </si>
  <si>
    <t xml:space="preserve"> Кружевной пояс с пажами для чулок и трусики красный S-M</t>
  </si>
  <si>
    <t xml:space="preserve"> Кружевной пояс с пажами для чулок и трусики черный L-XL</t>
  </si>
  <si>
    <t xml:space="preserve"> Кружевной пояс с пажами для чулок и трусики красный L-XL</t>
  </si>
  <si>
    <t xml:space="preserve"> Кружевной пояс с пажами для чулок и трусики белый L-XL</t>
  </si>
  <si>
    <t xml:space="preserve"> Кружевной пояс с пажами для чулок и трусики бежевый L-XL</t>
  </si>
  <si>
    <t xml:space="preserve"> Кружевной пояс с пажами для чулок и трусики синий L-XL</t>
  </si>
  <si>
    <t xml:space="preserve"> Прелестные трусики с тоненькими бретелями на попе черный M-L</t>
  </si>
  <si>
    <t xml:space="preserve"> Прелестные трусики с тоненькими бретелями на попе красный M-L</t>
  </si>
  <si>
    <t xml:space="preserve"> Прелестные трусики с тоненькими бретелями на попе черный S-M</t>
  </si>
  <si>
    <t xml:space="preserve"> Прелестные трусики с тоненькими бретелями на попе красный S-M</t>
  </si>
  <si>
    <t xml:space="preserve"> Оригинальные трусики-стринги с кружевами и стразами черный S-M</t>
  </si>
  <si>
    <t xml:space="preserve"> Оригинальные трусики-стринги с кружевами и стразами красный S-M</t>
  </si>
  <si>
    <t xml:space="preserve"> Оригинальные трусики-стринги с кружевами и стразами красный M-L</t>
  </si>
  <si>
    <t xml:space="preserve"> Оригинальные трусики-стринги с кружевами и стразами черный M-L</t>
  </si>
  <si>
    <t xml:space="preserve"> Ажурные трусики-стринги с разрезом и двойными бретелями красный One Size</t>
  </si>
  <si>
    <t xml:space="preserve"> Ажурные трусики-стринги с разрезом и двойными бретелями черный One Size</t>
  </si>
  <si>
    <t xml:space="preserve"> Ажурные трусики-стринги с разрезом и двойными бретелями белый One Size</t>
  </si>
  <si>
    <t xml:space="preserve"> Открытые трусики-стринги с широким кружевным пояском черный M-L</t>
  </si>
  <si>
    <t xml:space="preserve"> Открытые трусики-стринги с широким кружевным пояском черный S-M</t>
  </si>
  <si>
    <t xml:space="preserve"> Кружевные трусики-стринги с двойными бретелями белый M-L</t>
  </si>
  <si>
    <t xml:space="preserve"> Кружевные трусики-стринги с двойными бретелями черный M-L</t>
  </si>
  <si>
    <t xml:space="preserve"> Кружевные трусики-стринги с двойными бретелями черный S-M</t>
  </si>
  <si>
    <t xml:space="preserve"> Кружевные трусики-стринги с двойными бретелями белый S-M</t>
  </si>
  <si>
    <t xml:space="preserve"> Ажурные трусики-стринги с рюшами и пикантным разрезом черный S-M</t>
  </si>
  <si>
    <t xml:space="preserve"> Ажурные трусики-стринги с рюшами и пикантным разрезом красный S-M</t>
  </si>
  <si>
    <t xml:space="preserve"> Ажурные трусики-стринги с рюшами и пикантным разрезом красный M-L</t>
  </si>
  <si>
    <t xml:space="preserve"> Ажурные трусики-стринги с рюшами и пикантным разрезом черный M-L</t>
  </si>
  <si>
    <t xml:space="preserve"> Ажурные V-образные трусики с пикантным разрезом черный M-L</t>
  </si>
  <si>
    <t xml:space="preserve"> Ажурные V-образные трусики с пикантным разрезом белый M-L</t>
  </si>
  <si>
    <t xml:space="preserve"> Ажурные V-образные трусики с пикантным разрезом черный S-M</t>
  </si>
  <si>
    <t xml:space="preserve"> Ажурные V-образные трусики с пикантным разрезом белый S-M</t>
  </si>
  <si>
    <t xml:space="preserve"> Откровенные кружевные трусики-стринги с доступом черный One Size</t>
  </si>
  <si>
    <t xml:space="preserve"> Сетчатые трусики-стринги со стразами и разрезом черный One Size</t>
  </si>
  <si>
    <t xml:space="preserve"> Сетчатые трусики-стринги со стразами и разрезом красный One Size</t>
  </si>
  <si>
    <t xml:space="preserve"> Трусики-стринги с вырезами и разрезом черный One Size</t>
  </si>
  <si>
    <t xml:space="preserve"> Трусики-стринги с вырезами и разрезом красный One Size</t>
  </si>
  <si>
    <t xml:space="preserve"> Трусики-стринги с бантиками и кружевом с ресничками черный One Size</t>
  </si>
  <si>
    <t xml:space="preserve"> Оригинальные кружевные трусики с окошком и поясом-бантом синий S-M</t>
  </si>
  <si>
    <t xml:space="preserve"> Оригинальные кружевные трусики с окошком и поясом-бантом синий L-XL</t>
  </si>
  <si>
    <t xml:space="preserve"> Трусики-стринги с кружавчиками и окошком черный One Size</t>
  </si>
  <si>
    <t xml:space="preserve"> Трусики-слип с надписью из страз «Evil bitch» черный S-M</t>
  </si>
  <si>
    <t xml:space="preserve"> Трусики-слип с надписью из страз «Evil bitch» черный M-L</t>
  </si>
  <si>
    <t xml:space="preserve"> Трусики-слип с надписью из страз «Wanna Ride» черный S-M</t>
  </si>
  <si>
    <t xml:space="preserve"> Трусики-слип с надписью из страз «Wanna Ride» черный M-L</t>
  </si>
  <si>
    <t xml:space="preserve"> Трусики со вставкой стрейч-сетки на поясе белый M-L</t>
  </si>
  <si>
    <t xml:space="preserve"> Трусики со вставкой стрейч-сетки на поясе черный M-L</t>
  </si>
  <si>
    <t xml:space="preserve"> Трусики со вставкой стрейч-сетки на поясе черный S-M</t>
  </si>
  <si>
    <t xml:space="preserve"> Трусики со вставкой стрейч-сетки на поясе белый S-M</t>
  </si>
  <si>
    <t xml:space="preserve"> Трусики со вставкой стрейч-сетки на поясе белый L-XL</t>
  </si>
  <si>
    <t xml:space="preserve"> Трусики со вставкой стрейч-сетки на поясе черный L-XL</t>
  </si>
  <si>
    <t xml:space="preserve"> Трусики-стринги с рюшами, доступом и аппликацией в виде цветка черный S-M</t>
  </si>
  <si>
    <t xml:space="preserve"> Трусики-стринги с рюшами, доступом и аппликацией в виде цветка черный M-L</t>
  </si>
  <si>
    <t xml:space="preserve"> Ажурные трусики-стринги с разрезом и доступом черный M-L</t>
  </si>
  <si>
    <t xml:space="preserve"> Ажурные трусики-стринги с разрезом и доступом черный S-M</t>
  </si>
  <si>
    <t xml:space="preserve"> Ажурные трусики-стринги с доступом черный S-M</t>
  </si>
  <si>
    <t xml:space="preserve"> Ажурные трусики-стринги с доступом белый S-M</t>
  </si>
  <si>
    <t xml:space="preserve"> Ажурные трусики-стринги с доступом красный S-M</t>
  </si>
  <si>
    <t xml:space="preserve"> Ажурные трусики-стринги с доступом черный M-L</t>
  </si>
  <si>
    <t xml:space="preserve"> Ажурные трусики-стринги с доступом красный M-L</t>
  </si>
  <si>
    <t xml:space="preserve"> Ажурные трусики-стринги с доступом белый M-L</t>
  </si>
  <si>
    <t xml:space="preserve"> Оригинальные трусики с доступом и полуоткрытой попой красный M-L</t>
  </si>
  <si>
    <t xml:space="preserve"> Оригинальные трусики с доступом и полуоткрытой попой черный M-L</t>
  </si>
  <si>
    <t xml:space="preserve"> Оригинальные трусики с доступом и полуоткрытой попой красный S-M</t>
  </si>
  <si>
    <t xml:space="preserve"> Оригинальные трусики с доступом и полуоткрытой попой черный S-M</t>
  </si>
  <si>
    <t xml:space="preserve"> Ажурные трусики-стринги с широким пояском и доступом красный S-M</t>
  </si>
  <si>
    <t xml:space="preserve"> Ажурные трусики-стринги с широким пояском и доступом черный S-M</t>
  </si>
  <si>
    <t xml:space="preserve"> Ажурные трусики-стринги с широким пояском и доступом черный M-L</t>
  </si>
  <si>
    <t xml:space="preserve"> Ажурные трусики-стринги с широким пояском и доступом красный M-L</t>
  </si>
  <si>
    <t xml:space="preserve"> Трусики-стринги с тройными ажурными бретелями черный M-L</t>
  </si>
  <si>
    <t xml:space="preserve"> Трусики-стринги с тройными ажурными бретелями черный S-M</t>
  </si>
  <si>
    <t xml:space="preserve"> Оригинальные ажурные трусики с доступом и вырезом-сердечком на попе черный S-M</t>
  </si>
  <si>
    <t xml:space="preserve"> Оригинальные ажурные трусики с доступом и вырезом-сердечком на попе белый S-M</t>
  </si>
  <si>
    <t xml:space="preserve"> Оригинальные ажурные трусики с доступом и вырезом-сердечком на попе белый M-L</t>
  </si>
  <si>
    <t xml:space="preserve"> Оригинальные ажурные трусики с доступом и вырезом-сердечком на попе черный M-L</t>
  </si>
  <si>
    <t xml:space="preserve"> Трусики-стринги с ажурной лицевой частью и доступом черный One Size</t>
  </si>
  <si>
    <t xml:space="preserve"> Трусики-стринги с ажурной лицевой частью и доступом красный One Size</t>
  </si>
  <si>
    <t xml:space="preserve"> Прелестные трусики-стринги с доступом и открытой попой черный One Size</t>
  </si>
  <si>
    <t xml:space="preserve"> Прелестные трусики-стринги с доступом и открытой попой белый One Size</t>
  </si>
  <si>
    <t xml:space="preserve"> Милые трусики-стринги с вышивкой и мелкими рюшами черный One Size</t>
  </si>
  <si>
    <t xml:space="preserve"> Трусики-стринги с ажурной кисточкой черный One Size</t>
  </si>
  <si>
    <t xml:space="preserve"> Трусики-стринги с цветком, доступом, двойными бретелями и открытой попой черный One Size</t>
  </si>
  <si>
    <t xml:space="preserve"> Трусики украшенные стразами и доступом красный M-L</t>
  </si>
  <si>
    <t xml:space="preserve"> Трусики украшенные стразами и доступом черный M-L</t>
  </si>
  <si>
    <t xml:space="preserve"> Трусики украшенные стразами и доступом красный S-M</t>
  </si>
  <si>
    <t xml:space="preserve"> Трусики украшенные стразами и доступом черный S-M</t>
  </si>
  <si>
    <t xml:space="preserve"> Пояс для чулок из ажурных треугольников с трусиками-стринг белый S-M</t>
  </si>
  <si>
    <t xml:space="preserve"> Пояс для чулок из ажурных треугольников с трусиками-стринг черный S-M</t>
  </si>
  <si>
    <t xml:space="preserve"> Пояс для чулок из ажурных треугольников с трусиками-стринг черный M-L</t>
  </si>
  <si>
    <t xml:space="preserve"> Пояс для чулок из ажурных треугольников с трусиками-стринг белый M-L</t>
  </si>
  <si>
    <t xml:space="preserve"> Пояс для чулок в комплекте с трусиками-стринг с доступом черный S-M</t>
  </si>
  <si>
    <t xml:space="preserve"> Пояс для чулок в комплекте с трусиками-стринг с доступом белый S-M</t>
  </si>
  <si>
    <t xml:space="preserve"> Пояс для чулок в комплекте с трусиками-стринг с доступом красный S-M</t>
  </si>
  <si>
    <t xml:space="preserve"> Пояс для чулок в комплекте с трусиками-стринг с доступом черный M-L</t>
  </si>
  <si>
    <t xml:space="preserve"> Пояс для чулок в комплекте с трусиками-стринг с доступом красный M-L</t>
  </si>
  <si>
    <t xml:space="preserve"> Пояс для чулок в комплекте с трусиками-стринг с доступом белый M-L</t>
  </si>
  <si>
    <t xml:space="preserve"> Кружевные шортики со шнуровкой черный XXL</t>
  </si>
  <si>
    <t xml:space="preserve"> Кружевные шортики со шнуровкой черный XL</t>
  </si>
  <si>
    <t xml:space="preserve"> Трусики-стринги с пикантным вырезом белый 1X-2X</t>
  </si>
  <si>
    <t xml:space="preserve"> Трусики-стринги с пикантным вырезом черный 1X-2X</t>
  </si>
  <si>
    <t xml:space="preserve"> Сетчатые трусики с бантом белый M-L</t>
  </si>
  <si>
    <t xml:space="preserve"> Сетчатые трусики с бантом черный M-L</t>
  </si>
  <si>
    <t xml:space="preserve"> Сетчатые трусики с бантом белый S-M</t>
  </si>
  <si>
    <t xml:space="preserve"> Сетчатые трусики с бантом черный S-M</t>
  </si>
  <si>
    <t xml:space="preserve"> Сетчатые трусики с бантом белый L-XL</t>
  </si>
  <si>
    <t xml:space="preserve"> Сетчатые трусики с бантом черный L-XL</t>
  </si>
  <si>
    <t xml:space="preserve"> Кружевные трусики с ажурными вырезами черный L-XL</t>
  </si>
  <si>
    <t xml:space="preserve"> Кружевные трусики с ажурными вырезами белый L-XL</t>
  </si>
  <si>
    <t xml:space="preserve"> Кружевные трусики с ажурными вырезами черный S-M</t>
  </si>
  <si>
    <t xml:space="preserve"> Кружевные трусики с ажурными вырезами белый S-M</t>
  </si>
  <si>
    <t xml:space="preserve"> Кружевные трусики с ажурными вырезами черный M-L</t>
  </si>
  <si>
    <t xml:space="preserve"> Кружевные трусики с ажурными вырезами белый M-L</t>
  </si>
  <si>
    <t xml:space="preserve"> Открытые кружевные трусики черный S-M</t>
  </si>
  <si>
    <t xml:space="preserve"> Открытые кружевные трусики черный L-XL</t>
  </si>
  <si>
    <t xml:space="preserve"> Комплект из кружевного пояса для чулок и трусиков-стринг с разрезом черный S-M</t>
  </si>
  <si>
    <t xml:space="preserve"> Комплект из кружевного пояса для чулок и трусиков-стринг с разрезом черный M-L</t>
  </si>
  <si>
    <t xml:space="preserve"> Миниатюрные трусики с тонкими боковыми лямками черный L-XL</t>
  </si>
  <si>
    <t xml:space="preserve"> Миниатюрные трусики с тонкими боковыми лямками черный S-M</t>
  </si>
  <si>
    <t xml:space="preserve"> Трусики-стринги Carmelove с кружевными вставками телесный S-M</t>
  </si>
  <si>
    <t xml:space="preserve"> Трусики-стринги Carmelove с кружевными вставками телесный L-XL</t>
  </si>
  <si>
    <t xml:space="preserve"> Трусики-стринги с широким кружевным пояском розовый с черным M-L</t>
  </si>
  <si>
    <t xml:space="preserve"> Трусики-стринги с широким кружевным пояском розовый с черным S-M</t>
  </si>
  <si>
    <t xml:space="preserve"> Высокие кружевные трусики «Felicity» с контрастной шнуровкой черный с белым M</t>
  </si>
  <si>
    <t xml:space="preserve"> Высокие кружевные трусики «Felicity» с контрастной шнуровкой черный с белым S</t>
  </si>
  <si>
    <t xml:space="preserve"> Высокие кружевные трусики «Felicity» с контрастной шнуровкой черный с белым L</t>
  </si>
  <si>
    <t xml:space="preserve"> Высокие кружевные трусики «Felicity» с контрастной шнуровкой черный с белым XL</t>
  </si>
  <si>
    <t xml:space="preserve"> Кружевные трусики «Quinn» с открытыми ягодицами красный M</t>
  </si>
  <si>
    <t xml:space="preserve"> Кружевные трусики «Quinn» с открытыми ягодицами красный XL</t>
  </si>
  <si>
    <t xml:space="preserve"> Кружевные трусики «Quinn» с открытыми ягодицами красный L</t>
  </si>
  <si>
    <t xml:space="preserve"> Кружевные трусики «Quinn» с открытыми ягодицами красный S</t>
  </si>
  <si>
    <t xml:space="preserve"> Трусики-стринги «Ossia» с углубленным верхним краем красный S</t>
  </si>
  <si>
    <t xml:space="preserve"> Трусики-стринги «Ossia» с углубленным верхним краем красный L</t>
  </si>
  <si>
    <t xml:space="preserve"> Трусики-стринги «Ossia» с углубленным верхним краем красный XL</t>
  </si>
  <si>
    <t xml:space="preserve"> Трусики-стринги «Ossia» с углубленным верхним краем красный M</t>
  </si>
  <si>
    <t xml:space="preserve"> Трусики «Intriganti» с вырезом сердечком на ягодицах черный с красным M</t>
  </si>
  <si>
    <t xml:space="preserve"> Трусики «Intriganti» с вырезом сердечком на ягодицах черный с красным L</t>
  </si>
  <si>
    <t xml:space="preserve"> Трусики «Intriganti» с вырезом сердечком на ягодицах черный с красным S</t>
  </si>
  <si>
    <t xml:space="preserve"> Трусики «Intriganti» с вырезом сердечком на ягодицах черный с красным XL</t>
  </si>
  <si>
    <t xml:space="preserve"> Атласные стринги с кружевом «CROTCHLESS THONG NEON CORAL» розовый L</t>
  </si>
  <si>
    <t xml:space="preserve"> Атласные стринги с кружевом «CROTCHLESS THONG NEON CORAL» розовый XL</t>
  </si>
  <si>
    <t xml:space="preserve"> Трусики-стринги «DOLCE DONNA THONG» черный с розовым M</t>
  </si>
  <si>
    <t xml:space="preserve"> Трусики-стринги «DOLCE DONNA THONG» черный с розовым XL</t>
  </si>
  <si>
    <t xml:space="preserve"> Трусики-стринги «DOLCE DONNA THONG» черный с розовым S</t>
  </si>
  <si>
    <t xml:space="preserve"> Трусики-стринги «DOLCE DONNA THONG» черный с розовым L</t>
  </si>
  <si>
    <t xml:space="preserve"> Трусики-стринги в горошек PINK POLKA DOTS THONG черный L</t>
  </si>
  <si>
    <t xml:space="preserve"> Трусики-стринги в горошек PINK POLKA DOTS THONG черный XL</t>
  </si>
  <si>
    <t xml:space="preserve"> Трусики-стринги в горошек PINK POLKA DOTS THONG черный S</t>
  </si>
  <si>
    <t xml:space="preserve"> Трусики с бантом и ажурной лентой «LEOPARD BOW» черный с леопардовым L-XL</t>
  </si>
  <si>
    <t xml:space="preserve"> Трусики-бразилиана Alabastra с разрезом белый L-XL</t>
  </si>
  <si>
    <t xml:space="preserve"> Трусики-бразилиана Alabastra с разрезом белый S-M</t>
  </si>
  <si>
    <t xml:space="preserve"> Трусики-стринги My Bijou черный S-M</t>
  </si>
  <si>
    <t xml:space="preserve"> Трусики-стринги My Bijou красный S-M</t>
  </si>
  <si>
    <t xml:space="preserve"> Трусики-стринги My Bijou черный L-XL</t>
  </si>
  <si>
    <t xml:space="preserve"> Трусики-стринги My Bijou красный L-XL</t>
  </si>
  <si>
    <t xml:space="preserve"> Трусики Bisquitta с вырезом и брошкой на попе кремовый L-XL</t>
  </si>
  <si>
    <t xml:space="preserve"> Трусики Bisquitta с вырезом и брошкой на попе кремовый S-M</t>
  </si>
  <si>
    <t xml:space="preserve"> Оригинальные трусики-стринги «Luiza» красный S-M</t>
  </si>
  <si>
    <t xml:space="preserve"> Оригинальные трусики-стринги «Luiza» белый S-M</t>
  </si>
  <si>
    <t xml:space="preserve"> Оригинальные трусики-стринги «Luiza» черный S-M</t>
  </si>
  <si>
    <t xml:space="preserve"> Оригинальные трусики-стринги «Luiza» белый L-XL</t>
  </si>
  <si>
    <t xml:space="preserve"> Оригинальные трусики-стринги «Luiza» красный L-XL</t>
  </si>
  <si>
    <t xml:space="preserve"> Оригинальные трусики-стринги «Luiza» черный L-XL</t>
  </si>
  <si>
    <t xml:space="preserve"> Трусики Picantina с вырезом черный L-XL</t>
  </si>
  <si>
    <t xml:space="preserve"> Трусики Picantina с вырезом черный S-M</t>
  </si>
  <si>
    <t xml:space="preserve"> Трусики «Greyla» с изысканным кружевом черный с серым L-XL</t>
  </si>
  <si>
    <t xml:space="preserve"> Трусики «Greyla» с изысканным кружевом серый S-M</t>
  </si>
  <si>
    <t xml:space="preserve"> Стринги из тонких лент «Aisha» черный L-XL</t>
  </si>
  <si>
    <t xml:space="preserve"> Стринги из тонких лент «Aisha» красный L-XL</t>
  </si>
  <si>
    <t xml:space="preserve"> Стринги из тонких лент «Aisha» белый L-XL</t>
  </si>
  <si>
    <t xml:space="preserve"> Стринги из тонких лент «Aisha» черный S-M</t>
  </si>
  <si>
    <t xml:space="preserve"> Стринги из тонких лент «Aisha» белый S-M</t>
  </si>
  <si>
    <t xml:space="preserve"> Стринги из тонких лент «Aisha» красный S-M</t>
  </si>
  <si>
    <t xml:space="preserve"> Стринги «Rene» с лентами на талии красный S-M</t>
  </si>
  <si>
    <t xml:space="preserve"> Стринги «Rene» с лентами на талии белый S-M</t>
  </si>
  <si>
    <t xml:space="preserve"> Стринги «Rene» с лентами на талии черный S-M</t>
  </si>
  <si>
    <t xml:space="preserve"> Стринги «Loretta» с лентами по бокам черный S-M</t>
  </si>
  <si>
    <t xml:space="preserve"> Стринги «Loretta» с лентами по бокам белый S-M</t>
  </si>
  <si>
    <t xml:space="preserve"> Стринги «Loretta» с лентами по бокам красный S-M</t>
  </si>
  <si>
    <t xml:space="preserve"> Полупрозрачные трусики «Isabella» черный S-M</t>
  </si>
  <si>
    <t xml:space="preserve"> Полупрозрачные трусики «Isabella» белый S-M</t>
  </si>
  <si>
    <t xml:space="preserve"> Полупрозрачные трусики «Isabella» красный S-M</t>
  </si>
  <si>
    <t xml:space="preserve"> Полупрозрачные трусики «Isabella» черный L-XL</t>
  </si>
  <si>
    <t xml:space="preserve"> Трусы «Gloria» с высокой талией черный L-XL</t>
  </si>
  <si>
    <t xml:space="preserve"> Трусы «Gloria» с высокой талией красный L-XL</t>
  </si>
  <si>
    <t xml:space="preserve"> Трусы «Gloria» с высокой талией красный S-M</t>
  </si>
  <si>
    <t xml:space="preserve"> Трусы «Gloria» с высокой талией белый S-M</t>
  </si>
  <si>
    <t xml:space="preserve"> Трусы «Gloria» с высокой талией черный S-M</t>
  </si>
  <si>
    <t xml:space="preserve"> Трусики «Olivia» с высокой талией черный S-M</t>
  </si>
  <si>
    <t xml:space="preserve"> Трусики «Olivia» с высокой талией красный S-M</t>
  </si>
  <si>
    <t xml:space="preserve"> Кружевные трусики-стринги с широким пояском и доступом черный S-M</t>
  </si>
  <si>
    <t xml:space="preserve"> Кружевные трусики-стринги с широким пояском и доступом белый S-M</t>
  </si>
  <si>
    <t xml:space="preserve"> Кружевные трусики-стринги с широким пояском и доступом белый M-L</t>
  </si>
  <si>
    <t xml:space="preserve"> Кружевные трусики-стринги с широким пояском и доступом черный M-L</t>
  </si>
  <si>
    <t xml:space="preserve"> Кружевные трусики-стринги с широким пояском и доступом белый L-XL</t>
  </si>
  <si>
    <t xml:space="preserve"> Кружевные трусики-стринги с широким пояском и доступом белый XL-XXL</t>
  </si>
  <si>
    <t xml:space="preserve"> Кружевные трусики-стринги с широким пояском и доступом черный XL-XXL</t>
  </si>
  <si>
    <t xml:space="preserve"> Кружевные трусики-стринги с широким пояском и доступом черный L-XL</t>
  </si>
  <si>
    <t xml:space="preserve"> Очаровательные трусики-тонги с кружевной оторочкой фиолетовый L-XL</t>
  </si>
  <si>
    <t xml:space="preserve"> Очаровательные трусики-тонги с кружевной оторочкой фиолетовый S-M</t>
  </si>
  <si>
    <t xml:space="preserve"> Трусики open-croatch с цветочным кружевом черный M-L</t>
  </si>
  <si>
    <t xml:space="preserve"> Трусики open-croatch с цветочным кружевом белый M-L</t>
  </si>
  <si>
    <t xml:space="preserve"> Трусики open-croatch с цветочным кружевом черный S-M</t>
  </si>
  <si>
    <t xml:space="preserve"> Трусики open-croatch с цветочным кружевом белый S-M</t>
  </si>
  <si>
    <t xml:space="preserve"> Трусики open-croatch с цветочным кружевом черный L-XL</t>
  </si>
  <si>
    <t xml:space="preserve"> Трусики open-croatch с цветочным кружевом белый L-XL</t>
  </si>
  <si>
    <t xml:space="preserve"> Трусики Blackbella с широкой кружевной полосой черный S-M</t>
  </si>
  <si>
    <t xml:space="preserve"> Трусики Blackbella с широкой кружевной полосой черный L-XL</t>
  </si>
  <si>
    <t xml:space="preserve"> Трусики Auroria с поясом-бантиком синий XXL</t>
  </si>
  <si>
    <t xml:space="preserve"> Трусики «Звезда» из эластичных лент черный One Size</t>
  </si>
  <si>
    <t xml:space="preserve"> Ажурные открытые трусики с бусинками белый L-XL</t>
  </si>
  <si>
    <t xml:space="preserve"> Ажурные открытые трусики с бусинками черный XL-XXL</t>
  </si>
  <si>
    <t xml:space="preserve"> Ажурные открытые трусики с бусинками белый XL-XXL</t>
  </si>
  <si>
    <t xml:space="preserve"> Ажурные открытые трусики с бусинками черный L-XL</t>
  </si>
  <si>
    <t xml:space="preserve"> Ажурные открытые трусики с бусинками белый S-M</t>
  </si>
  <si>
    <t xml:space="preserve"> Ажурные открытые трусики с бусинками черный S-M</t>
  </si>
  <si>
    <t xml:space="preserve"> Ажурные открытые трусики с бусинками белый M-L</t>
  </si>
  <si>
    <t xml:space="preserve"> Ажурные открытые трусики с бусинками черный M-L</t>
  </si>
  <si>
    <t xml:space="preserve"> Кружевные трусики с крестообразным вырезом и доступом белый L-XL</t>
  </si>
  <si>
    <t xml:space="preserve"> Кружевные трусики с крестообразным вырезом и доступом черный XL-XXL</t>
  </si>
  <si>
    <t xml:space="preserve"> Кружевные трусики с крестообразным вырезом и доступом белый XL-XXL</t>
  </si>
  <si>
    <t xml:space="preserve"> Кружевные трусики с крестообразным вырезом и доступом черный L-XL</t>
  </si>
  <si>
    <t xml:space="preserve"> Кружевные трусики с крестообразным вырезом и доступом красный L-XL</t>
  </si>
  <si>
    <t xml:space="preserve"> Кружевные трусики с крестообразным вырезом и доступом черный S-M</t>
  </si>
  <si>
    <t xml:space="preserve"> Кружевные трусики с крестообразным вырезом и доступом красный S-M</t>
  </si>
  <si>
    <t xml:space="preserve"> Кружевные трусики с крестообразным вырезом и доступом белый S-M</t>
  </si>
  <si>
    <t xml:space="preserve"> Кружевные трусики с крестообразным вырезом и доступом белый M-L</t>
  </si>
  <si>
    <t xml:space="preserve"> Кружевные трусики с крестообразным вырезом и доступом черный M-L</t>
  </si>
  <si>
    <t xml:space="preserve"> Кружевные трусики с крестообразным вырезом и доступом красный M-L</t>
  </si>
  <si>
    <t xml:space="preserve"> Ажурные трусики open-croatch черный XL-XXL</t>
  </si>
  <si>
    <t xml:space="preserve"> Ажурные трусики open-croatch белый XL-XXL</t>
  </si>
  <si>
    <t xml:space="preserve"> Игривые трусики с вырезом и бантом на попе красный XXL</t>
  </si>
  <si>
    <t xml:space="preserve"> Игривые трусики с вырезом и бантом на попе красный XL</t>
  </si>
  <si>
    <t xml:space="preserve"> Игривые трусики с вырезом и бантом на попе черный XL</t>
  </si>
  <si>
    <t xml:space="preserve"> Игривые трусики с вырезом и бантом на попе черный XXXL</t>
  </si>
  <si>
    <t xml:space="preserve"> Игривые трусики с вырезом и бантом на попе красный XXXL</t>
  </si>
  <si>
    <t xml:space="preserve"> Игривые трусики с вырезом и бантом на попе черный XXL</t>
  </si>
  <si>
    <t xml:space="preserve"> Ажурные трусики с вырезом и шнуровкой на попе черный XL</t>
  </si>
  <si>
    <t xml:space="preserve"> Ажурные трусики с вырезом и шнуровкой на попе черный XXL</t>
  </si>
  <si>
    <t xml:space="preserve"> Ажурные трусики с вырезом и шнуровкой на попе черный XXXL</t>
  </si>
  <si>
    <t xml:space="preserve"> Кружевные трусики с доступом, обрамлённым стразами черный XXXL</t>
  </si>
  <si>
    <t xml:space="preserve"> Кружевные трусики с доступом, обрамлённым стразами красный XXXL</t>
  </si>
  <si>
    <t xml:space="preserve"> Кружевные трусики с доступом, обрамлённым стразами черный XL</t>
  </si>
  <si>
    <t xml:space="preserve"> Кружевные трусики с доступом, обрамлённым стразами красный XL</t>
  </si>
  <si>
    <t xml:space="preserve"> Кружевные трусики с доступом, обрамлённым стразами черный XXL</t>
  </si>
  <si>
    <t xml:space="preserve"> Кружевные трусики с доступом, обрамлённым стразами красный XXL</t>
  </si>
  <si>
    <t xml:space="preserve"> Трусики с ажурной вставкой на попе и доступом черный XXXL</t>
  </si>
  <si>
    <t xml:space="preserve"> Трусики с ажурной вставкой на попе и доступом красный XXXL</t>
  </si>
  <si>
    <t xml:space="preserve"> Трусики с ажурной вставкой на попе и доступом черный XL</t>
  </si>
  <si>
    <t xml:space="preserve"> Трусики с ажурной вставкой на попе и доступом красный XL</t>
  </si>
  <si>
    <t xml:space="preserve"> Трусики с ажурной вставкой на попе и доступом красный XXL</t>
  </si>
  <si>
    <t xml:space="preserve"> Трусики с ажурной вставкой на попе и доступом черный XXL</t>
  </si>
  <si>
    <t xml:space="preserve"> Сетчатые открытые трусики с кружевным кантом черный с белым XXXL</t>
  </si>
  <si>
    <t xml:space="preserve"> Сетчатые открытые трусики с кружевным кантом черный с белым XL</t>
  </si>
  <si>
    <t xml:space="preserve"> Сетчатые открытые трусики с кружевным кантом черный с белым XXL</t>
  </si>
  <si>
    <t xml:space="preserve"> Кружевные открытые трусики Plus Size с вырезом в виде сердца на попе черный XXL</t>
  </si>
  <si>
    <t xml:space="preserve"> Кружевные открытые трусики Plus Size с вырезом в виде сердца на попе черный XL</t>
  </si>
  <si>
    <t xml:space="preserve"> Кружевные открытые трусики Plus Size с вырезом в виде сердца на попе черный XXXL</t>
  </si>
  <si>
    <t xml:space="preserve"> Трусики Picantina с кружевным орнаментом черный S-M</t>
  </si>
  <si>
    <t xml:space="preserve"> Трусики Picantina с кружевным орнаментом черный L-XL</t>
  </si>
  <si>
    <t xml:space="preserve"> Оригинальные трусики с бусинами и тройными бретелями черный M-L</t>
  </si>
  <si>
    <t xml:space="preserve"> Оригинальные трусики с бусинами и тройными бретелями белый M-L</t>
  </si>
  <si>
    <t xml:space="preserve"> Оригинальные трусики с бусинами и тройными бретелями белый S-M</t>
  </si>
  <si>
    <t xml:space="preserve"> Оригинальные трусики с бусинами и тройными бретелями черный S-M</t>
  </si>
  <si>
    <t xml:space="preserve"> Оригинальные трусики с бусинами и тройными бретелями белый L-XL</t>
  </si>
  <si>
    <t xml:space="preserve"> Оригинальные трусики с бусинами и тройными бретелями черный L-XL</t>
  </si>
  <si>
    <t xml:space="preserve"> Эффектные трусики с тройными бретелями и бусинками белый XL-XXL</t>
  </si>
  <si>
    <t xml:space="preserve"> Трусики-стринги с бусинами белый L-XL</t>
  </si>
  <si>
    <t xml:space="preserve"> Трусики-стринги с бусинами черный L-XL</t>
  </si>
  <si>
    <t xml:space="preserve"> Трусики-стринги с бусинами красный L-XL</t>
  </si>
  <si>
    <t xml:space="preserve"> Трусики-стринги с бусинами черный S-M</t>
  </si>
  <si>
    <t xml:space="preserve"> Трусики-стринги с бусинами красный S-M</t>
  </si>
  <si>
    <t xml:space="preserve"> Трусики-стринги с бусинами белый S-M</t>
  </si>
  <si>
    <t xml:space="preserve"> Трусики-стринги с бусинами белый M-L</t>
  </si>
  <si>
    <t xml:space="preserve"> Трусики-стринги с бусинами черный M-L</t>
  </si>
  <si>
    <t xml:space="preserve"> Трусики-стринги с бусинами красный M-L</t>
  </si>
  <si>
    <t xml:space="preserve"> Трусики-джоки с бусинками белый XL-XXL</t>
  </si>
  <si>
    <t xml:space="preserve"> Трусики-джоки с бусинками черный XL-XXL</t>
  </si>
  <si>
    <t xml:space="preserve"> Ажурные стринги с бусинами и двойными бретелями черный M-L</t>
  </si>
  <si>
    <t xml:space="preserve"> Ажурные стринги с бусинами и двойными бретелями белый M-L</t>
  </si>
  <si>
    <t xml:space="preserve"> Ажурные стринги с бусинами и двойными бретелями белый S-M</t>
  </si>
  <si>
    <t xml:space="preserve"> Ажурные стринги с бусинами и двойными бретелями черный S-M</t>
  </si>
  <si>
    <t xml:space="preserve"> Ажурные стринги с бусинами и двойными бретелями черный L-XL</t>
  </si>
  <si>
    <t xml:space="preserve"> Ажурные стринги с бусинами и двойными бретелями белый XL-XXL</t>
  </si>
  <si>
    <t xml:space="preserve"> Ажурные стринги с бусинами и двойными бретелями черный XL-XXL</t>
  </si>
  <si>
    <t xml:space="preserve"> Ажурные стринги с бусинами и двойными бретелями белый L-XL</t>
  </si>
  <si>
    <t xml:space="preserve"> Кружевные трусики-шортики «EMPRESSIA» черный L-XL</t>
  </si>
  <si>
    <t xml:space="preserve"> Кружевные трусики-шортики «EMPRESSIA» черный S-M</t>
  </si>
  <si>
    <t xml:space="preserve"> Трусики Lovica с кружевами и мини-брошкой красный S-M</t>
  </si>
  <si>
    <t xml:space="preserve"> Трусики Lovica с кружевами и мини-брошкой красный L-XL</t>
  </si>
  <si>
    <t xml:space="preserve"> Открытые кружевные трусики «Еstasi» красный S</t>
  </si>
  <si>
    <t xml:space="preserve"> Открытые кружевные трусики «Еstasi» красный M</t>
  </si>
  <si>
    <t xml:space="preserve"> Прозрачные микро-стринги «Lotos» красный M</t>
  </si>
  <si>
    <t xml:space="preserve"> Прозрачные микро-стринги «Lotos» красный S</t>
  </si>
  <si>
    <t xml:space="preserve"> Открытые кружевные трусики «Сiglia» на тонких тесемочках синий S</t>
  </si>
  <si>
    <t xml:space="preserve"> Открытые кружевные трусики «Сiglia» на тонких тесемочках синий M</t>
  </si>
  <si>
    <t xml:space="preserve"> Открытые кружевные трусики La Fiore белый M</t>
  </si>
  <si>
    <t xml:space="preserve"> Открытые белые кружевные трусики белый M</t>
  </si>
  <si>
    <t xml:space="preserve"> Открытые белые кружевные трусики белый S</t>
  </si>
  <si>
    <t xml:space="preserve"> Комплект из пояса с кружевной вставкой и трусиков-стринг белый с черным M-L</t>
  </si>
  <si>
    <t xml:space="preserve"> Комплект из пояса с кружевной вставкой и трусиков-стринг белый с черным S-M</t>
  </si>
  <si>
    <t xml:space="preserve"> Очаровательные шортики «Cute Shorts» с розовыми рюшками черный S-M</t>
  </si>
  <si>
    <t xml:space="preserve"> Очаровательные шортики «Cute Shorts» с розовыми рюшками черный L-XL</t>
  </si>
  <si>
    <t xml:space="preserve"> Шорты с наручами «Lush shorts» черный L-XL</t>
  </si>
  <si>
    <t xml:space="preserve"> Шорты с наручами «Lush shorts» черный S-M</t>
  </si>
  <si>
    <t xml:space="preserve"> Набор из 2 разноцветных трусиков-стрингов Lacea черный с красным S-M</t>
  </si>
  <si>
    <t xml:space="preserve"> Набор из 2 разноцветных трусиков-стрингов Lacea леопард S-M</t>
  </si>
  <si>
    <t xml:space="preserve"> Набор из 2 разноцветных трусиков-стрингов Lacea леопард L-XL</t>
  </si>
  <si>
    <t xml:space="preserve"> Набор из 2 разноцветных трусиков-стрингов Lacea черный с красным L-XL</t>
  </si>
  <si>
    <t xml:space="preserve"> Кружевные трусики Frivolla с полуоткрытой задней частью черный L-XL</t>
  </si>
  <si>
    <t xml:space="preserve"> Кружевные трусики Frivolla с полуоткрытой задней частью черный S-M</t>
  </si>
  <si>
    <t xml:space="preserve"> Набор из белых шортиков и трусиков-стринг Lacea с цветным ажурным поясом зеленый S-M</t>
  </si>
  <si>
    <t xml:space="preserve"> Набор из белых шортиков и трусиков-стринг Lacea с цветным ажурным поясом желтый S-M</t>
  </si>
  <si>
    <t xml:space="preserve"> Набор из белых шортиков и трусиков-стринг Lacea с цветным ажурным поясом зеленый L-XL</t>
  </si>
  <si>
    <t xml:space="preserve"> Набор из белых шортиков и трусиков-стринг Lacea с цветным ажурным поясом желтый L-XL</t>
  </si>
  <si>
    <t xml:space="preserve"> Набор из 2 однотонных разноцветных шортиков Lacea белый с черным L-XL</t>
  </si>
  <si>
    <t xml:space="preserve"> Набор из 2 однотонных разноцветных шортиков Lacea черный с красным L-XL</t>
  </si>
  <si>
    <t xml:space="preserve"> Набор из 2 однотонных разноцветных шортиков Lacea белый с черным S-M</t>
  </si>
  <si>
    <t xml:space="preserve"> Набор из 2 однотонных разноцветных шортиков Lacea черный с красным S-M</t>
  </si>
  <si>
    <t xml:space="preserve"> Шортики Moketta с ажурной верхней частью черный S-M</t>
  </si>
  <si>
    <t xml:space="preserve"> Трусики-шорты с принтом в виде поцелуя на попе черный S</t>
  </si>
  <si>
    <t xml:space="preserve"> Трусики с надписью «Happy Birthday» красный S</t>
  </si>
  <si>
    <t xml:space="preserve"> Трусики с доступом и металлическим декором черный M-L</t>
  </si>
  <si>
    <t xml:space="preserve"> Трусики с доступом и металлическим декором черный XS-S</t>
  </si>
  <si>
    <t xml:space="preserve"> Дерзкие шортики с доступом и декоративной шнуровкой сзади черный XS-S</t>
  </si>
  <si>
    <t xml:space="preserve"> Дерзкие шортики с доступом и декоративной шнуровкой сзади черный M-L</t>
  </si>
  <si>
    <t xml:space="preserve"> Белые трусики с доступом и нежной юбочкой белый M-L</t>
  </si>
  <si>
    <t xml:space="preserve"> Белые трусики с доступом и нежной юбочкой белый XS-S</t>
  </si>
  <si>
    <t xml:space="preserve"> Черные трусики с доступом и нежной юбочкой черный XS-S</t>
  </si>
  <si>
    <t xml:space="preserve"> Черные трусики с доступом и нежной юбочкой черный M-L</t>
  </si>
  <si>
    <t xml:space="preserve"> Пикантные трусики с доступом и цветочным кружевом черный M-L</t>
  </si>
  <si>
    <t xml:space="preserve"> Пикантные трусики с доступом и цветочным кружевом черный XS-S</t>
  </si>
  <si>
    <t xml:space="preserve"> Оригинальные трусики с доступом и металлическим декором черный XS-S</t>
  </si>
  <si>
    <t xml:space="preserve"> Оригинальные трусики с доступом и металлическим декором черный M-L</t>
  </si>
  <si>
    <t xml:space="preserve"> Эффектные трусики с перфорацией на ткани черный M-L</t>
  </si>
  <si>
    <t xml:space="preserve"> Эффектные трусики с перфорацией на ткани черный XS-S</t>
  </si>
  <si>
    <t xml:space="preserve"> Соблазнительные трусики с доступом и треугольником сзади черный XS-S</t>
  </si>
  <si>
    <t xml:space="preserve"> Соблазнительные трусики с доступом и треугольником сзади черный M-L</t>
  </si>
  <si>
    <t xml:space="preserve"> Трусики из мягкой сетки с доступом и кисточкой черный M-L</t>
  </si>
  <si>
    <t xml:space="preserve"> Трусики из мягкой сетки с доступом и кисточкой черный XS-S</t>
  </si>
  <si>
    <t xml:space="preserve"> Утонченные белые трусики с доступом и нежной юбочкой белый XS-S</t>
  </si>
  <si>
    <t xml:space="preserve"> Утонченные белые трусики с доступом и нежной юбочкой белый M-L</t>
  </si>
  <si>
    <t xml:space="preserve"> Игривые черные трусики с доступом и нежной юбочкой черный M-L</t>
  </si>
  <si>
    <t xml:space="preserve"> Игривые черные трусики с доступом и нежной юбочкой черный XS-S</t>
  </si>
  <si>
    <t xml:space="preserve"> Трусики с доступом и мягким кружевом черный XS-S</t>
  </si>
  <si>
    <t xml:space="preserve"> Трусики с доступом и мягким кружевом черный M-L</t>
  </si>
  <si>
    <t xml:space="preserve"> Эффектные трусики с доступом и кисточкой сзади черный M-L</t>
  </si>
  <si>
    <t xml:space="preserve"> Эффектные трусики с доступом и кисточкой сзади черный XS-S</t>
  </si>
  <si>
    <t xml:space="preserve"> Интригующие красно-чёрные трусики с доступом красный с черным XS-S</t>
  </si>
  <si>
    <t xml:space="preserve"> Интригующие красно-чёрные трусики с доступом красный с черным M-L</t>
  </si>
  <si>
    <t xml:space="preserve"> Интригующие черные трусики с доступом черный M-L</t>
  </si>
  <si>
    <t xml:space="preserve"> Интригующие черные трусики с доступом черный XS-S</t>
  </si>
  <si>
    <t xml:space="preserve"> Шортики с доступом и шнуровкой спереди черный XS-S</t>
  </si>
  <si>
    <t xml:space="preserve"> Шортики с доступом и шнуровкой спереди черный M-L</t>
  </si>
  <si>
    <t xml:space="preserve"> Кокетливые кружевные трусики с доступом и завышенной талией черный M-L</t>
  </si>
  <si>
    <t xml:space="preserve"> Кокетливые кружевные трусики с доступом и завышенной талией черный XS-S</t>
  </si>
  <si>
    <t xml:space="preserve"> Чёрные высокие трусики-стринги с доступом и нежным кружевом черный XS-S</t>
  </si>
  <si>
    <t xml:space="preserve"> Чёрные высокие трусики-стринги с доступом и нежным кружевом черный M-L</t>
  </si>
  <si>
    <t xml:space="preserve"> Кокетливые трусики с доступом и красными бантиками черный M-L</t>
  </si>
  <si>
    <t xml:space="preserve"> Кокетливые трусики с доступом и красными бантиками черный XS-S</t>
  </si>
  <si>
    <t xml:space="preserve"> Потрясающие трусики с доступом и переплетением бретелей черный XS-S</t>
  </si>
  <si>
    <t xml:space="preserve"> Потрясающие трусики с доступом и переплетением бретелей черный M-L</t>
  </si>
  <si>
    <t xml:space="preserve"> Трусики с доступом и кружевными вставками черный M-L</t>
  </si>
  <si>
    <t xml:space="preserve"> Трусики с доступом и кружевными вставками черный XS-S</t>
  </si>
  <si>
    <t xml:space="preserve"> Красивые трусики с доступом и аккуратными бантиками черный XS-S</t>
  </si>
  <si>
    <t xml:space="preserve"> Красивые трусики с доступом и аккуратными бантиками черный M-L</t>
  </si>
  <si>
    <t xml:space="preserve"> Соблазнительные трусики с доступом и красным кружевом красный с черным M-L</t>
  </si>
  <si>
    <t xml:space="preserve"> Соблазнительные трусики с доступом и красным кружевом красный с черным XS-S</t>
  </si>
  <si>
    <t xml:space="preserve"> Фривольные трусики с доступом и черным кружевом черный XS-S</t>
  </si>
  <si>
    <t xml:space="preserve"> Фривольные трусики с доступом и черным кружевом черный M-L</t>
  </si>
  <si>
    <t xml:space="preserve"> Экстравагантные черные трусики с доступом и соединением бретелей сзади черный M-L</t>
  </si>
  <si>
    <t xml:space="preserve"> Экстравагантные черные трусики с доступом и соединением бретелей сзади черный XS-S</t>
  </si>
  <si>
    <t xml:space="preserve"> Белые высокие трусики с доступом и нежным кружевом белый XS-S</t>
  </si>
  <si>
    <t xml:space="preserve"> Белые высокие трусики с доступом и нежным кружевом белый M-L</t>
  </si>
  <si>
    <t xml:space="preserve"> Оригинальные контурные трусики с доступом и нитью бус черный M-L</t>
  </si>
  <si>
    <t xml:space="preserve"> Оригинальные контурные трусики с доступом и нитью бус черный XS-S</t>
  </si>
  <si>
    <t xml:space="preserve"> Пленительные высокие трусики с доступом красный XS-S</t>
  </si>
  <si>
    <t xml:space="preserve"> Пленительные высокие трусики с доступом красный M-L</t>
  </si>
  <si>
    <t xml:space="preserve"> Чарующие трусики с доступом, рюшами и жемчужной нитью черный M-L</t>
  </si>
  <si>
    <t xml:space="preserve"> Чарующие трусики с доступом, рюшами и жемчужной нитью черный XS-S</t>
  </si>
  <si>
    <t xml:space="preserve"> Экстравагантные белые трусики с доступом и переплетением бретелей белый XS-S</t>
  </si>
  <si>
    <t xml:space="preserve"> Экстравагантные белые трусики с доступом и переплетением бретелей белый M-L</t>
  </si>
  <si>
    <t xml:space="preserve"> Комплект из пояса с трусиками-стрингами с доступом белый S-M</t>
  </si>
  <si>
    <t xml:space="preserve"> Комплект из пояса с трусиками-стрингами с доступом белый M-L</t>
  </si>
  <si>
    <t xml:space="preserve"> Белый кружевной пояс с трусиками белый M-L</t>
  </si>
  <si>
    <t xml:space="preserve"> Белый кружевной пояс с трусиками белый S-M</t>
  </si>
  <si>
    <t xml:space="preserve"> Широкий кружевной пояс с пажами для чулок и трусики-стринги черный S-M</t>
  </si>
  <si>
    <t xml:space="preserve"> Широкий кружевной пояс с пажами для чулок и трусики-стринги черный M-L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</si>
  <si>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из кружевного пояса для чулок и трусиков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</si>
  <si>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из кружевного пояса для чулок и трусиков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</si>
  <si>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t xml:space="preserve"> Широкий пояс из нежного кружева и трусики-стринги белый S-M</t>
  </si>
  <si>
    <t xml:space="preserve"> Широкий пояс из нежного кружева и трусики-стринги белый M-L</t>
  </si>
  <si>
    <t xml:space="preserve"> Чёрно-белый пояс с кружевом и трусиками-стринг в комплекте черный с белым M-L</t>
  </si>
  <si>
    <t xml:space="preserve"> Чёрно-белый пояс с кружевом и трусиками-стринг в комплекте черный с белым S-M</t>
  </si>
  <si>
    <t xml:space="preserve"> Пояс для чулок Moketta с кружевной оборкой и трусиками черный S-M</t>
  </si>
  <si>
    <t xml:space="preserve"> Пояс для чулок Moketta с кружевной оборкой и трусиками черный L-XL</t>
  </si>
  <si>
    <t xml:space="preserve"> Ажурные трусики-слипы с доступом черный M</t>
  </si>
  <si>
    <t xml:space="preserve"> Ажурные трусики-слипы с доступом черный S</t>
  </si>
  <si>
    <t xml:space="preserve"> Ажурные трусики-слипы с доступом черный L</t>
  </si>
  <si>
    <t xml:space="preserve"> Ажурные трусики-слипы с доступом черный XL</t>
  </si>
  <si>
    <t xml:space="preserve"> Широкий кружевной пояс и контактные трусики-стринги с цветочным узором белый S-M</t>
  </si>
  <si>
    <t xml:space="preserve"> Широкий кружевной пояс и контактные трусики-стринги с цветочным узором черный S-M</t>
  </si>
  <si>
    <t xml:space="preserve"> Широкий кружевной пояс и контактные трусики-стринги с цветочным узором черный L-XL</t>
  </si>
  <si>
    <t xml:space="preserve"> Широкий кружевной пояс и контактные трусики-стринги с цветочным узором белый L-XL</t>
  </si>
  <si>
    <t xml:space="preserve"> Пояс с кружевом сзади и контактные трусики-стринги с цветочным узором черный L-XL</t>
  </si>
  <si>
    <t xml:space="preserve"> Пояс с кружевом сзади и контактные трусики-стринги с цветочным узором черный S-M</t>
  </si>
  <si>
    <t xml:space="preserve"> Красивый кружевной пояс в комплекте с контактными трусиками-стринг белый с розовым S-M</t>
  </si>
  <si>
    <t xml:space="preserve"> Красивый кружевной пояс в комплекте с контактными трусиками-стринг белый с розовым L-XL</t>
  </si>
  <si>
    <t xml:space="preserve"> Ажурные трусики с доступом и соблазнительными завязками черный XS-S</t>
  </si>
  <si>
    <t xml:space="preserve"> Трусики-стринги Charmea с кружевным пояском черный L-XL</t>
  </si>
  <si>
    <t xml:space="preserve"> Трусики-стринги Charmea с кружевным пояском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</si>
  <si>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Julitta с лёгкой оборкой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</si>
  <si>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Julitta с лёгкой оборкой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</si>
  <si>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t xml:space="preserve"> Женские трусики из кружева с атласными бантиками белый L-XL</t>
  </si>
  <si>
    <t xml:space="preserve"> Женские трусики из кружева с атласными бантиками черный L-XL</t>
  </si>
  <si>
    <t xml:space="preserve"> Женские трусики из кружева с атласными бантиками белый S-M</t>
  </si>
  <si>
    <t xml:space="preserve"> Женские трусики из кружева с атласными бантиками черный S-M</t>
  </si>
  <si>
    <t xml:space="preserve"> Женские трусики из кружева с атласными бантиками черный M-L</t>
  </si>
  <si>
    <t xml:space="preserve"> Женские трусики из кружева с атласными бантиками белый M-L</t>
  </si>
  <si>
    <t xml:space="preserve"> Высокие трусики с ажурными вырезами белый M-L</t>
  </si>
  <si>
    <t xml:space="preserve"> Высокие трусики с ажурными вырезами черный M-L</t>
  </si>
  <si>
    <t xml:space="preserve"> Высокие трусики с ажурными вырезами черный S-M</t>
  </si>
  <si>
    <t xml:space="preserve"> Высокие трусики с ажурными вырезами белый S-M</t>
  </si>
  <si>
    <t xml:space="preserve"> Высокие трусики с ажурными вырезами белый L-XL</t>
  </si>
  <si>
    <t xml:space="preserve"> Высокие трусики с ажурными вырезами черный L-XL</t>
  </si>
  <si>
    <t xml:space="preserve"> Соблазнительные трусики с высокой посадкой и перекрестными кружевными полосами черный L-XL</t>
  </si>
  <si>
    <t xml:space="preserve"> Соблазнительные трусики с высокой посадкой и перекрестными кружевными полосами белый L-XL</t>
  </si>
  <si>
    <t xml:space="preserve"> Соблазнительные трусики с высокой посадкой и перекрестными кружевными полосами белый S-M</t>
  </si>
  <si>
    <t xml:space="preserve"> Соблазнительные трусики с высокой посадкой и перекрестными кружевными полосами черный S-M</t>
  </si>
  <si>
    <t xml:space="preserve"> Соблазнительные трусики с высокой посадкой и перекрестными кружевными полосами черный M-L</t>
  </si>
  <si>
    <t xml:space="preserve"> Соблазнительные трусики с высокой посадкой и перекрестными кружевными полосами белый M-L</t>
  </si>
  <si>
    <t xml:space="preserve"> Кружевные трусики с декоративным вырезом сзади белый M-L</t>
  </si>
  <si>
    <t xml:space="preserve"> Кружевные трусики с декоративным вырезом сзади черный M-L</t>
  </si>
  <si>
    <t xml:space="preserve"> Кружевные трусики с декоративным вырезом сзади черный S-M</t>
  </si>
  <si>
    <t xml:space="preserve"> Кружевные трусики с декоративным вырезом сзади белый S-M</t>
  </si>
  <si>
    <t xml:space="preserve"> Кружевные трусики с декоративным вырезом сзади белый L-XL</t>
  </si>
  <si>
    <t xml:space="preserve"> Кружевные трусики с декоративным вырезом сзади черный L-XL</t>
  </si>
  <si>
    <t xml:space="preserve"> Трусики-пояс c высокой посадкой черный L-XL</t>
  </si>
  <si>
    <t xml:space="preserve"> Трусики-пояс c высокой посадкой черный S-M</t>
  </si>
  <si>
    <t xml:space="preserve"> Трусики-пояс c высокой посадкой черный M-L</t>
  </si>
  <si>
    <t xml:space="preserve"> Кружевные трусики-пояс c высокой посадкой черный M-L</t>
  </si>
  <si>
    <t xml:space="preserve"> Кружевные трусики-пояс c высокой посадкой белый M-L</t>
  </si>
  <si>
    <t xml:space="preserve"> Кружевные трусики-пояс c высокой посадкой черный S-M</t>
  </si>
  <si>
    <t xml:space="preserve"> Кружевные трусики-пояс c высокой посадкой белый S-M</t>
  </si>
  <si>
    <t xml:space="preserve"> Кружевные трусики-пояс c высокой посадкой черный L-XL</t>
  </si>
  <si>
    <t xml:space="preserve"> Кружевные трусики-пояс c высокой посадкой белый L-XL</t>
  </si>
  <si>
    <t xml:space="preserve"> Кружевные трусики с интимным доступом черный L-XL</t>
  </si>
  <si>
    <t xml:space="preserve"> Кружевные трусики с интимным доступом белый L-XL</t>
  </si>
  <si>
    <t xml:space="preserve"> Кружевные трусики с интимным доступом белый S-M</t>
  </si>
  <si>
    <t xml:space="preserve"> Кружевные трусики с интимным доступом черный S-M</t>
  </si>
  <si>
    <t xml:space="preserve"> Кружевные трусики с интимным доступом белый M-L</t>
  </si>
  <si>
    <t xml:space="preserve"> Кружевные трусики с интимным доступом черный M-L</t>
  </si>
  <si>
    <t xml:space="preserve"> Кружевные трусики с доступом черный M-L</t>
  </si>
  <si>
    <t xml:space="preserve"> Кружевные трусики с доступом белый M-L</t>
  </si>
  <si>
    <t xml:space="preserve"> Кружевные трусики с доступом черный S-M</t>
  </si>
  <si>
    <t xml:space="preserve"> Кружевные трусики с доступом белый S-M</t>
  </si>
  <si>
    <t xml:space="preserve"> Кружевные трусики с доступом черный L-XL</t>
  </si>
  <si>
    <t xml:space="preserve"> Кружевные трусики с доступом белый L-XL</t>
  </si>
  <si>
    <t xml:space="preserve"> Кружевные трусики с пикантным вырезом белый L-XL</t>
  </si>
  <si>
    <t xml:space="preserve"> Кружевные трусики с пикантным вырезом черный L-XL</t>
  </si>
  <si>
    <t xml:space="preserve"> Кружевные трусики с пикантным вырезом красный с черным L-XL</t>
  </si>
  <si>
    <t xml:space="preserve"> Кружевные трусики с пикантным вырезом белый S-M</t>
  </si>
  <si>
    <t xml:space="preserve"> Кружевные трусики с пикантным вырезом красный с черным S-M</t>
  </si>
  <si>
    <t xml:space="preserve"> Кружевные трусики с пикантным вырезом черный S-M</t>
  </si>
  <si>
    <t xml:space="preserve"> Кружевные трусики с пикантным вырезом белый M-L</t>
  </si>
  <si>
    <t xml:space="preserve"> Кружевные трусики с пикантным вырезом красный с черным M-L</t>
  </si>
  <si>
    <t xml:space="preserve"> Кружевные трусики с пикантным вырезом черный M-L</t>
  </si>
  <si>
    <t xml:space="preserve"> Трусики-стринги с открытой зоной бикини черный M-L</t>
  </si>
  <si>
    <t xml:space="preserve"> Трусики-стринги с открытой зоной бикини белый M-L</t>
  </si>
  <si>
    <t xml:space="preserve"> Трусики-стринги с открытой зоной бикини черный S-M</t>
  </si>
  <si>
    <t xml:space="preserve"> Трусики-стринги с открытой зоной бикини белый S-M</t>
  </si>
  <si>
    <t xml:space="preserve"> Трусики-стринги с открытой зоной бикини черный L-XL</t>
  </si>
  <si>
    <t xml:space="preserve"> Трусики-стринги с открытой зоной бикини белый L-XL</t>
  </si>
  <si>
    <t xml:space="preserve"> Трусики open-croatch Avril Plus Size с тонкими боковыми тесемками черный XXL</t>
  </si>
  <si>
    <t xml:space="preserve"> Трусики open-croatch Avril Plus Size с тонкими боковыми тесемками черный XXXL</t>
  </si>
  <si>
    <t xml:space="preserve"> Трусики Tess с кисточкой на попе и интимным доступом черный M</t>
  </si>
  <si>
    <t xml:space="preserve"> Трусики Tess с кисточкой на попе и интимным доступом черный XL</t>
  </si>
  <si>
    <t xml:space="preserve"> Трусики Tess с кисточкой на попе и интимным доступом черный L</t>
  </si>
  <si>
    <t xml:space="preserve"> Трусики Tess с кисточкой на попе и интимным доступом черный S</t>
  </si>
  <si>
    <t xml:space="preserve"> Кружевные трусики Abbigail Plus Size черный XXXL</t>
  </si>
  <si>
    <t xml:space="preserve"> Кружевные трусики Abbigail Plus Size черный XXL</t>
  </si>
  <si>
    <t xml:space="preserve"> Трусики Touch Me Plus Size с атласным бантиком черный XXL</t>
  </si>
  <si>
    <t xml:space="preserve"> Трусики Touch Me Plus Size с атласным бантиком белый XXL</t>
  </si>
  <si>
    <t xml:space="preserve"> Трусики Touch Me Plus Size с атласным бантиком белый XXXL</t>
  </si>
  <si>
    <t xml:space="preserve"> Трусики Touch Me Plus Size с атласным бантиком черный XXXL</t>
  </si>
  <si>
    <t xml:space="preserve"> Соблазнительные трусики-стринги Igazi с подвеской черный S</t>
  </si>
  <si>
    <t xml:space="preserve"> Соблазнительные трусики-стринги Igazi с подвеской красный S</t>
  </si>
  <si>
    <t xml:space="preserve"> Соблазнительные трусики-стринги Igazi с подвеской черный L</t>
  </si>
  <si>
    <t xml:space="preserve"> Соблазнительные трусики-стринги Igazi с подвеской красный L</t>
  </si>
  <si>
    <t xml:space="preserve"> Соблазнительные трусики-стринги Igazi с подвеской белый L</t>
  </si>
  <si>
    <t xml:space="preserve"> Соблазнительные трусики-стринги Igazi с подвеской черный XL</t>
  </si>
  <si>
    <t xml:space="preserve"> Соблазнительные трусики-стринги Igazi с подвеской красный XL</t>
  </si>
  <si>
    <t xml:space="preserve"> Соблазнительные трусики-стринги Igazi с подвеской белый XL</t>
  </si>
  <si>
    <t xml:space="preserve"> Соблазнительные трусики-стринги Igazi с подвеской белый S</t>
  </si>
  <si>
    <t xml:space="preserve"> Соблазнительные трусики-стринги Igazi с подвеской красный M</t>
  </si>
  <si>
    <t xml:space="preserve"> Соблазнительные трусики-стринги Igazi с подвеской черный M</t>
  </si>
  <si>
    <t xml:space="preserve"> Соблазнительные трусики-стринги Igazi с подвеской белый M</t>
  </si>
  <si>
    <t xml:space="preserve"> Пикантные трусики-стринги Igazi Plus Size с подвеской красный XXL</t>
  </si>
  <si>
    <t xml:space="preserve"> Пикантные трусики-стринги Igazi Plus Size с подвеской белый XXXL</t>
  </si>
  <si>
    <t xml:space="preserve"> Пикантные трусики-стринги Igazi Plus Size с подвеской черный XXXL</t>
  </si>
  <si>
    <t xml:space="preserve"> Пикантные трусики-стринги Igazi Plus Size с подвеской белый XXL</t>
  </si>
  <si>
    <t xml:space="preserve"> Пикантные трусики-стринги Igazi Plus Size с подвеской черный XXL</t>
  </si>
  <si>
    <t xml:space="preserve"> Пикантные трусики-стринги Igazi Plus Size с подвеской красный XXXL</t>
  </si>
  <si>
    <t xml:space="preserve"> Трусики-стринги Tessili с пикантными вырезами черный XL</t>
  </si>
  <si>
    <t xml:space="preserve"> Трусики-стринги Tessili с пикантными вырезами черный L</t>
  </si>
  <si>
    <t xml:space="preserve"> Трусики-стринги Tessili с пикантными вырезами черный S</t>
  </si>
  <si>
    <t xml:space="preserve"> Трусики-стринги Tessili с пикантными вырезами черный M</t>
  </si>
  <si>
    <t xml:space="preserve"> Открытые трусики-стринги Alabastra Plus Size белый XXL</t>
  </si>
  <si>
    <t xml:space="preserve"> Оригинальные трусики-стринги Lazy Girl Plus Size с вышивкой черный XXL</t>
  </si>
  <si>
    <t xml:space="preserve"> Оригинальные трусики-стринги Lazy Girl Plus Size с вышивкой черный XXXL</t>
  </si>
  <si>
    <t xml:space="preserve"> Трусики-стринги Alabastra в сетку белый L-XL</t>
  </si>
  <si>
    <t xml:space="preserve"> Трусики-стринги Alabastra в сетку белый S-M</t>
  </si>
  <si>
    <t xml:space="preserve"> Трусики Oda с цветочным орнаментом сзади черный M</t>
  </si>
  <si>
    <t xml:space="preserve"> Трусики Oda с цветочным орнаментом сзади черный S</t>
  </si>
  <si>
    <t xml:space="preserve"> Трусики Oda с цветочным орнаментом сзади черный L</t>
  </si>
  <si>
    <t xml:space="preserve"> Трусики Oda с цветочным орнаментом сзади черный XL</t>
  </si>
  <si>
    <t xml:space="preserve"> Прозрачные трусики Iva с красным бантом на попе черный XL</t>
  </si>
  <si>
    <t xml:space="preserve"> Прозрачные трусики Iva с красным бантом на попе черный L</t>
  </si>
  <si>
    <t xml:space="preserve"> Прозрачные трусики Iva с красным бантом на попе черный S</t>
  </si>
  <si>
    <t xml:space="preserve"> Прозрачные трусики Iva с красным бантом на попе черный M</t>
  </si>
  <si>
    <t xml:space="preserve"> Трусики Iva Plus Size с красным бантом на попке черный с красным XXL</t>
  </si>
  <si>
    <t xml:space="preserve"> Трусики Iva Plus Size с красным бантом на попке черный с красным XXXL</t>
  </si>
  <si>
    <t xml:space="preserve"> Открытые трусики Jill Plus Size из нежного кружева черный XXXL</t>
  </si>
  <si>
    <t xml:space="preserve"> Открытые трусики Jill Plus Size из нежного кружева черный XXL</t>
  </si>
  <si>
    <t xml:space="preserve"> Трусики-стринги с рюшами Lillove розовый L-XL</t>
  </si>
  <si>
    <t xml:space="preserve"> Трусики-стринги с рюшами Lillove розовый S-M</t>
  </si>
  <si>
    <t xml:space="preserve"> Оригинальные трусики-стринги Gloria красный XL</t>
  </si>
  <si>
    <t xml:space="preserve"> Оригинальные трусики-стринги Gloria красный S</t>
  </si>
  <si>
    <t xml:space="preserve"> Оригинальные трусики-стринги Gloria красный L</t>
  </si>
  <si>
    <t xml:space="preserve"> Оригинальные трусики-стринги Gloria красный M</t>
  </si>
  <si>
    <t xml:space="preserve"> Трусики-стринги Medea с «окошком» и подвеской черный L</t>
  </si>
  <si>
    <t xml:space="preserve"> Трусики-стринги Medea с «окошком» и подвеской черный S</t>
  </si>
  <si>
    <t xml:space="preserve"> Трусики-стринги Medea с «окошком» и подвеской черный XL</t>
  </si>
  <si>
    <t xml:space="preserve"> Трусики-стринги Medea с «окошком» и подвеской черный M</t>
  </si>
  <si>
    <t xml:space="preserve"> Шортики Abby с бантом и оборками черный M</t>
  </si>
  <si>
    <t xml:space="preserve"> Шортики Abby с бантом и оборками белый M</t>
  </si>
  <si>
    <t xml:space="preserve"> Шортики Abby с бантом и оборками черный XL</t>
  </si>
  <si>
    <t xml:space="preserve"> Шортики Abby с бантом и оборками белый XL</t>
  </si>
  <si>
    <t xml:space="preserve"> Шортики Abby с бантом и оборками красный XL</t>
  </si>
  <si>
    <t xml:space="preserve"> Шортики Abby с бантом и оборками голубой XL</t>
  </si>
  <si>
    <t xml:space="preserve"> Шортики Abby с бантом и оборками красный S</t>
  </si>
  <si>
    <t xml:space="preserve"> Шортики Abby с бантом и оборками голубой S</t>
  </si>
  <si>
    <t xml:space="preserve"> Шортики Abby с бантом и оборками голубой L</t>
  </si>
  <si>
    <t xml:space="preserve"> Шортики Abby с бантом и оборками красный L</t>
  </si>
  <si>
    <t xml:space="preserve"> Шортики Abby с бантом и оборками черный L</t>
  </si>
  <si>
    <t xml:space="preserve"> Шортики Abby с бантом и оборками белый L</t>
  </si>
  <si>
    <t xml:space="preserve"> Шортики Abby с бантом и оборками голубой M</t>
  </si>
  <si>
    <t xml:space="preserve"> Шортики Abby с бантом и оборками красный M</t>
  </si>
  <si>
    <t xml:space="preserve"> Шортики Abby с бантом и оборками черный S</t>
  </si>
  <si>
    <t xml:space="preserve"> Шортики Abby с бантом и оборками белый S</t>
  </si>
  <si>
    <t xml:space="preserve"> Кружевные шортики Abby Plus Size голубой XXL</t>
  </si>
  <si>
    <t xml:space="preserve"> Кружевные шортики Abby Plus Size красный XXL</t>
  </si>
  <si>
    <t xml:space="preserve"> Кружевные шортики Abby Plus Size голубой XXXL</t>
  </si>
  <si>
    <t xml:space="preserve"> Кружевные шортики Abby Plus Size красный XXXL</t>
  </si>
  <si>
    <t xml:space="preserve"> Кружевные шортики Abby Plus Size черный XXXL</t>
  </si>
  <si>
    <t xml:space="preserve"> Кружевные шортики Abby Plus Size черный XXL</t>
  </si>
  <si>
    <t xml:space="preserve"> Кружевные шортики Abby Plus Size белый XXL</t>
  </si>
  <si>
    <t xml:space="preserve"> Кружевные шортики Abby Plus Size белый XXXL</t>
  </si>
  <si>
    <t xml:space="preserve"> Кружевные трусики Anche черный XL</t>
  </si>
  <si>
    <t xml:space="preserve"> Кружевные трусики Anche черный L</t>
  </si>
  <si>
    <t xml:space="preserve"> Кружевные трусики Anche черный S</t>
  </si>
  <si>
    <t xml:space="preserve"> Кружевные трусики Anche черный M</t>
  </si>
  <si>
    <t xml:space="preserve"> Открытые трусики-стринги с бусинками черный S-M</t>
  </si>
  <si>
    <t xml:space="preserve"> Открытые трусики-стринги с бусинками черный L-XL</t>
  </si>
  <si>
    <t xml:space="preserve"> Ажурные трусики-стринги Intensa черный L-XL</t>
  </si>
  <si>
    <t xml:space="preserve"> Ажурные трусики-стринги Intensa черный S-M</t>
  </si>
  <si>
    <t xml:space="preserve"> Трусики Connie Plus Size с атласными бантиками черный XXXL</t>
  </si>
  <si>
    <t xml:space="preserve"> Трусики Connie Plus Size с атласными бантиками черный XXL</t>
  </si>
  <si>
    <t xml:space="preserve"> Кружевные трусики Connie черный M</t>
  </si>
  <si>
    <t xml:space="preserve"> Кружевные трусики Connie черный L</t>
  </si>
  <si>
    <t xml:space="preserve"> Кружевные трусики Connie черный XL</t>
  </si>
  <si>
    <t xml:space="preserve"> Кружевные трусики Connie черный S</t>
  </si>
  <si>
    <t xml:space="preserve"> Красные кружевные трусики-слипы Aprilla Plus Size красный XXL</t>
  </si>
  <si>
    <t xml:space="preserve"> Красные кружевные трусики-слипы Aprilla Plus Size красный XXXL</t>
  </si>
  <si>
    <t xml:space="preserve"> Ажурные трусики Imagine Plus Size черный XXL</t>
  </si>
  <si>
    <t xml:space="preserve"> Ажурные трусики Imagine Plus Size черный XXXL</t>
  </si>
  <si>
    <t xml:space="preserve"> Соблазнительные трусики-стринги «Cayenne» белый M</t>
  </si>
  <si>
    <t xml:space="preserve"> Соблазнительные трусики-стринги «Cayenne» белый S</t>
  </si>
  <si>
    <t xml:space="preserve"> Соблазнительные трусики-стринги «Cayenne» белый XL</t>
  </si>
  <si>
    <t xml:space="preserve"> Соблазнительные трусики-стринги «Cayenne» белый L</t>
  </si>
  <si>
    <t xml:space="preserve"> Полупрозрачные кружевные трусики-стринги Kami розовый с черным M</t>
  </si>
  <si>
    <t xml:space="preserve"> Полупрозрачные кружевные трусики-стринги Kami розовый с черным L</t>
  </si>
  <si>
    <t xml:space="preserve"> Полупрозрачные кружевные трусики-стринги Kami розовый с черным XL</t>
  </si>
  <si>
    <t xml:space="preserve"> Полупрозрачные кружевные трусики-стринги Kami розовый с черным S</t>
  </si>
  <si>
    <t xml:space="preserve"> Элегантные белые трусики Peach белый XL</t>
  </si>
  <si>
    <t xml:space="preserve"> Элегантные белые трусики Peach белый L</t>
  </si>
  <si>
    <t xml:space="preserve"> Элегантные белые трусики Peach белый S</t>
  </si>
  <si>
    <t xml:space="preserve"> Элегантные белые трусики Peach белый M</t>
  </si>
  <si>
    <t xml:space="preserve"> Трусики Dominika с маленькими атласными бантиками и интимным доступом черный с розовым S</t>
  </si>
  <si>
    <t xml:space="preserve"> Трусики Dominika с маленькими атласными бантиками и интимным доступом черный с розовым L</t>
  </si>
  <si>
    <t xml:space="preserve"> Трусики Dominika с маленькими атласными бантиками и интимным доступом черный с розовым XL</t>
  </si>
  <si>
    <t xml:space="preserve"> Трусики-стринги Carmelove Plus Size с кружевами бежевый XXL</t>
  </si>
  <si>
    <t xml:space="preserve"> Открытые трусики Merossa черный L-XL</t>
  </si>
  <si>
    <t xml:space="preserve"> Открытые трусики Merossa черный S-M</t>
  </si>
  <si>
    <t xml:space="preserve"> Игривые белые трусики Plus Size с доступом и нежной юбочкой белый XL-XXL</t>
  </si>
  <si>
    <t xml:space="preserve"> Нежные трусики Plus Size с доступом и цветочным кружевом черный XL-XXL</t>
  </si>
  <si>
    <t xml:space="preserve"> Трусики Plus Size из мягкой сетки с интимным доступом и манящей кисточкой черный XL-XXL</t>
  </si>
  <si>
    <t xml:space="preserve"> Утонченные черные трусики Plus Size с доступом и нежной юбочкой черный XL-XXL</t>
  </si>
  <si>
    <t xml:space="preserve"> Классные трусики Plus Size с доступом и аккуратными бантиками черный XL-XXL</t>
  </si>
  <si>
    <t xml:space="preserve"> Кружевной пояс для чулок в комплекте с трусиками-стрингами белый S-M</t>
  </si>
  <si>
    <t xml:space="preserve"> Кружевной пояс для чулок в комплекте с трусиками-стрингами белый M-L</t>
  </si>
  <si>
    <t xml:space="preserve"> Трусики Liberty с высокой посадкой черный M-L</t>
  </si>
  <si>
    <t xml:space="preserve"> Трусики Liberty с высокой посадкой черный S-M</t>
  </si>
  <si>
    <t xml:space="preserve"> Трусики Liberty с высокой посадкой черный L-XL</t>
  </si>
  <si>
    <t xml:space="preserve"> Трусики Lust с интимным доступом черный L-XL</t>
  </si>
  <si>
    <t xml:space="preserve"> Трусики Lust с интимным доступом черный S-M</t>
  </si>
  <si>
    <t xml:space="preserve"> Трусики Lust с интимным доступом черный M-L</t>
  </si>
  <si>
    <t xml:space="preserve"> Трусики-стринги из лент Elodia красный S-M</t>
  </si>
  <si>
    <t xml:space="preserve"> Трусики-стринги из лент Elodia белый S-M</t>
  </si>
  <si>
    <t xml:space="preserve"> Трусики-стринги из лент Elodia черный S-M</t>
  </si>
  <si>
    <t xml:space="preserve"> Стринги Dominica с доступом черный с розовым M</t>
  </si>
  <si>
    <t xml:space="preserve"> Трусики-уверты Ardica с вырезом сзади черный S</t>
  </si>
  <si>
    <t xml:space="preserve"> Трусики-уверты Ardica с вырезом сзади черный XL</t>
  </si>
  <si>
    <t xml:space="preserve"> Трусики-уверты Ardica с вырезом сзади черный L</t>
  </si>
  <si>
    <t xml:space="preserve"> Трусики-уверты Ardica с вырезом сзади черный M</t>
  </si>
  <si>
    <t xml:space="preserve"> Трусики Santige с вырезом сзади черный M</t>
  </si>
  <si>
    <t xml:space="preserve"> Трусики Santige с вырезом сзади черный L</t>
  </si>
  <si>
    <t xml:space="preserve"> Трусики Santige с вырезом сзади черный XL</t>
  </si>
  <si>
    <t xml:space="preserve"> Трусики Santige с вырезом сзади черный S</t>
  </si>
  <si>
    <t xml:space="preserve"> Милые трусики-стринги с кружевной оторочкой и подвеской синий с черным S-M</t>
  </si>
  <si>
    <t xml:space="preserve"> Милые трусики-стринги с кружевной оторочкой и подвеской синий с черным L-XL</t>
  </si>
  <si>
    <t xml:space="preserve"> Оригинальные открытые трусики с переплетением бретелей сзади черный L-XL</t>
  </si>
  <si>
    <t xml:space="preserve"> Оригинальные открытые трусики с переплетением бретелей сзади черный S-M</t>
  </si>
  <si>
    <t xml:space="preserve"> Ажурные трусики-стринги с двойными бретелями черный S-M</t>
  </si>
  <si>
    <t xml:space="preserve"> Ажурные трусики-стринги с двойными бретелями черный L-XL</t>
  </si>
  <si>
    <t xml:space="preserve"> Яркие трусики-стринги с «окошком» и двойными бретелями красный L-XL</t>
  </si>
  <si>
    <t xml:space="preserve"> Яркие трусики-стринги с «окошком» и двойными бретелями красный S-M</t>
  </si>
  <si>
    <t xml:space="preserve"> Трусики-стринги Alabastra Plus Size в мелкую сеточку белый XXL</t>
  </si>
  <si>
    <t xml:space="preserve"> Кружевные трусики из сеточки и цветочного кружева черный L-XL</t>
  </si>
  <si>
    <t xml:space="preserve"> Кружевные трусики из сеточки и цветочного кружева черный S-M</t>
  </si>
  <si>
    <t xml:space="preserve"> Полупрозрачные трусики с красивым цветочным рисунком, подвеской и вырезами черный S-M</t>
  </si>
  <si>
    <t xml:space="preserve"> Полупрозрачные трусики с красивым цветочным рисунком, подвеской и вырезами черный L-XL</t>
  </si>
  <si>
    <t xml:space="preserve"> Открытые трусики с лёгкой плиссировкой черный с бежевым L-XL</t>
  </si>
  <si>
    <t xml:space="preserve"> Открытые трусики с лёгкой плиссировкой черный с бежевым S-M</t>
  </si>
  <si>
    <t xml:space="preserve"> Пикантные трусики-стринги из сетки с кружевной отделкой и окошком черный S-M</t>
  </si>
  <si>
    <t xml:space="preserve"> Пикантные трусики-стринги из сетки с кружевной отделкой и окошком черный L-XL</t>
  </si>
  <si>
    <t xml:space="preserve"> Изысканные трусики с кружевами черный L-XL</t>
  </si>
  <si>
    <t xml:space="preserve"> Изысканные трусики с кружевами черный S-M</t>
  </si>
  <si>
    <t xml:space="preserve"> Аккуратные трусики-стринги с цветочным узором черный S-M</t>
  </si>
  <si>
    <t xml:space="preserve"> Аккуратные трусики-стринги с цветочным узором черный L-XL</t>
  </si>
  <si>
    <t xml:space="preserve"> Аккуратные трусики-стринги из сетки с кружевным пояском черный L-XL</t>
  </si>
  <si>
    <t xml:space="preserve"> Аккуратные трусики-стринги из сетки с кружевным пояском черный S-M</t>
  </si>
  <si>
    <t xml:space="preserve"> Открытые трусики Gretia с серебристыми квадропуклями на поясе черный L-XL</t>
  </si>
  <si>
    <t xml:space="preserve"> Открытые трусики Gretia с серебристыми квадропуклями на поясе черный S-M</t>
  </si>
  <si>
    <t xml:space="preserve"> Ажурные трусики-стринги с фиолетовой подвеской и бантиком сзади черный S-M</t>
  </si>
  <si>
    <t xml:space="preserve"> Ажурные трусики-стринги с фиолетовой подвеской и бантиком сзади черный L-XL</t>
  </si>
  <si>
    <t xml:space="preserve"> Кружевные открытые трусики черный L-XL</t>
  </si>
  <si>
    <t xml:space="preserve"> Кружевные открытые трусики черный S-M</t>
  </si>
  <si>
    <t xml:space="preserve"> Кружевные трусики-шорты черный S-M</t>
  </si>
  <si>
    <t xml:space="preserve"> Кружевные трусики-шорты черный L-XL</t>
  </si>
  <si>
    <t xml:space="preserve"> Нежные трусики с окошком и клетчатыми элементами черный L-XL</t>
  </si>
  <si>
    <t xml:space="preserve"> Нежные трусики с окошком и клетчатыми элементами черный S-M</t>
  </si>
  <si>
    <t xml:space="preserve"> Трусики и маска с бусинами красный S-M</t>
  </si>
  <si>
    <t xml:space="preserve"> Трусики и маска с бусинами красный L-XL</t>
  </si>
  <si>
    <t xml:space="preserve"> Трусики-стринги Wonderia с атласным бантиком черный L-XL</t>
  </si>
  <si>
    <t xml:space="preserve"> Трусики-стринги Wonderia с атласным бантиком черный S-M</t>
  </si>
  <si>
    <t xml:space="preserve"> Полупрозрачные трусики с изысканной вышивкой черный с белым S-M</t>
  </si>
  <si>
    <t xml:space="preserve"> Полупрозрачные трусики с изысканной вышивкой черный с белым L-XL</t>
  </si>
  <si>
    <t xml:space="preserve"> Очаровательные трусики с рюшами и подвеской сзади черный L-XL</t>
  </si>
  <si>
    <t xml:space="preserve"> Очаровательные трусики с рюшами и подвеской сзади черный S-M</t>
  </si>
  <si>
    <t xml:space="preserve"> Трусики с кружевным пояском и интимным доступом черный S-M</t>
  </si>
  <si>
    <t xml:space="preserve"> Трусики с кружевным пояском и интимным доступом черный L-XL</t>
  </si>
  <si>
    <t xml:space="preserve"> Трусики с украшением в виде сердца из кристаллов красный L-XL</t>
  </si>
  <si>
    <t xml:space="preserve"> Трусики с украшением в виде сердца из кристаллов красный S-M</t>
  </si>
  <si>
    <t xml:space="preserve"> Ажурные трусики-стринги с украшением в форме сердца на задней части красный S-M</t>
  </si>
  <si>
    <t xml:space="preserve"> Ажурные трусики-стринги с украшением в форме сердца на задней части красный L-XL</t>
  </si>
  <si>
    <t xml:space="preserve"> Открытые трусики с кружевной оборкой черный L-XL</t>
  </si>
  <si>
    <t xml:space="preserve"> Открытые трусики с кружевной оборкой черный S-M</t>
  </si>
  <si>
    <t xml:space="preserve"> Кружевные трусики Dovelia с цветочным узором нежно-розовый S-M</t>
  </si>
  <si>
    <t xml:space="preserve"> Кружевные трусики Dovelia с цветочным узором нежно-розовый L-XL</t>
  </si>
  <si>
    <t xml:space="preserve"> Открытые трусики Kitten Plus Size белый XXL</t>
  </si>
  <si>
    <t xml:space="preserve"> Открытые трусики Kitten Plus Size черный XXL</t>
  </si>
  <si>
    <t xml:space="preserve"> Открытые трусики Kitten Plus Size черный XXXL</t>
  </si>
  <si>
    <t xml:space="preserve"> Открытые трусики Kitten Plus Size белый XXXL</t>
  </si>
  <si>
    <t xml:space="preserve"> Полупрозрачные кружевные трусики Agnes Plus Size белый XXXL</t>
  </si>
  <si>
    <t xml:space="preserve"> Полупрозрачные кружевные трусики Agnes Plus Size черный XXXL</t>
  </si>
  <si>
    <t xml:space="preserve"> Полупрозрачные кружевные трусики Agnes Plus Size черный XXL</t>
  </si>
  <si>
    <t xml:space="preserve"> Полупрозрачные кружевные трусики Agnes Plus Size белый XXL</t>
  </si>
  <si>
    <t xml:space="preserve"> Трусики Agnes с цветочным кружевом на попе белый M</t>
  </si>
  <si>
    <t xml:space="preserve"> Трусики Agnes с цветочным кружевом на попе черный M</t>
  </si>
  <si>
    <t xml:space="preserve"> Трусики Agnes с цветочным кружевом на попе черный S</t>
  </si>
  <si>
    <t xml:space="preserve"> Трусики Agnes с цветочным кружевом на попе белый S</t>
  </si>
  <si>
    <t xml:space="preserve"> Трусики Agnes с цветочным кружевом на попе черный XL</t>
  </si>
  <si>
    <t xml:space="preserve"> Трусики Agnes с цветочным кружевом на попе белый XL</t>
  </si>
  <si>
    <t xml:space="preserve"> Трусики Agnes с цветочным кружевом на попе черный L</t>
  </si>
  <si>
    <t xml:space="preserve"> Трусики Agnes с цветочным кружевом на попе белый L</t>
  </si>
  <si>
    <t xml:space="preserve"> Трусики-слипы Dakota Plus Size с ажуром красный XXL</t>
  </si>
  <si>
    <t xml:space="preserve"> Трусики-слипы Dakota Plus Size с ажуром красный XXXL</t>
  </si>
  <si>
    <t xml:space="preserve"> Шортики Fanny с кружевами и полуоткрытой попкой красный XL</t>
  </si>
  <si>
    <t xml:space="preserve"> Шортики Fanny с кружевами и полуоткрытой попкой белый XL</t>
  </si>
  <si>
    <t xml:space="preserve"> Шортики Fanny с кружевами и полуоткрытой попкой черный XL</t>
  </si>
  <si>
    <t xml:space="preserve"> Шортики Fanny с кружевами и полуоткрытой попкой белый L</t>
  </si>
  <si>
    <t xml:space="preserve"> Шортики Fanny с кружевами и полуоткрытой попкой черный L</t>
  </si>
  <si>
    <t xml:space="preserve"> Шортики Fanny с кружевами и полуоткрытой попкой красный S</t>
  </si>
  <si>
    <t xml:space="preserve"> Шортики Fanny с кружевами и полуоткрытой попкой красный L</t>
  </si>
  <si>
    <t xml:space="preserve"> Шортики Fanny с кружевами и полуоткрытой попкой черный S</t>
  </si>
  <si>
    <t xml:space="preserve"> Шортики Fanny с кружевами и полуоткрытой попкой белый S</t>
  </si>
  <si>
    <t xml:space="preserve"> Шортики Fanny с кружевами и полуоткрытой попкой красный M</t>
  </si>
  <si>
    <t xml:space="preserve"> Шортики Fanny с кружевами и полуоткрытой попкой белый M</t>
  </si>
  <si>
    <t xml:space="preserve"> Шортики Fanny с кружевами и полуоткрытой попкой черный M</t>
  </si>
  <si>
    <t xml:space="preserve"> Трусики Fanny Plus Size с кружевами и полуоткрытой попкой красный XXL</t>
  </si>
  <si>
    <t xml:space="preserve"> Трусики Fanny Plus Size с кружевами и полуоткрытой попкой черный XXL</t>
  </si>
  <si>
    <t xml:space="preserve"> Трусики Fanny Plus Size с кружевами и полуоткрытой попкой красный XXXL</t>
  </si>
  <si>
    <t xml:space="preserve"> Трусики Fanny Plus Size с кружевами и полуоткрытой попкой черный XXXL</t>
  </si>
  <si>
    <t xml:space="preserve"> Трусики Fanny Plus Size с кружевами и полуоткрытой попкой белый XXL</t>
  </si>
  <si>
    <t xml:space="preserve"> Трусики Fanny Plus Size с кружевами и полуоткрытой попкой белый XXXL</t>
  </si>
  <si>
    <t xml:space="preserve"> Высокие ажурные трусики Felicity Plus Size с контрастной шнуровкой черный с белым XXXL</t>
  </si>
  <si>
    <t xml:space="preserve"> Высокие ажурные трусики Felicity Plus Size с контрастной шнуровкой черный с белым XXL</t>
  </si>
  <si>
    <t xml:space="preserve"> Трусики-слипы Flavia Plus Size с тесемкой и металлическими колечками черный XXL</t>
  </si>
  <si>
    <t xml:space="preserve"> Трусики-слипы Flavia Plus Size с тесемкой и металлическими колечками черный XXXL</t>
  </si>
  <si>
    <t xml:space="preserve"> Ажурные трусики Forme Plus Size с тремя боковыми тесемками черный XXXL</t>
  </si>
  <si>
    <t xml:space="preserve"> Ажурные трусики Forme Plus Size с тремя боковыми тесемками черный XXL</t>
  </si>
  <si>
    <t xml:space="preserve"> Трусики Intriganti Plus Size с вырезом в виде сердца черный с красным XXL</t>
  </si>
  <si>
    <t xml:space="preserve"> Трусики Intriganti Plus Size с вырезом в виде сердца черный с красным XXXL</t>
  </si>
  <si>
    <t xml:space="preserve"> Трусики Muse Plus Size с тройными бретелями черный XXXL</t>
  </si>
  <si>
    <t xml:space="preserve"> Трусики Muse Plus Size с тройными бретелями черный XXL</t>
  </si>
  <si>
    <t xml:space="preserve"> Трусики Muse с бретелями, напоминающими цепочки черный XL</t>
  </si>
  <si>
    <t xml:space="preserve"> Трусики Muse с бретелями, напоминающими цепочки черный S</t>
  </si>
  <si>
    <t xml:space="preserve"> Трусики Muse с бретелями, напоминающими цепочки черный L</t>
  </si>
  <si>
    <t xml:space="preserve"> Трусики Muse с бретелями, напоминающими цепочки черный M</t>
  </si>
  <si>
    <t xml:space="preserve"> Полуоткрытые трусики Night Plus Size из кружева черный XXL</t>
  </si>
  <si>
    <t xml:space="preserve"> Полуоткрытые трусики Night Plus Size из кружева черный XXXL</t>
  </si>
  <si>
    <t xml:space="preserve"> Трусики Night с полуоткрытой задней частью черный XL</t>
  </si>
  <si>
    <t xml:space="preserve"> Трусики Night с полуоткрытой задней частью черный L</t>
  </si>
  <si>
    <t xml:space="preserve"> Трусики Night с полуоткрытой задней частью черный S</t>
  </si>
  <si>
    <t xml:space="preserve"> Трусики Night с полуоткрытой задней частью черный M</t>
  </si>
  <si>
    <t xml:space="preserve"> Трусики Ossia Plus Size с углубленным верхним краем красный XXL</t>
  </si>
  <si>
    <t xml:space="preserve"> Трусики Ossia Plus Size с углубленным верхним краем красный XXXL</t>
  </si>
  <si>
    <t xml:space="preserve"> Кружевные трусики Permission Plus Size с низкой посадкой и открытой попкой черный XXXL</t>
  </si>
  <si>
    <t xml:space="preserve"> Кружевные трусики Permission Plus Size с низкой посадкой и открытой попкой черный XXL</t>
  </si>
  <si>
    <t xml:space="preserve"> Кружевные трусики Quinn Plus Size с открытыми ягодицами красный XXL</t>
  </si>
  <si>
    <t xml:space="preserve"> Кружевные трусики Quinn Plus Size с открытыми ягодицами красный XXXL</t>
  </si>
  <si>
    <t xml:space="preserve"> Трусики-стринги с юбочкой Spice Up Plus Size и подвеской-кристаллом черный XXXL</t>
  </si>
  <si>
    <t xml:space="preserve"> Трусики-стринги с юбочкой Spice Up Plus Size и подвеской-кристаллом черный XXL</t>
  </si>
  <si>
    <t xml:space="preserve"> Полупрозрачные трусики Tess Plus Size с кисточкой на попке и интимным доступом черный XXL</t>
  </si>
  <si>
    <t xml:space="preserve"> Полупрозрачные трусики Tess Plus Size с кисточкой на попке и интимным доступом черный XXXL</t>
  </si>
  <si>
    <t xml:space="preserve"> Ажурные трусики Anche Plus Size черный XXXL</t>
  </si>
  <si>
    <t xml:space="preserve"> Ажурные трусики Anche Plus Size черный XXL</t>
  </si>
  <si>
    <t xml:space="preserve"> Трусики Ardica Plus Size с вырезом сзади черный XXL</t>
  </si>
  <si>
    <t xml:space="preserve"> Трусики Ardica Plus Size с вырезом сзади черный XXXL</t>
  </si>
  <si>
    <t xml:space="preserve"> Оригинальные кружевные трусики Lemai Plus Size черный XXXL</t>
  </si>
  <si>
    <t xml:space="preserve"> Оригинальные кружевные трусики Lemai Plus Size черный XXL</t>
  </si>
  <si>
    <t xml:space="preserve"> Оригинальные ажурные трусики Lemai черный XL</t>
  </si>
  <si>
    <t xml:space="preserve"> Оригинальные ажурные трусики Lemai черный S</t>
  </si>
  <si>
    <t xml:space="preserve"> Оригинальные ажурные трусики Lemai черный L</t>
  </si>
  <si>
    <t xml:space="preserve"> Оригинальные ажурные трусики Lemai черный M</t>
  </si>
  <si>
    <t xml:space="preserve"> Кружевные трусики-стринги Sotille Plus Size с оборкой по краю черный XXL</t>
  </si>
  <si>
    <t xml:space="preserve"> Кружевные трусики-стринги Sotille Plus Size с оборкой по краю черный XXXL</t>
  </si>
  <si>
    <t xml:space="preserve"> Трусики-стринги Sotille с оборкой по краю черный XL</t>
  </si>
  <si>
    <t xml:space="preserve"> Трусики-стринги Sotille с оборкой по краю черный L</t>
  </si>
  <si>
    <t xml:space="preserve"> Трусики-стринги Sotille с оборкой по краю черный S</t>
  </si>
  <si>
    <t xml:space="preserve"> Трусики-стринги Sotille с оборкой по краю черный M</t>
  </si>
  <si>
    <t xml:space="preserve"> Трусики Carol Plus Size с кружевными вставками черный XXL</t>
  </si>
  <si>
    <t xml:space="preserve"> Трусики Carol Plus Size с кружевными вставками черный XXXL</t>
  </si>
  <si>
    <t xml:space="preserve"> Трусики-стринги Aileen Plus Size с кружевами и соединительным колечком сзади черный XXXL</t>
  </si>
  <si>
    <t xml:space="preserve"> Трусики-стринги Aileen Plus Size с кружевами и соединительным колечком сзади белый XXXL</t>
  </si>
  <si>
    <t xml:space="preserve"> Трусики-стринги Aileen Plus Size с кружевами и соединительным колечком сзади белый XXL</t>
  </si>
  <si>
    <t xml:space="preserve"> Трусики-стринги Aileen Plus Size с кружевами и соединительным колечком сзади черный XXL</t>
  </si>
  <si>
    <t xml:space="preserve"> Трусики-стринги Aileen с ажуром и соединительным колечком сзади черный XL</t>
  </si>
  <si>
    <t xml:space="preserve"> Трусики-стринги Aileen с ажуром и соединительным колечком сзади белый XL</t>
  </si>
  <si>
    <t xml:space="preserve"> Трусики-стринги Aileen с ажуром и соединительным колечком сзади черный S</t>
  </si>
  <si>
    <t xml:space="preserve"> Трусики-стринги Aileen с ажуром и соединительным колечком сзади черный L</t>
  </si>
  <si>
    <t xml:space="preserve"> Трусики-стринги Aileen с ажуром и соединительным колечком сзади белый L</t>
  </si>
  <si>
    <t xml:space="preserve"> Трусики-стринги Aileen с ажуром и соединительным колечком сзади белый S</t>
  </si>
  <si>
    <t xml:space="preserve"> Трусики-стринги Aileen с ажуром и соединительным колечком сзади черный M</t>
  </si>
  <si>
    <t xml:space="preserve"> Трусики-стринги Aileen с ажуром и соединительным колечком сзади белый M</t>
  </si>
  <si>
    <t xml:space="preserve"> Трусики Oda Plus Size с цветочным орнаментом сзади и бантиками спереди черный XXL</t>
  </si>
  <si>
    <t xml:space="preserve"> Трусики Oda Plus Size с цветочным орнаментом сзади и бантиками спереди черный XXXL</t>
  </si>
  <si>
    <t xml:space="preserve"> Трусики-стринги Gloria Plus Size с тоненькими бретелями красный XXXL</t>
  </si>
  <si>
    <t xml:space="preserve"> Трусики-стринги Gloria Plus Size с тоненькими бретелями красный XXL</t>
  </si>
  <si>
    <t xml:space="preserve"> Полупрозрачные трусики-стринги Kami Plus Size из кружева розовый с черным XXXL</t>
  </si>
  <si>
    <t xml:space="preserve"> Полупрозрачные трусики-стринги Kami Plus Size из кружева розовый с черным XXL</t>
  </si>
  <si>
    <t xml:space="preserve"> Трусики-стринги Inspires Plus Size с бретелями, напоминающими цепочки черный XXXL</t>
  </si>
  <si>
    <t xml:space="preserve"> Трусики-стринги Inspires Plus Size с бретелями, напоминающими цепочки черный XXL</t>
  </si>
  <si>
    <t xml:space="preserve"> Трусики-стринги Peach Plus Size с цветочным узором кружева белый XXL</t>
  </si>
  <si>
    <t xml:space="preserve"> Трусики-стринги Peach Plus Size с цветочным узором кружева белый XXXL</t>
  </si>
  <si>
    <t xml:space="preserve"> Соблазнительные трусики-стринги Cayenne Plus Size белый XXXL</t>
  </si>
  <si>
    <t xml:space="preserve"> Соблазнительные трусики-стринги Cayenne Plus Size белый XXL</t>
  </si>
  <si>
    <t xml:space="preserve"> Трусики-стринги Medea Plus Size с вырезом и подвеской черный XXXL</t>
  </si>
  <si>
    <t xml:space="preserve"> Трусики-стринги Medea Plus Size с вырезом и подвеской черный XXL</t>
  </si>
  <si>
    <t xml:space="preserve"> Трусики-стринги Leonie Plus Size с 2 бретелями черный XXL</t>
  </si>
  <si>
    <t xml:space="preserve"> Трусики-стринги Leonie Plus Size с 2 бретелями черный XXXL</t>
  </si>
  <si>
    <t xml:space="preserve"> Ромбовидные кружевные трусики-стринги Leonie черный XL</t>
  </si>
  <si>
    <t xml:space="preserve"> Ромбовидные кружевные трусики-стринги Leonie черный L</t>
  </si>
  <si>
    <t xml:space="preserve"> Ромбовидные кружевные трусики-стринги Leonie черный S</t>
  </si>
  <si>
    <t xml:space="preserve"> Ромбовидные кружевные трусики-стринги Leonie черный M</t>
  </si>
  <si>
    <t xml:space="preserve"> Кружевные трусики-стринги Nessa с бантиками красный L</t>
  </si>
  <si>
    <t xml:space="preserve"> Кружевные трусики-стринги Nessa с бантиками красный S</t>
  </si>
  <si>
    <t xml:space="preserve"> Кружевные трусики-стринги Nessa с бантиками красный XL</t>
  </si>
  <si>
    <t xml:space="preserve"> Кружевные трусики-стринги Nessa с бантиками красный M</t>
  </si>
  <si>
    <t xml:space="preserve"> Кокетливые трусики Santige Plus Size с вырезом сзади черный XXL</t>
  </si>
  <si>
    <t xml:space="preserve"> Кокетливые трусики Santige Plus Size с вырезом сзади черный XXXL</t>
  </si>
  <si>
    <t xml:space="preserve"> Трусики-стринги Tessili Plus Size с вырезами черный XXXL</t>
  </si>
  <si>
    <t xml:space="preserve"> Трусики-стринги Tessili Plus Size с вырезами черный XXL</t>
  </si>
  <si>
    <t xml:space="preserve"> Игривые трусики-стринги Dominica Plus Size с розовыми бантами и доступом черный XXL</t>
  </si>
  <si>
    <t xml:space="preserve"> Игривые трусики-стринги Dominica Plus Size с розовыми бантами и доступом черный XXXL</t>
  </si>
  <si>
    <t xml:space="preserve"> Кружевные трусики-слипы Darcy Plus Size красный XXXL</t>
  </si>
  <si>
    <t xml:space="preserve"> Кружевные трусики-слипы Darcy Plus Size красный XXL</t>
  </si>
  <si>
    <t xml:space="preserve"> Ажурные трусики-слипы Darcy красный XL</t>
  </si>
  <si>
    <t xml:space="preserve"> Ажурные трусики-слипы Darcy красный S</t>
  </si>
  <si>
    <t xml:space="preserve"> Ажурные трусики-слипы Darcy красный L</t>
  </si>
  <si>
    <t xml:space="preserve"> Ажурные трусики-слипы Darcy красный M</t>
  </si>
  <si>
    <t xml:space="preserve"> Кружевные трусики-танга Marla Plus Size красный XXL</t>
  </si>
  <si>
    <t xml:space="preserve"> Кружевные трусики-танга Marla Plus Size красный XXXL</t>
  </si>
  <si>
    <t xml:space="preserve"> Ажурные трусики-танга Marla красный XL</t>
  </si>
  <si>
    <t xml:space="preserve"> Ажурные трусики-танга Marla красный L</t>
  </si>
  <si>
    <t xml:space="preserve"> Ажурные трусики-танга Marla красный S</t>
  </si>
  <si>
    <t xml:space="preserve"> Ажурные трусики-танга Marla красный M</t>
  </si>
  <si>
    <t xml:space="preserve"> Соблазнительные трусики Daphnis Plus Size с подвеской черный с леопардовым XXL</t>
  </si>
  <si>
    <t xml:space="preserve"> Соблазнительные трусики Daphnis Plus Size с подвеской черный с леопардовым XXXL</t>
  </si>
  <si>
    <t xml:space="preserve"> Соблазнительные трусики Daphnis с декоративной подвеской черный с леопардовым S</t>
  </si>
  <si>
    <t xml:space="preserve"> Соблазнительные трусики Daphnis с декоративной подвеской черный с леопардовым L</t>
  </si>
  <si>
    <t xml:space="preserve"> Соблазнительные трусики Daphnis с декоративной подвеской черный с леопардовым XL</t>
  </si>
  <si>
    <t xml:space="preserve"> Соблазнительные трусики Daphnis с декоративной подвеской черный с леопардовым M</t>
  </si>
  <si>
    <t xml:space="preserve"> Трусики Greyla Plus Size с изысканным кружевом черный с серым XXL</t>
  </si>
  <si>
    <t xml:space="preserve"> Трусики-стринги Lily с оригинальным исполнением задней части черный L-XL</t>
  </si>
  <si>
    <t xml:space="preserve"> Трусики-стринги Lily с оригинальным исполнением задней части черный S-M</t>
  </si>
  <si>
    <t xml:space="preserve"> Трусики-стринги Lily Plus Size с оригинальным исполнением задней части черный XXL-XXXL</t>
  </si>
  <si>
    <t xml:space="preserve"> Кружевные трусики-слипы с мелкими оборочками красный L-XL</t>
  </si>
  <si>
    <t xml:space="preserve"> Кружевные трусики-слипы с мелкими оборочками красный S-M</t>
  </si>
  <si>
    <t xml:space="preserve"> Кружевные трусики-стринги с юбочкой красный S-M</t>
  </si>
  <si>
    <t xml:space="preserve"> Кружевные трусики-стринги с юбочкой красный L-XL</t>
  </si>
  <si>
    <t xml:space="preserve"> Оригинальные трусики-стринги Martina красный L-XL</t>
  </si>
  <si>
    <t xml:space="preserve"> Оригинальные трусики-стринги Martina черный L-XL</t>
  </si>
  <si>
    <t xml:space="preserve"> Оригинальные трусики-стринги Martina белый L-XL</t>
  </si>
  <si>
    <t xml:space="preserve"> Оригинальные трусики-стринги Martina красный S-M</t>
  </si>
  <si>
    <t xml:space="preserve"> Оригинальные трусики-стринги Martina черный S-M</t>
  </si>
  <si>
    <t xml:space="preserve"> Оригинальные трусики-стринги Martina белый S-M</t>
  </si>
  <si>
    <t xml:space="preserve"> Оригинальные трусики-стринги Martina Plus Size с высоким пояском черный XXL-XXXL</t>
  </si>
  <si>
    <t xml:space="preserve"> Оригинальные трусики-стринги Martina Plus Size с высоким пояском белый XXL-XXXL</t>
  </si>
  <si>
    <t xml:space="preserve"> Оригинальные трусики-стринги Martina Plus Size с высоким пояском красный XXL-XXXL</t>
  </si>
  <si>
    <t xml:space="preserve"> Трусики-стринги Julitte на тройных бретелях белый L-XL</t>
  </si>
  <si>
    <t xml:space="preserve"> Трусики-стринги Julitte на тройных бретелях черный L-XL</t>
  </si>
  <si>
    <t xml:space="preserve"> Трусики-стринги Julitte на тройных бретелях красный L-XL</t>
  </si>
  <si>
    <t xml:space="preserve"> Трусики-стринги Julitte на тройных бретелях белый S-M</t>
  </si>
  <si>
    <t xml:space="preserve"> Трусики-стринги Julitte на тройных бретелях черный S-M</t>
  </si>
  <si>
    <t xml:space="preserve"> Трусики-стринги Julitte на тройных бретелях красный S-M</t>
  </si>
  <si>
    <t xml:space="preserve"> Трусики-стринги Julitte Plus Size с тройными бретелями красный XXL-XXXL</t>
  </si>
  <si>
    <t xml:space="preserve"> Трусики-стринги Julitte Plus Size с тройными бретелями белый XXL-XXXL</t>
  </si>
  <si>
    <t xml:space="preserve"> Трусики-стринги Julitte Plus Size с тройными бретелями черный XXL-XXXL</t>
  </si>
  <si>
    <t xml:space="preserve"> Трусики Ibi с вырезами и контрастной строчкой красный L-XL</t>
  </si>
  <si>
    <t xml:space="preserve"> Трусики Ibi с вырезами и контрастной строчкой черный L-XL</t>
  </si>
  <si>
    <t xml:space="preserve"> Трусики Ibi с вырезами и контрастной строчкой белый L-XL</t>
  </si>
  <si>
    <t xml:space="preserve"> Трусики Ibi с вырезами и контрастной строчкой красный S-M</t>
  </si>
  <si>
    <t xml:space="preserve"> Трусики Ibi с вырезами и контрастной строчкой черный S-M</t>
  </si>
  <si>
    <t xml:space="preserve"> Трусики Ibi с вырезами и контрастной строчкой белый S-M</t>
  </si>
  <si>
    <t xml:space="preserve"> Трусики Ibi Plus Size с вырезами сзади и контрастной строчкой черный XXL-XXXL</t>
  </si>
  <si>
    <t xml:space="preserve"> Трусики Ibi Plus Size с вырезами сзади и контрастной строчкой белый XXL-XXXL</t>
  </si>
  <si>
    <t xml:space="preserve"> Трусики Ibi Plus Size с вырезами сзади и контрастной строчкой красный XXL-XXXL</t>
  </si>
  <si>
    <t xml:space="preserve"> Трусики-стринги Amber с поясом-сеткой белый L-XL</t>
  </si>
  <si>
    <t xml:space="preserve"> Трусики-стринги Amber с поясом-сеткой черный L-XL</t>
  </si>
  <si>
    <t xml:space="preserve"> Трусики-стринги Amber с поясом-сеткой красный L-XL</t>
  </si>
  <si>
    <t xml:space="preserve"> Трусики-стринги Amber с поясом-сеткой белый S-M</t>
  </si>
  <si>
    <t xml:space="preserve"> Трусики-стринги Amber с поясом-сеткой черный S-M</t>
  </si>
  <si>
    <t xml:space="preserve"> Трусики-стринги Amber с поясом-сеткой красный S-M</t>
  </si>
  <si>
    <t xml:space="preserve"> Трусики-стринги Amber Plus Size с поясом из сетки красный XXL-XXXL</t>
  </si>
  <si>
    <t xml:space="preserve"> Трусики-стринги Amber Plus Size с поясом из сетки белый XXL-XXXL</t>
  </si>
  <si>
    <t xml:space="preserve"> Трусики-стринги Amber Plus Size с поясом из сетки черный XXL-XXXL</t>
  </si>
  <si>
    <t xml:space="preserve"> Кружевные трусики-стринги Anhelina с пикантными вырезами и бантом сзади белый L-XL</t>
  </si>
  <si>
    <t xml:space="preserve"> Кружевные трусики-стринги Anhelina с пикантными вырезами и бантом сзади красный L-XL</t>
  </si>
  <si>
    <t xml:space="preserve"> Кружевные трусики-стринги Anhelina с пикантными вырезами и бантом сзади черный L-XL</t>
  </si>
  <si>
    <t xml:space="preserve"> Кружевные трусики-стринги Anhelina с пикантными вырезами и бантом сзади красный S-M</t>
  </si>
  <si>
    <t xml:space="preserve"> Кружевные трусики-стринги Anhelina с пикантными вырезами и бантом сзади черный S-M</t>
  </si>
  <si>
    <t xml:space="preserve"> Кружевные трусики-стринги Anhelina с пикантными вырезами и бантом сзади белый S-M</t>
  </si>
  <si>
    <t xml:space="preserve"> Кружевные трусики-стринги Angela с широким пояском белый S-M</t>
  </si>
  <si>
    <t xml:space="preserve"> Кружевные трусики-стринги Angela с широким пояском черный S-M</t>
  </si>
  <si>
    <t xml:space="preserve"> Кружевные трусики-стринги Angela с широким пояском красный S-M</t>
  </si>
  <si>
    <t xml:space="preserve"> Кружевные трусики-стринги Angela с широким пояском черный L-XL</t>
  </si>
  <si>
    <t xml:space="preserve"> Кружевные трусики-стринги Angela с широким пояском белый L-XL</t>
  </si>
  <si>
    <t xml:space="preserve"> Кружевные трусики-стринги Angela с широким пояском красный L-XL</t>
  </si>
  <si>
    <t xml:space="preserve"> Кружевные трусики-стринги Angela Plus Size с широким пояском черный XXL-XXXL</t>
  </si>
  <si>
    <t xml:space="preserve"> Кружевные трусики-стринги Angela Plus Size с широким пояском белый XXL-XXXL</t>
  </si>
  <si>
    <t xml:space="preserve"> Кружевные трусики-стринги Angela Plus Size с широким пояском красный XXL-XXXL</t>
  </si>
  <si>
    <t xml:space="preserve"> Оригинальные трусики-стринги Diana красный L-XL</t>
  </si>
  <si>
    <t xml:space="preserve"> Оригинальные трусики-стринги Diana белый L-XL</t>
  </si>
  <si>
    <t xml:space="preserve"> Оригинальные трусики-стринги Diana черный L-XL</t>
  </si>
  <si>
    <t xml:space="preserve"> Оригинальные трусики-стринги Diana красный S-M</t>
  </si>
  <si>
    <t xml:space="preserve"> Оригинальные трусики-стринги Diana черный S-M</t>
  </si>
  <si>
    <t xml:space="preserve"> Оригинальные трусики-стринги Diana белый S-M</t>
  </si>
  <si>
    <t xml:space="preserve"> Откровенные трусики-стринги Diana Plus Size красный XXL-XXXL</t>
  </si>
  <si>
    <t xml:space="preserve"> Откровенные трусики-стринги Diana Plus Size белый XXL-XXXL</t>
  </si>
  <si>
    <t xml:space="preserve"> Откровенные трусики-стринги Diana Plus Size черный XXL-XXXL</t>
  </si>
  <si>
    <t xml:space="preserve"> Кружевные трусики-шорты Imperia с крупным цветочным узором черный L-XL</t>
  </si>
  <si>
    <t xml:space="preserve"> Кружевные трусики-шорты Imperia с крупным цветочным узором черный S-M</t>
  </si>
  <si>
    <t xml:space="preserve"> Кружевные трусики-шортики с подвеской черный S-M</t>
  </si>
  <si>
    <t xml:space="preserve"> Кружевные трусики-шортики с подвеской черный L-XL</t>
  </si>
  <si>
    <t xml:space="preserve"> Трусики-стринги с кружевной юбочкой и подвеской сзади черный L-XL</t>
  </si>
  <si>
    <t xml:space="preserve"> Трусики-стринги с кружевной юбочкой и подвеской сзади черный S-M</t>
  </si>
  <si>
    <t xml:space="preserve"> Трусы-шортики Ina из сетки черный S-M</t>
  </si>
  <si>
    <t xml:space="preserve"> Трусы-шортики Ina из сетки черный L-XL</t>
  </si>
  <si>
    <t xml:space="preserve"> Трусики-стринги Athena с экстра низкой посадкой черный L-XL</t>
  </si>
  <si>
    <t xml:space="preserve"> Трусики-стринги Athena с экстра низкой посадкой белый L-XL</t>
  </si>
  <si>
    <t xml:space="preserve"> Трусики-стринги Athena с экстра низкой посадкой черный S-M</t>
  </si>
  <si>
    <t xml:space="preserve"> Трусики-стринги Athena с экстра низкой посадкой белый S-M</t>
  </si>
  <si>
    <t xml:space="preserve"> Игривые трусики-стринги Elisa с оборками черный S-M</t>
  </si>
  <si>
    <t xml:space="preserve"> Игривые трусики-стринги Elisa с оборками черный L-XL</t>
  </si>
  <si>
    <t xml:space="preserve"> Трусики-шортики Molly со шнуровкой красный L-XL</t>
  </si>
  <si>
    <t xml:space="preserve"> Трусики-шортики Molly со шнуровкой красный S-M</t>
  </si>
  <si>
    <t xml:space="preserve"> Кружевные трусики-стринги Nancy из стреп-лент черный S-M</t>
  </si>
  <si>
    <t xml:space="preserve"> Кружевные трусики-стринги Nancy из стреп-лент белый S-M</t>
  </si>
  <si>
    <t xml:space="preserve"> Кружевные трусики-стринги Nancy из стреп-лент черный L-XL</t>
  </si>
  <si>
    <t xml:space="preserve"> Кружевные трусики-стринги Nancy из стреп-лент белый L-XL</t>
  </si>
  <si>
    <t xml:space="preserve"> Пикантные нитяные трусики-стринги Samantha белый L-XL</t>
  </si>
  <si>
    <t xml:space="preserve"> Пикантные нитяные трусики-стринги Samantha черный L-XL</t>
  </si>
  <si>
    <t xml:space="preserve"> Пикантные нитяные трусики-стринги Samantha белый S-M</t>
  </si>
  <si>
    <t xml:space="preserve"> Пикантные нитяные трусики-стринги Samantha черный S-M</t>
  </si>
  <si>
    <t xml:space="preserve"> Пикантные нитяные трусики-стринги Samantha красный S-M</t>
  </si>
  <si>
    <t xml:space="preserve"> Нитяные трусики-стринги Samantha Plus Size черный XXL-XXXL</t>
  </si>
  <si>
    <t xml:space="preserve"> Нитяные трусики-стринги Samantha Plus Size белый XXL-XXXL</t>
  </si>
  <si>
    <t xml:space="preserve"> Кружевные стринги Mystique черный S-M</t>
  </si>
  <si>
    <t xml:space="preserve"> Кружевные стринги Mystique белый S-M</t>
  </si>
  <si>
    <t xml:space="preserve"> Кружевные стринги Mystique черный L-XL</t>
  </si>
  <si>
    <t xml:space="preserve"> Кружевные стринги Mystique белый L-XL</t>
  </si>
  <si>
    <t xml:space="preserve"> Кружевные стринги с юбочкой Miriam белый с черным L-XL</t>
  </si>
  <si>
    <t xml:space="preserve"> Кружевные стринги с юбочкой Miriam черный с белым L-XL</t>
  </si>
  <si>
    <t xml:space="preserve"> Кружевные стринги с юбочкой Miriam белый с черным S-M</t>
  </si>
  <si>
    <t xml:space="preserve"> Кружевные стринги с юбочкой Miriam черный с белым S-M</t>
  </si>
  <si>
    <t xml:space="preserve"> Кружевные трусики-стринги Anhelina Plus Size с пикантными вырезами и бантом сзади белый XXL-XXXL</t>
  </si>
  <si>
    <t xml:space="preserve"> Кружевные трусики-стринги Anhelina Plus Size с пикантными вырезами и бантом сзади черный XXL-XXXL</t>
  </si>
  <si>
    <t xml:space="preserve"> Кружевные трусики-стринги Anhelina Plus Size с пикантными вырезами и бантом сзади красный XXL-XXXL</t>
  </si>
  <si>
    <t xml:space="preserve"> Кружевные нежные Т-стринги белый One Size</t>
  </si>
  <si>
    <t xml:space="preserve"> Нежные ажурные Т-стринги с цветочным узором красный One Size</t>
  </si>
  <si>
    <t xml:space="preserve"> Нежные ажурные Т-стринги с цветочным узором черный One Size</t>
  </si>
  <si>
    <t xml:space="preserve"> Матовые однотонные Т-стринги черный One Size</t>
  </si>
  <si>
    <t xml:space="preserve"> Сетчатые женские Т-стринги черный One Size</t>
  </si>
  <si>
    <t xml:space="preserve"> Сетчатые женские Т-стринги красный One Size</t>
  </si>
  <si>
    <t xml:space="preserve"> Оригинальные трусики-шорты Gaja со съемными гартерами черный S-M</t>
  </si>
  <si>
    <t xml:space="preserve"> Оригинальные трусики-шорты Gaja со съемными гартерами красный S-M</t>
  </si>
  <si>
    <t xml:space="preserve"> Оригинальные трусики-шорты Gaja со съемными гартерами белый S-M</t>
  </si>
  <si>
    <t xml:space="preserve"> Оригинальные трусики-шорты Gaja со съемными гартерами красный L-XL</t>
  </si>
  <si>
    <t xml:space="preserve"> Оригинальные трусики-шорты Gaja со съемными гартерами черный L-XL</t>
  </si>
  <si>
    <t xml:space="preserve"> Оригинальные трусики-шорты Gaja со съемными гартерами белый L-XL</t>
  </si>
  <si>
    <t xml:space="preserve"> Кружевные трусики-стринги Nessa Plus Size с бантиками красный XXXL</t>
  </si>
  <si>
    <t xml:space="preserve"> Кружевные трусики-стринги Nessa Plus Size с бантиками красный XXL</t>
  </si>
  <si>
    <t xml:space="preserve"> Открытые сзади трусики Zoe черный S-M</t>
  </si>
  <si>
    <t xml:space="preserve"> Открытые сзади трусики Zoe черный L-XL</t>
  </si>
  <si>
    <t xml:space="preserve"> Трусики-стринги Mercedes черный L-XL</t>
  </si>
  <si>
    <t xml:space="preserve"> Трусики-стринги Mercedes черный S-M</t>
  </si>
  <si>
    <t xml:space="preserve"> Трусики-стринги Mercedes Plus Size с небольшим окошком черный XXL-XXXL</t>
  </si>
  <si>
    <t xml:space="preserve"> Трусики-стринги Palmira с переплетением бретелей черный L-XL</t>
  </si>
  <si>
    <t xml:space="preserve"> Трусики-стринги Palmira с переплетением бретелей белый L-XL</t>
  </si>
  <si>
    <t xml:space="preserve"> Трусики-стринги Palmira с переплетением бретелей красный L-XL</t>
  </si>
  <si>
    <t xml:space="preserve"> Трусики-стринги Palmira с переплетением бретелей черный S-M</t>
  </si>
  <si>
    <t xml:space="preserve"> Трусики-стринги Palmira с переплетением бретелей красный S-M</t>
  </si>
  <si>
    <t xml:space="preserve"> Трусики-стринги Palmira с переплетением бретелей белый S-M</t>
  </si>
  <si>
    <t xml:space="preserve"> Трусики-стринги Palmira Plus Size с переплетением бретелей белый XXL-XXXL</t>
  </si>
  <si>
    <t xml:space="preserve"> Трусики-стринги Palmira Plus Size с переплетением бретелей красный XXL-XXXL</t>
  </si>
  <si>
    <t xml:space="preserve"> Трусики-стринги Palmira Plus Size с переплетением бретелей черный XXL-XXXL</t>
  </si>
  <si>
    <t xml:space="preserve"> Высокие трусики-стринги Vanda из стреп-лент черный S-M</t>
  </si>
  <si>
    <t xml:space="preserve"> Высокие трусики-стринги Vanda из стреп-лент черный L-XL</t>
  </si>
  <si>
    <t xml:space="preserve"> Высокие трусики-стринги Vanda Plus Size из стреп-лент черный XXL-XXXL</t>
  </si>
  <si>
    <t xml:space="preserve"> Трусики-стринги Valeria в комплекте с поясом черный S-M</t>
  </si>
  <si>
    <t xml:space="preserve"> Трусики-стринги Valeria в комплекте с поясом черный L-XL</t>
  </si>
  <si>
    <t xml:space="preserve"> Трусики-стринги Valeria Plus Size в комплекте с поясом на талию черный XXL-XXXL</t>
  </si>
  <si>
    <t xml:space="preserve"> Оригинальные трусики Patsy с оборками черный L-XL</t>
  </si>
  <si>
    <t xml:space="preserve"> Оригинальные трусики Patsy с оборками черный S-M</t>
  </si>
  <si>
    <t xml:space="preserve"> Пикантные трусики Malvine с вырезом и бантиком сзади белый S-M</t>
  </si>
  <si>
    <t xml:space="preserve"> Пикантные трусики Malvine с вырезом и бантиком сзади белый L-XL</t>
  </si>
  <si>
    <t xml:space="preserve"> Кружевные трусики-шорты Selena с цветочным узором кремовый L-XL</t>
  </si>
  <si>
    <t xml:space="preserve"> Кружевные трусики-шорты Selena с цветочным узором кремовый S-M</t>
  </si>
  <si>
    <t xml:space="preserve"> Кружевные трусики Selina с бантиком черный S-M</t>
  </si>
  <si>
    <t xml:space="preserve"> Кружевные трусики Selina с бантиком черный L-XL</t>
  </si>
  <si>
    <t xml:space="preserve"> Соблазнительные трусики-тонг с бантиком и подвеской черный L-XL</t>
  </si>
  <si>
    <t xml:space="preserve"> Соблазнительные трусики-тонг с бантиком и подвеской черный S-M</t>
  </si>
  <si>
    <t xml:space="preserve"> Изысканные трусики Antonina с кружевами черный с золотистым S-M</t>
  </si>
  <si>
    <t xml:space="preserve"> Изысканные трусики Antonina с кружевами черный с золотистым L-XL</t>
  </si>
  <si>
    <t xml:space="preserve"> Изысканные трусики с кружевами Antonina Plus Size черный с золотистым XXL-XXXL</t>
  </si>
  <si>
    <t xml:space="preserve"> Очаровательные трусики Dalida с нежным кружевом синий с черным L-XL</t>
  </si>
  <si>
    <t xml:space="preserve"> Очаровательные трусики Dalida с нежным кружевом синий с черным S-M</t>
  </si>
  <si>
    <t xml:space="preserve"> Двухцветные трусики Eleonor с кружавчиками черный с белым S-M</t>
  </si>
  <si>
    <t xml:space="preserve"> Двухцветные трусики Eleonor с кружавчиками черный с белым L-XL</t>
  </si>
  <si>
    <t xml:space="preserve"> Двухцветные трусики Eleonor Plus Size с кружавчиками черный с белым XXL-XXXL</t>
  </si>
  <si>
    <t xml:space="preserve"> Полупрозрачные трусики Jully с кружевной отделкой белый L-XL</t>
  </si>
  <si>
    <t xml:space="preserve"> Полупрозрачные трусики Jully с кружевной отделкой белый S-M</t>
  </si>
  <si>
    <t xml:space="preserve"> Полупрозрачные трусики Jully Plus Size с кружевной отделкой белый XXL-XXXL</t>
  </si>
  <si>
    <t xml:space="preserve"> Эффектные трусики Linette с тройными бретелями с одной стороны черный L-XL</t>
  </si>
  <si>
    <t xml:space="preserve"> Эффектные трусики Linette с тройными бретелями с одной стороны черный S-M</t>
  </si>
  <si>
    <t xml:space="preserve"> Оригинальные трусики Lotte с открытыми ягодицами белый S-M</t>
  </si>
  <si>
    <t xml:space="preserve"> Оригинальные трусики Lotte с открытыми ягодицами белый L-XL</t>
  </si>
  <si>
    <t xml:space="preserve"> Кокетливые трусики Matilde с прозрачной задней частью черный L-XL</t>
  </si>
  <si>
    <t xml:space="preserve"> Кокетливые трусики Matilde с прозрачной задней частью черный S-M</t>
  </si>
  <si>
    <t xml:space="preserve"> Нежные трусики Miranda с имитацией банта сзади белый S-M</t>
  </si>
  <si>
    <t xml:space="preserve"> Нежные трусики Miranda с имитацией банта сзади белый L-XL</t>
  </si>
  <si>
    <t xml:space="preserve"> Нежные трусики Miranda Plus Size с имитацией банта сзади белый XXL-XXXL</t>
  </si>
  <si>
    <t xml:space="preserve"> Провокационные трусики Omena со шнуровкой на попе черный L-XL</t>
  </si>
  <si>
    <t xml:space="preserve"> Провокационные трусики Omena со шнуровкой на попе черный S-M</t>
  </si>
  <si>
    <t xml:space="preserve"> Чудесные контактные трусики Otilla на тройных бретелях красный S-M</t>
  </si>
  <si>
    <t xml:space="preserve"> Чудесные контактные трусики Otilla на тройных бретелях красный L-XL</t>
  </si>
  <si>
    <t xml:space="preserve"> Чудесные контактные трусики Otilla Plus Size на тройных бретелях красный XXL-XXXL</t>
  </si>
  <si>
    <t xml:space="preserve"> Соблазнительные трусики Ramira с разрезами сзади черный L-XL</t>
  </si>
  <si>
    <t xml:space="preserve"> Соблазнительные трусики Ramira с разрезами сзади черный S-M</t>
  </si>
  <si>
    <t xml:space="preserve"> Соблазнительные трусики Ramira Plus Size с разрезами сзади черный XXL-XXXL</t>
  </si>
  <si>
    <t xml:space="preserve"> Пикантные контактные трусики Trini с кружевами черный L-XL</t>
  </si>
  <si>
    <t xml:space="preserve"> Пикантные контактные трусики Trini с кружевами черный S-M</t>
  </si>
  <si>
    <t xml:space="preserve"> Контактные трусики Verita с кружевами черный S-M</t>
  </si>
  <si>
    <t xml:space="preserve"> Контактные трусики Verita с кружевами черный L-XL</t>
  </si>
  <si>
    <t xml:space="preserve"> Роскошные контактные трусики-стринги Violante с вышивкой черный L-XL</t>
  </si>
  <si>
    <t xml:space="preserve"> Роскошные контактные трусики-стринги Violante с вышивкой черный S-M</t>
  </si>
  <si>
    <t xml:space="preserve"> Соблазнительные трусики Zita на завязках по бокам черный S-M</t>
  </si>
  <si>
    <t xml:space="preserve"> Соблазнительные трусики Zita на завязках по бокам черный L-XL</t>
  </si>
  <si>
    <t xml:space="preserve"> Соблазнительные трусики Zita Plus Size на завязках по бокам черный XXL-XXXL</t>
  </si>
  <si>
    <t xml:space="preserve"> Контактные трусики-стринги на молнии Monroe белый L-XL</t>
  </si>
  <si>
    <t xml:space="preserve"> Контактные трусики-стринги на молнии Monroe черный L-XL</t>
  </si>
  <si>
    <t xml:space="preserve"> Контактные трусики-стринги на молнии Monroe красный L-XL</t>
  </si>
  <si>
    <t xml:space="preserve"> Контактные трусики-стринги на молнии Monroe черный S-M</t>
  </si>
  <si>
    <t xml:space="preserve"> Контактные трусики-стринги на молнии Monroe красный S-M</t>
  </si>
  <si>
    <t xml:space="preserve"> Контактные трусики-стринги на молнии Monroe белый S-M</t>
  </si>
  <si>
    <t xml:space="preserve"> Трусы-шортики из сетки Ina Plus Size черный XXL-XXXL</t>
  </si>
  <si>
    <t xml:space="preserve"> Оригинальные открытые сзади трусики Zoe Plus Size черный XXL-XXXL</t>
  </si>
  <si>
    <t xml:space="preserve"> Ажурные трусики-слипы с доступом и полуоткрытой попкой черный M</t>
  </si>
  <si>
    <t xml:space="preserve"> Ажурные трусики-слипы с доступом и полуоткрытой попкой черный S</t>
  </si>
  <si>
    <t xml:space="preserve"> Ажурные трусики-слипы с доступом и полуоткрытой попкой красный L</t>
  </si>
  <si>
    <t xml:space="preserve"> Ажурные трусики-слипы с доступом и полуоткрытой попкой красный S</t>
  </si>
  <si>
    <t xml:space="preserve"> Ажурные трусики-слипы с доступом и полуоткрытой попкой черный L</t>
  </si>
  <si>
    <t xml:space="preserve"> Ажурные трусики-слипы с доступом и полуоткрытой попкой красный M</t>
  </si>
  <si>
    <t xml:space="preserve"> Контактные трусики-стринги Monroe Plus Size на молнии красный XXL-XXXL</t>
  </si>
  <si>
    <t xml:space="preserve"> Контактные трусики-стринги Monroe Plus Size на молнии черный XXL-XXXL</t>
  </si>
  <si>
    <t xml:space="preserve"> Контактные трусики-стринги Monroe Plus Size на молнии белый XXL-XXXL</t>
  </si>
  <si>
    <t xml:space="preserve"> Нежные полупрозрачные ажурные трусики-стринги белый L-XL</t>
  </si>
  <si>
    <t xml:space="preserve"> Нежные полупрозрачные ажурные трусики-стринги белый S-M</t>
  </si>
  <si>
    <t xml:space="preserve"> Красивые трусики-стринги с цветочным кружевом цвета малины черный с малиновым S-M</t>
  </si>
  <si>
    <t xml:space="preserve"> Красивые трусики-стринги с цветочным кружевом цвета малины черный с малиновым L-XL</t>
  </si>
  <si>
    <t xml:space="preserve"> Трусики с треугольным вырезом спереди черный M</t>
  </si>
  <si>
    <t xml:space="preserve"> Трусики с треугольным вырезом спереди черный L</t>
  </si>
  <si>
    <t xml:space="preserve"> Трусики с треугольным вырезом спереди черный S</t>
  </si>
  <si>
    <t xml:space="preserve"> Высокие трусики с декоративной шнуровкой сзади черный S</t>
  </si>
  <si>
    <t xml:space="preserve"> Высокие трусики с декоративной шнуровкой сзади черный L</t>
  </si>
  <si>
    <t xml:space="preserve"> Высокие трусики с декоративной шнуровкой сзади черный M</t>
  </si>
  <si>
    <t xml:space="preserve"> Миниатюрные трусики-стринги из кружев черный M</t>
  </si>
  <si>
    <t xml:space="preserve"> Миниатюрные трусики-стринги из кружев бордовый M</t>
  </si>
  <si>
    <t xml:space="preserve"> Миниатюрные трусики-стринги из кружев черный L</t>
  </si>
  <si>
    <t xml:space="preserve"> Миниатюрные трусики-стринги из кружев бордовый L</t>
  </si>
  <si>
    <t xml:space="preserve"> Миниатюрные трусики-стринги из кружев черный S</t>
  </si>
  <si>
    <t xml:space="preserve"> Миниатюрные трусики-стринги из кружев бордовый S</t>
  </si>
  <si>
    <t xml:space="preserve"> Интригующие трусики из кружев черный S</t>
  </si>
  <si>
    <t xml:space="preserve"> Интригующие трусики из кружев черный L</t>
  </si>
  <si>
    <t xml:space="preserve"> Интригующие трусики из кружев черный M</t>
  </si>
  <si>
    <t xml:space="preserve"> Трусики-стринги со сдвоенными резинками черный M</t>
  </si>
  <si>
    <t xml:space="preserve"> Трусики-стринги со сдвоенными резинками черный L</t>
  </si>
  <si>
    <t xml:space="preserve"> Трусики-стринги со сдвоенными резинками черный S</t>
  </si>
  <si>
    <t xml:space="preserve"> Женские трусики с вырезом сзади черный S</t>
  </si>
  <si>
    <t xml:space="preserve"> Женские трусики с вырезом сзади черный L</t>
  </si>
  <si>
    <t xml:space="preserve"> Женские трусики с вырезом сзади бордовый L</t>
  </si>
  <si>
    <t xml:space="preserve"> Женские трусики с вырезом сзади бордовый S</t>
  </si>
  <si>
    <t xml:space="preserve"> Женские трусики с вырезом сзади черный M</t>
  </si>
  <si>
    <t xml:space="preserve"> Женские трусики с вырезом сзади бордовый M</t>
  </si>
  <si>
    <t xml:space="preserve"> Трусики-стринги с тройными регулируемыми бретелями черный M</t>
  </si>
  <si>
    <t xml:space="preserve"> Трусики-стринги с тройными регулируемыми бретелями черный L</t>
  </si>
  <si>
    <t xml:space="preserve"> Трусики-стринги с тройными регулируемыми бретелями черный S</t>
  </si>
  <si>
    <t xml:space="preserve"> Трусики с кружевной отделкой черный S</t>
  </si>
  <si>
    <t xml:space="preserve"> Трусики с кружевной отделкой черный L</t>
  </si>
  <si>
    <t xml:space="preserve"> Трусики с кружевной отделкой черный M</t>
  </si>
  <si>
    <t xml:space="preserve"> Трусики-стринги с маленькими бантами в тон черный M</t>
  </si>
  <si>
    <t xml:space="preserve"> Трусики-стринги с маленькими бантами в тон черный L</t>
  </si>
  <si>
    <t xml:space="preserve"> Трусики-стринги с маленькими бантами в тон черный S</t>
  </si>
  <si>
    <t xml:space="preserve"> Роскошные трусики с доступом черный S</t>
  </si>
  <si>
    <t xml:space="preserve"> Роскошные трусики с доступом черный L</t>
  </si>
  <si>
    <t xml:space="preserve"> Роскошные трусики с доступом черный M</t>
  </si>
  <si>
    <t xml:space="preserve"> Изысканные трусики с пажами для чулок черный M</t>
  </si>
  <si>
    <t xml:space="preserve"> Изысканные трусики с пажами для чулок черный L</t>
  </si>
  <si>
    <t xml:space="preserve"> Изысканные трусики с пажами для чулок черный S</t>
  </si>
  <si>
    <t xml:space="preserve"> Очаровательные трусики Dalida Plus Size с нежным кружевом синий с черным XXL-XXXL</t>
  </si>
  <si>
    <t xml:space="preserve"> Кружевные трусики Elza со шнуровкой синий с черным L-XL</t>
  </si>
  <si>
    <t xml:space="preserve"> Кружевные трусики Elza со шнуровкой синий с черным S-M</t>
  </si>
  <si>
    <t xml:space="preserve"> Кружевные трусики Elza Plus Size со шнуровкой синий с черным XXL-XXXL</t>
  </si>
  <si>
    <t xml:space="preserve"> Эффектные трусики Linette Plus Size с тройными бретелями с одной стороны черный XXL-XXXL</t>
  </si>
  <si>
    <t xml:space="preserve"> Оригинальные трусики Lotte Plus Size с открытыми ягодицами белый XXL-XXXL</t>
  </si>
  <si>
    <t xml:space="preserve"> Кокетливые трусики Matilde Plus Size с прозрачной задней частью черный XXL-XXXL</t>
  </si>
  <si>
    <t xml:space="preserve"> Пикантные контактные трусики Trini Plus Size с кружевами черный XXL-XXXL</t>
  </si>
  <si>
    <t xml:space="preserve"> Роскошные контактные трусики-стринги Violante Plus Size с вышивкой черный XXL-XXXL</t>
  </si>
  <si>
    <t xml:space="preserve"> Контактные трусики Aretusa Plus Size с бахромой черный XXXL</t>
  </si>
  <si>
    <t xml:space="preserve"> Контактные трусики Aretusa Plus Size с бахромой черный XXL</t>
  </si>
  <si>
    <t xml:space="preserve"> Контактные трусики Aretusa с бахромой черный XL</t>
  </si>
  <si>
    <t xml:space="preserve"> Контактные трусики Aretusa с бахромой черный S</t>
  </si>
  <si>
    <t xml:space="preserve"> Контактные трусики Aretusa с бахромой черный L</t>
  </si>
  <si>
    <t xml:space="preserve"> Контактные трусики Aretusa с бахромой черный M</t>
  </si>
  <si>
    <t xml:space="preserve"> Трусики-бикини из цепочек золотистого цвета золотистый</t>
  </si>
  <si>
    <t xml:space="preserve"> Трусики-бикини из цепочек серебристого цвета серебристый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</si>
  <si>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Женские трусики с кисточкой на лицевой части и пикантным вырезом на попе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</si>
  <si>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Женские трусики-стринги с надписью и щекоталкой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</si>
  <si>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Яркие трусики-стринги STRING THING FISHNET G-STRING </d:t>
    </d:r>
    <d:r xmlns:d="http://schemas.openxmlformats.org/spreadsheetml/2006/main">
      <d:rPr>
        <d:sz val="11"/>
        <d:color rgb="FF000000"/>
        <d:rFont val="Calibri"/>
      </d:rPr>
      <d:t>розовый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</si>
  <si>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на боковых завязках LESS IS MORE MICRO G-STRING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</si>
  <si>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Нежные кружевные трусики с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</si>
  <si>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Нежные кружевные трусики с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</si>
  <si>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</si>
  <si>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</si>
  <si>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Кружевные трусики-стринги Mystique Plus Size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</si>
  <si>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Элегантные трусики с цветочным рисунком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</si>
  <si>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Элегантные трусики с цветочным рисунком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</si>
  <si>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Ажурные трусики-стринги с подвеской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</si>
  <si>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Ажурные трусики-стринги с подвеской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</si>
  <si>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кружевные трусики-стринги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</si>
  <si>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кружевные трусики-стринги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</si>
  <si>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кружевные трусики-стринги с бантиком и подвеской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</si>
  <si>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кружевные трусики-стринги с бантиком и подвеской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</si>
  <si>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Контактные трусики с широким кружевным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</si>
  <si>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Контактные трусики с широким кружевным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</si>
  <si>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Розовые женские трусики с бантиками </d:t>
    </d:r>
    <d:r xmlns:d="http://schemas.openxmlformats.org/spreadsheetml/2006/main">
      <d:rPr>
        <d:sz val="11"/>
        <d:color rgb="FF000000"/>
        <d:rFont val="Calibri"/>
      </d:rPr>
      <d:t>ярко-розовый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</si>
  <si>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трусики-стринги с дополнительными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</si>
  <si>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трусики-стринги с дополнительными бретелями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</si>
  <si>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трусики-стринги из нежного кружева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</si>
  <si>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Соблазнительные трусики-стринги из нежного кружева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</si>
  <si>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Chantal с треугольником из страз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</si>
  <si>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Chantal с треугольником из страз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</si>
  <si>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Chantal с треугольником из страз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</si>
  <si>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Lillian с декором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</si>
  <si>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Lillian с декором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</si>
  <si>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Lillian с декором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</si>
  <si>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Janet с украшением из страз на поясе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</si>
  <si>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Janet с украшением из страз на поясе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</si>
  <si>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Belinda со стразами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</si>
  <si>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Belinda со стразами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</si>
  <si>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Candice с бахромой из стразов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</si>
  <si>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Stella с цепочками и стразами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</si>
  <si>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Stella с цепочками и стразами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</si>
  <si>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Sheila со стразами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</si>
  <si>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Denise со стразами сзади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</si>
  <si>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Aileen со стразами и бусинами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</si>
  <si>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Aileen со стразами и бусинами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</si>
  <si>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Terri со стразами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</si>
  <si>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Terri со стразами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</si>
  <si>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Terri со стразами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</si>
  <si>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Pearl со стразами и жемчужинками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</si>
  <si>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 Gina со стразами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</si>
  <si>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 Gina со стразами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</si>
  <si>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 Gina со стразами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</si>
  <si>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Fiona со стразами на поясе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</si>
  <si>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Fiona со стразами на поясе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</si>
  <si>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Amber со стразами и кристаллом на поясе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</si>
  <si>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Amber со стразами и кристаллом на поясе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</si>
  <si>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Laura с украшением из страз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</si>
  <si>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Laura с украшением из страз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</si>
  <si>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Laura с украшением из страз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</si>
  <si>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Valerie с декором из страз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</si>
  <si>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Valerie с декором из страз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</si>
  <si>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Valerie с декором из страз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</si>
  <si>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Jamie с сердечком из страз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</si>
  <si>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Jamie с сердечком из страз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</si>
  <si>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Jamie с сердечком из страз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</si>
  <si>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Ella с перемычкой из страз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</si>
  <si>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Ella с перемычкой из страз </d:t>
    </d:r>
    <d:r xmlns:d="http://schemas.openxmlformats.org/spreadsheetml/2006/main">
      <d:rPr>
        <d:sz val="11"/>
        <d:color rgb="FF000000"/>
        <d:rFont val="Calibri"/>
      </d:rPr>
      <d:t>красный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</si>
  <si>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Трусики-стринги Mia со стразами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</si>
  <si>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Кружевные трусики-стринги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</si>
  <si>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Кружевные трусики-стринги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</si>
  <si>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Ажурные контактные трусики-стринги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</si>
  <si>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Ажурные контактные трусики-стринги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</si>
  <si>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Роскошные трусики-стринги из сеточки с широким кружевным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</si>
  <si>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Роскошные трусики-стринги из сеточки с широким кружевным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</si>
  <si>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Кружевные трусики-шорты с цветочным рисунком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</si>
  <si>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Кружевные трусики-шорты с цветочным рисунком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</si>
  <si>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Ажурные трусики-шорты Plus Size с цветочным рисунком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</si>
  <si>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t xml:space="preserve">    Чулки, пояса для чулок</t>
  </si>
  <si>
    <t xml:space="preserve"> Кружевной пояс и трусики-стринги белый S-M</t>
  </si>
  <si>
    <t xml:space="preserve"> Кружевной пояс и трусики-стринги черный S-M</t>
  </si>
  <si>
    <t xml:space="preserve"> Кружевной пояс и трусики-стринги черный M-L</t>
  </si>
  <si>
    <t xml:space="preserve"> Кружевной пояс и трусики-стринги белый M-L</t>
  </si>
  <si>
    <t xml:space="preserve"> Кружевной пояс для чулок белый M-L</t>
  </si>
  <si>
    <t xml:space="preserve"> Кружевной пояс для чулок черный M-L</t>
  </si>
  <si>
    <t xml:space="preserve"> Кружевной пояс для чулок черный S-M</t>
  </si>
  <si>
    <t xml:space="preserve"> Кружевной пояс для чулок белый S-M</t>
  </si>
  <si>
    <t xml:space="preserve"> Кружевные чулки и пояс красный 3 РАЗМЕР</t>
  </si>
  <si>
    <t xml:space="preserve"> Кружевные чулки и пояс черный 3 РАЗМЕР</t>
  </si>
  <si>
    <t xml:space="preserve"> Кружевные чулки и пояс белый 3 РАЗМЕР</t>
  </si>
  <si>
    <t xml:space="preserve"> Кружевные чулки и пояс белый 2 РАЗМЕР</t>
  </si>
  <si>
    <t xml:space="preserve"> Кружевные чулки и пояс черный 2 РАЗМЕР</t>
  </si>
  <si>
    <t xml:space="preserve"> Кружевные чулки и пояс красный 2 РАЗМЕР</t>
  </si>
  <si>
    <t xml:space="preserve"> Кружевные чулки и пояс красный 4 РАЗМЕР</t>
  </si>
  <si>
    <t xml:space="preserve"> Кружевные чулки и пояс черный 4 РАЗМЕР</t>
  </si>
  <si>
    <t xml:space="preserve"> Кружевные чулки и пояс белый 4 РАЗМЕР</t>
  </si>
  <si>
    <t xml:space="preserve"> Кружевные чулки и пояс белый 5 РАЗМЕР</t>
  </si>
  <si>
    <t xml:space="preserve"> Кружевные чулки и пояс красный 5 РАЗМЕР</t>
  </si>
  <si>
    <t xml:space="preserve"> Кружевные чулки и пояс черный 5 РАЗМЕР</t>
  </si>
  <si>
    <t xml:space="preserve"> Чулки с кружевной резинкой белый 4 РАЗМЕР</t>
  </si>
  <si>
    <t xml:space="preserve"> Чулки с кружевной резинкой черный 4 РАЗМЕР</t>
  </si>
  <si>
    <t xml:space="preserve"> Чулки с кружевной резинкой красный 4 РАЗМЕР</t>
  </si>
  <si>
    <t xml:space="preserve"> Чулки с кружевной резинкой красный 2 РАЗМЕР</t>
  </si>
  <si>
    <t xml:space="preserve"> Чулки с кружевной резинкой черный 2 РАЗМЕР</t>
  </si>
  <si>
    <t xml:space="preserve"> Чулки с кружевной резинкой белый 3 РАЗМЕР</t>
  </si>
  <si>
    <t xml:space="preserve"> Чулки с кружевной резинкой белый 2 РАЗМЕР</t>
  </si>
  <si>
    <t xml:space="preserve"> Чулки с кружевной резинкой красный 3 РАЗМЕР</t>
  </si>
  <si>
    <t xml:space="preserve"> Чулки с кружевной резинкой черный 3 РАЗМЕР</t>
  </si>
  <si>
    <t xml:space="preserve"> Чулки в сетку с кружевной резинкой черный 3 РАЗМЕР</t>
  </si>
  <si>
    <t xml:space="preserve"> Чулки в сетку с кружевной резинкой красный 3 РАЗМЕР</t>
  </si>
  <si>
    <t xml:space="preserve"> Чулки в сетку с кружевной резинкой белый 2 РАЗМЕР</t>
  </si>
  <si>
    <t xml:space="preserve"> Чулки в сетку с кружевной резинкой белый 3 РАЗМЕР</t>
  </si>
  <si>
    <t xml:space="preserve"> Чулки в сетку с кружевной резинкой черный 2 РАЗМЕР</t>
  </si>
  <si>
    <t xml:space="preserve"> Чулки в сетку с кружевной резинкой красный 2 РАЗМЕР</t>
  </si>
  <si>
    <t xml:space="preserve"> Чулки в сетку с кружевной резинкой красный 4 РАЗМЕР</t>
  </si>
  <si>
    <t xml:space="preserve"> Чулки в сетку с кружевной резинкой черный 4 РАЗМЕР</t>
  </si>
  <si>
    <t xml:space="preserve"> Чулки в сетку с кружевной резинкой белый 4 РАЗМЕР</t>
  </si>
  <si>
    <t xml:space="preserve"> Пояс с чулкодержателями и чулки в сетку черный 4 РАЗМЕР</t>
  </si>
  <si>
    <t xml:space="preserve"> Пояс с чулкодержателями и чулки в сетку черный 2 РАЗМЕР</t>
  </si>
  <si>
    <t xml:space="preserve"> Пояс с чулкодержателями и чулки в сетку черный 5 РАЗМЕР</t>
  </si>
  <si>
    <t xml:space="preserve"> Пояс с чулкодержателями и чулки в сетку черный 3 РАЗМЕР</t>
  </si>
  <si>
    <t xml:space="preserve"> Кружевной пояс для чулок с трусиками-стринг белый S-M</t>
  </si>
  <si>
    <t xml:space="preserve"> Кружевной пояс для чулок с трусиками-стринг черный S-M</t>
  </si>
  <si>
    <t xml:space="preserve"> Кружевной пояс для чулок с трусиками-стринг черный M-L</t>
  </si>
  <si>
    <t xml:space="preserve"> Кружевной пояс для чулок с трусиками-стринг белый M-L</t>
  </si>
  <si>
    <t xml:space="preserve"> Чулки с красными бантами «Доктор» белый One Size</t>
  </si>
  <si>
    <t xml:space="preserve"> Чёрные чулки в сетку со значком «PoliceW черный One Size</t>
  </si>
  <si>
    <t xml:space="preserve"> Белые чулки c белыми бантами и оборками белый One Size</t>
  </si>
  <si>
    <t xml:space="preserve"> Новогодние чулки с бантами белый One Size</t>
  </si>
  <si>
    <t xml:space="preserve"> Новогодние чулки в крупную сетку красный One Size</t>
  </si>
  <si>
    <t xml:space="preserve"> Чёрные чулки с гладкой резинкой черный One Size</t>
  </si>
  <si>
    <t xml:space="preserve"> Черные чулки c фигурным вырезом сзади черный One Size</t>
  </si>
  <si>
    <t xml:space="preserve"> Черные чулки c бантами и оборками черный One Size</t>
  </si>
  <si>
    <t xml:space="preserve"> Черные чулки в сетку c белым кружевным верхом черный One Size</t>
  </si>
  <si>
    <t xml:space="preserve"> Черные чулки в сетку c красным кружевным верхом черный One Size</t>
  </si>
  <si>
    <t xml:space="preserve"> Плотные черные чулки со стразами черный One Size</t>
  </si>
  <si>
    <t xml:space="preserve"> Комплект из кружевного пояса и трусиков-стринг белый S-M</t>
  </si>
  <si>
    <t xml:space="preserve"> Комплект из кружевного пояса и трусиков-стринг черный M-L</t>
  </si>
  <si>
    <t xml:space="preserve"> Комплект из кружевного пояса и трусиков-стринг белый M-L</t>
  </si>
  <si>
    <t xml:space="preserve"> Комплект из кружевного пояса и трусиков-стринг черный S-M</t>
  </si>
  <si>
    <t xml:space="preserve"> Классические чулки с кружевной резинкой на силиконе черный 3 РАЗМЕР</t>
  </si>
  <si>
    <t xml:space="preserve"> Классические чулки с кружевной резинкой на силиконе красный 3 РАЗМЕР</t>
  </si>
  <si>
    <t xml:space="preserve"> Классические чулки с кружевной резинкой на силиконе белый 2 РАЗМЕР</t>
  </si>
  <si>
    <t xml:space="preserve"> Классические чулки с кружевной резинкой на силиконе белый 3 РАЗМЕР</t>
  </si>
  <si>
    <t xml:space="preserve"> Классические чулки с кружевной резинкой на силиконе белый 4 РАЗМЕР</t>
  </si>
  <si>
    <t xml:space="preserve"> Классические чулки с кружевной резинкой на силиконе черный 2 РАЗМЕР</t>
  </si>
  <si>
    <t xml:space="preserve"> Классические чулки с кружевной резинкой на силиконе красный 2 РАЗМЕР</t>
  </si>
  <si>
    <t xml:space="preserve"> Классические чулки с кружевной резинкой на силиконе черный 4 РАЗМЕР</t>
  </si>
  <si>
    <t xml:space="preserve"> Классические чулки с кружевной резинкой на силиконе красный 4 РАЗМЕР</t>
  </si>
  <si>
    <t xml:space="preserve"> Чулки с резинкой без рисунка красный 4 РАЗМЕР</t>
  </si>
  <si>
    <t xml:space="preserve"> Чулки с резинкой без рисунка черный 4 РАЗМЕР</t>
  </si>
  <si>
    <t xml:space="preserve"> Чулки с резинкой без рисунка красный 2 РАЗМЕР</t>
  </si>
  <si>
    <t xml:space="preserve"> Чулки с резинкой без рисунка черный 2 РАЗМЕР</t>
  </si>
  <si>
    <t xml:space="preserve"> Чулки с резинкой без рисунка белый 4 РАЗМЕР</t>
  </si>
  <si>
    <t xml:space="preserve"> Чулки с резинкой без рисунка белый 2 РАЗМЕР</t>
  </si>
  <si>
    <t xml:space="preserve"> Чулки с резинкой без рисунка белый 3 РАЗМЕР</t>
  </si>
  <si>
    <t xml:space="preserve"> Чулки с резинкой без рисунка красный 3 РАЗМЕР</t>
  </si>
  <si>
    <t xml:space="preserve"> Чулки с резинкой без рисунка черный 3 РАЗМЕР</t>
  </si>
  <si>
    <t xml:space="preserve"> Чулки в сетку на кружевной резинке с силиконовыми полосками черный 3 РАЗМЕР</t>
  </si>
  <si>
    <t xml:space="preserve"> Чулки в сетку на кружевной резинке с силиконовыми полосками красный 3 РАЗМЕР</t>
  </si>
  <si>
    <t xml:space="preserve"> Чулки в сетку на кружевной резинке с силиконовыми полосками белый 3 РАЗМЕР</t>
  </si>
  <si>
    <t xml:space="preserve"> Чулки в сетку на кружевной резинке с силиконовыми полосками белый 2 РАЗМЕР</t>
  </si>
  <si>
    <t xml:space="preserve"> Чулки в сетку на кружевной резинке с силиконовыми полосками белый 4 РАЗМЕР</t>
  </si>
  <si>
    <t xml:space="preserve"> Чулки в сетку на кружевной резинке с силиконовыми полосками красный 2 РАЗМЕР</t>
  </si>
  <si>
    <t xml:space="preserve"> Чулки в сетку на кружевной резинке с силиконовыми полосками черный 2 РАЗМЕР</t>
  </si>
  <si>
    <t xml:space="preserve"> Чулки в сетку на кружевной резинке с силиконовыми полосками черный 4 РАЗМЕР</t>
  </si>
  <si>
    <t xml:space="preserve"> Чулки в сетку на кружевной резинке с силиконовыми полосками красный 4 РАЗМЕР</t>
  </si>
  <si>
    <t xml:space="preserve"> Чулки в крупную сетку на кружевной резинке с силиконовыми полосками красный 4 РАЗМЕР</t>
  </si>
  <si>
    <t xml:space="preserve"> Чулки в крупную сетку на кружевной резинке с силиконовыми полосками белый 4 РАЗМЕР</t>
  </si>
  <si>
    <t xml:space="preserve"> Чулки в крупную сетку на кружевной резинке с силиконовыми полосками черный 4 РАЗМЕР</t>
  </si>
  <si>
    <t xml:space="preserve"> Чулки в крупную сетку на кружевной резинке с силиконовыми полосками черный 2 РАЗМЕР</t>
  </si>
  <si>
    <t xml:space="preserve"> Чулки в крупную сетку на кружевной резинке с силиконовыми полосками красный 2 РАЗМЕР</t>
  </si>
  <si>
    <t xml:space="preserve"> Чулки в крупную сетку на кружевной резинке с силиконовыми полосками белый 2 РАЗМЕР</t>
  </si>
  <si>
    <t xml:space="preserve"> Чулки в крупную сетку на кружевной резинке с силиконовыми полосками белый 3 РАЗМЕР</t>
  </si>
  <si>
    <t xml:space="preserve"> Чулки в крупную сетку на кружевной резинке с силиконовыми полосками красный 3 РАЗМЕР</t>
  </si>
  <si>
    <t xml:space="preserve"> Чулки в крупную сетку на кружевной резинке с силиконовыми полосками черный 3 РАЗМЕР</t>
  </si>
  <si>
    <t xml:space="preserve"> Классические чулки с кружевной резинкой на силиконе белый 5 РАЗМЕР</t>
  </si>
  <si>
    <t xml:space="preserve"> Классические чулки с кружевной резинкой на силиконе черный 5 РАЗМЕР</t>
  </si>
  <si>
    <t xml:space="preserve"> Классические чулки с кружевной резинкой на силиконе красный 5 РАЗМЕР</t>
  </si>
  <si>
    <t xml:space="preserve"> Классические чулки с кружевной резинкой на силиконе красный 6 РАЗМЕР</t>
  </si>
  <si>
    <t xml:space="preserve"> Классические чулки с кружевной резинкой на силиконе черный 6 РАЗМЕР</t>
  </si>
  <si>
    <t xml:space="preserve"> Классические чулки с кружевной резинкой на силиконе белый 6 РАЗМЕР</t>
  </si>
  <si>
    <t xml:space="preserve"> Чулки с кружевной резинкой белый 6 РАЗМЕР</t>
  </si>
  <si>
    <t xml:space="preserve"> Чулки с кружевной резинкой черный 6 РАЗМЕР</t>
  </si>
  <si>
    <t xml:space="preserve"> Чулки с кружевной резинкой красный 6 РАЗМЕР</t>
  </si>
  <si>
    <t xml:space="preserve"> Чулки с кружевной резинкой красный 5 РАЗМЕР</t>
  </si>
  <si>
    <t xml:space="preserve"> Чулки с кружевной резинкой черный 5 РАЗМЕР</t>
  </si>
  <si>
    <t xml:space="preserve"> Чулки с кружевной резинкой белый 5 РАЗМЕР</t>
  </si>
  <si>
    <t xml:space="preserve"> Чулки в сетку с кружевной резинкой белый 5 РАЗМЕР</t>
  </si>
  <si>
    <t xml:space="preserve"> Чулки в сетку с кружевной резинкой черный 5 РАЗМЕР</t>
  </si>
  <si>
    <t xml:space="preserve"> Чулки в сетку с кружевной резинкой красный 5 РАЗМЕР</t>
  </si>
  <si>
    <t xml:space="preserve"> Чулки в сетку с кружевной резинкой красный 6 РАЗМЕР</t>
  </si>
  <si>
    <t xml:space="preserve"> Чулки в сетку с кружевной резинкой черный 6 РАЗМЕР</t>
  </si>
  <si>
    <t xml:space="preserve"> Чулки в сетку на кружевной резинке с силиконовыми полосками черный 6 РАЗМЕР</t>
  </si>
  <si>
    <t xml:space="preserve"> Чулки в сетку на кружевной резинке с силиконовыми полосками красный 6 РАЗМЕР</t>
  </si>
  <si>
    <t xml:space="preserve"> Чулки в сетку на кружевной резинке с силиконовыми полосками белый 6 РАЗМЕР</t>
  </si>
  <si>
    <t xml:space="preserve"> Чулки в сетку на кружевной резинке с силиконовыми полосками красный 5 РАЗМЕР</t>
  </si>
  <si>
    <t xml:space="preserve"> Чулки в сетку на кружевной резинке с силиконовыми полосками белый 5 РАЗМЕР</t>
  </si>
  <si>
    <t xml:space="preserve"> Чулки в сетку на кружевной резинке с силиконовыми полосками черный 5 РАЗМЕР</t>
  </si>
  <si>
    <t xml:space="preserve"> Чулки в крупную сетку на кружевной резинке с силиконовыми полосками белый 5 РАЗМЕР</t>
  </si>
  <si>
    <t xml:space="preserve"> Чулки в крупную сетку на кружевной резинке с силиконовыми полосками черный 5 РАЗМЕР</t>
  </si>
  <si>
    <t xml:space="preserve"> Чулки в крупную сетку на кружевной резинке с силиконовыми полосками красный 5 РАЗМЕР</t>
  </si>
  <si>
    <t xml:space="preserve"> Чулки в крупную сетку на кружевной резинке с силиконовыми полосками белый 6 РАЗМЕР</t>
  </si>
  <si>
    <t xml:space="preserve"> Чулки в крупную сетку на кружевной резинке с силиконовыми полосками черный 6 РАЗМЕР</t>
  </si>
  <si>
    <t xml:space="preserve"> Чулки в крупную сетку на кружевной резинке с силиконовыми полосками красный 6 РАЗМЕР</t>
  </si>
  <si>
    <t xml:space="preserve"> Чулки-сетка в комплекте с поясом красный 4 РАЗМЕР</t>
  </si>
  <si>
    <t xml:space="preserve"> Чулки-сетка в комплекте с поясом черный 4 РАЗМЕР</t>
  </si>
  <si>
    <t xml:space="preserve"> Чулки-сетка в комплекте с поясом белый 4 РАЗМЕР</t>
  </si>
  <si>
    <t xml:space="preserve"> Чулки-сетка в комплекте с поясом черный 2 РАЗМЕР</t>
  </si>
  <si>
    <t xml:space="preserve"> Чулки-сетка в комплекте с поясом красный 2 РАЗМЕР</t>
  </si>
  <si>
    <t xml:space="preserve"> Чулки-сетка в комплекте с поясом черный 3 РАЗМЕР</t>
  </si>
  <si>
    <t xml:space="preserve"> Чулки-сетка в комплекте с поясом белый 3 РАЗМЕР</t>
  </si>
  <si>
    <t xml:space="preserve"> Чулки-сетка в комплекте с поясом белый 2 РАЗМЕР</t>
  </si>
  <si>
    <t xml:space="preserve"> Чулки-сетка в комплекте с поясом красный 3 РАЗМЕР</t>
  </si>
  <si>
    <t xml:space="preserve"> Сетевые чулки со швом сзади черный 3 РАЗМЕР</t>
  </si>
  <si>
    <t xml:space="preserve"> Сетевые чулки со швом сзади черный 2 РАЗМЕР</t>
  </si>
  <si>
    <t xml:space="preserve"> Сетевые чулки со швом сзади черный 4 РАЗМЕР</t>
  </si>
  <si>
    <t xml:space="preserve"> Сетевые чулки со швом сзади черный 5 РАЗМЕР</t>
  </si>
  <si>
    <t xml:space="preserve"> Чулки с кружевной резинкой и швом сзади белый 5 РАЗМЕР</t>
  </si>
  <si>
    <t xml:space="preserve"> Чулки с кружевной резинкой и швом сзади черный 5 РАЗМЕР</t>
  </si>
  <si>
    <t xml:space="preserve"> Чулки с кружевной резинкой и швом сзади красный 5 РАЗМЕР</t>
  </si>
  <si>
    <t xml:space="preserve"> Чулки с кружевной резинкой и швом сзади белый 4 РАЗМЕР</t>
  </si>
  <si>
    <t xml:space="preserve"> Чулки с кружевной резинкой и швом сзади красный 4 РАЗМЕР</t>
  </si>
  <si>
    <t xml:space="preserve"> Чулки с кружевной резинкой и швом сзади черный 4 РАЗМЕР</t>
  </si>
  <si>
    <t xml:space="preserve"> Чулки с кружевной резинкой и швом сзади черный 2 РАЗМЕР</t>
  </si>
  <si>
    <t xml:space="preserve"> Чулки с кружевной резинкой и швом сзади красный 2 РАЗМЕР</t>
  </si>
  <si>
    <t xml:space="preserve"> Чулки с кружевной резинкой и швом сзади черный 3 РАЗМЕР</t>
  </si>
  <si>
    <t xml:space="preserve"> Чулки с кружевной резинкой и швом сзади красный 3 РАЗМЕР</t>
  </si>
  <si>
    <t xml:space="preserve"> Чулки с кружевной резинкой и швом сзади белый 2 РАЗМЕР</t>
  </si>
  <si>
    <t xml:space="preserve"> Чулки с кружевной резинкой и швом сзади белый 3 РАЗМЕР</t>
  </si>
  <si>
    <t xml:space="preserve"> Кружевной пояс для чулок черный XL</t>
  </si>
  <si>
    <t xml:space="preserve"> Кружевной пояс для чулок красный XL</t>
  </si>
  <si>
    <t xml:space="preserve"> Кружевной пояс для чулок белый XL</t>
  </si>
  <si>
    <t xml:space="preserve"> Кружевной пояс для чулок белый XXL</t>
  </si>
  <si>
    <t xml:space="preserve"> Кружевной пояс для чулок красный XXL</t>
  </si>
  <si>
    <t xml:space="preserve"> Кружевной пояс для чулок черный XXL</t>
  </si>
  <si>
    <t xml:space="preserve"> Кружевной пояс для чулок красный XXXL</t>
  </si>
  <si>
    <t xml:space="preserve"> Кружевной пояс для чулок черный XXXL</t>
  </si>
  <si>
    <t xml:space="preserve"> Кружевной пояс для чулок белый XXXL</t>
  </si>
  <si>
    <t xml:space="preserve"> Ажурный комплект белый XXXL</t>
  </si>
  <si>
    <t xml:space="preserve"> Ажурный комплект черный XXL</t>
  </si>
  <si>
    <t xml:space="preserve"> Ажурный комплект белый XXL</t>
  </si>
  <si>
    <t xml:space="preserve"> Ажурный комплект белый XL</t>
  </si>
  <si>
    <t xml:space="preserve"> Ажурный комплект черный XL</t>
  </si>
  <si>
    <t xml:space="preserve"> Ажурный комплект черный XXXL</t>
  </si>
  <si>
    <t xml:space="preserve"> Высокие чёрные чулки в сетку «Five Star French Maid» черный с белым S-M</t>
  </si>
  <si>
    <t xml:space="preserve"> Чёрные чулки с белой кружевной резинкой «Shiny French Maid» черный с белым S-M</t>
  </si>
  <si>
    <t xml:space="preserve"> Чулки с узкой ажурной резинкой белый 5 РАЗМЕР</t>
  </si>
  <si>
    <t xml:space="preserve"> Чулки с узкой ажурной резинкой черный 5 РАЗМЕР</t>
  </si>
  <si>
    <t xml:space="preserve"> Чулки с узкой ажурной резинкой белый 6 РАЗМЕР</t>
  </si>
  <si>
    <t xml:space="preserve"> Чулки с узкой ажурной резинкой черный 6 РАЗМЕР</t>
  </si>
  <si>
    <t xml:space="preserve"> Чулки в сетку с ажурным верхом и тонкой резинкой черный One Size</t>
  </si>
  <si>
    <t xml:space="preserve"> Чулки с атласной лентой и бантами черный One Size</t>
  </si>
  <si>
    <t xml:space="preserve"> Чулки с розовыми бантами черный One Size</t>
  </si>
  <si>
    <t xml:space="preserve"> Чулки в ромбик с ажурной резинкой черный One Size</t>
  </si>
  <si>
    <t xml:space="preserve"> Чулки в ромбик с ажурной резинкой черный с розовым One Size</t>
  </si>
  <si>
    <t xml:space="preserve"> Чулки в сетку с кружевной резинкой белый One Size</t>
  </si>
  <si>
    <t xml:space="preserve"> Чулки в сетку с кружевной резинкой черный One Size</t>
  </si>
  <si>
    <t xml:space="preserve"> Чулки в сетку с кружевной резинкой красный One Size</t>
  </si>
  <si>
    <t xml:space="preserve"> Чулки в крупную сетку с тонкой резинкой красный One Size</t>
  </si>
  <si>
    <t xml:space="preserve"> Чулки в крупную сетку с тонкой резинкой черный One Size</t>
  </si>
  <si>
    <t xml:space="preserve"> Чулки в крупную сетку с тонкой резинкой белый One Size</t>
  </si>
  <si>
    <t xml:space="preserve"> Чулки в крупную сетку с тонкой резинкой розовый One Size</t>
  </si>
  <si>
    <t xml:space="preserve"> Чулки в мелкую сетку на тонкой резинке красный One Size</t>
  </si>
  <si>
    <t xml:space="preserve"> Чулки в мелкую сетку на тонкой резинке белый One Size</t>
  </si>
  <si>
    <t xml:space="preserve"> Чулки в мелкую сетку на тонкой резинке черный One Size</t>
  </si>
  <si>
    <t xml:space="preserve"> Чулки с белыми полосками на резинке черный с белым One Size</t>
  </si>
  <si>
    <t xml:space="preserve"> Пояс для чулок с подвязками из кружева с цветочным узором красный One Size</t>
  </si>
  <si>
    <t xml:space="preserve"> Пояс для чулок с подвязками из кружева с цветочным узором белый One Size</t>
  </si>
  <si>
    <t xml:space="preserve"> Прозрачные чулки с простой резинкой черный One Size</t>
  </si>
  <si>
    <t xml:space="preserve"> Прозрачные чулки с простой резинкой телесный One Size</t>
  </si>
  <si>
    <t xml:space="preserve"> Чулки в сетку с узкой резинкой черный One Size</t>
  </si>
  <si>
    <t xml:space="preserve"> Чулки в сетку с узкой резинкой белый One Size</t>
  </si>
  <si>
    <t xml:space="preserve"> Чулки в сетку с узкой резинкой розовый One Size</t>
  </si>
  <si>
    <t xml:space="preserve"> Чулки со стрелкой под пояс белый One Size</t>
  </si>
  <si>
    <t xml:space="preserve"> Чулки со стрелкой под пояс черный One Size</t>
  </si>
  <si>
    <t xml:space="preserve"> Чулки со стрелкой под пояс телесный One Size</t>
  </si>
  <si>
    <t xml:space="preserve"> Комплект из чулок и пояса с пажами черный One Size</t>
  </si>
  <si>
    <t xml:space="preserve"> Кружевной пояс для чулок черный One Size</t>
  </si>
  <si>
    <t xml:space="preserve"> Кружевной пояс для чулок красный One Size</t>
  </si>
  <si>
    <t xml:space="preserve"> Кружевной пояс для чулок белый One Size</t>
  </si>
  <si>
    <t xml:space="preserve"> Чулки в сетку «PASSION» красный One Size</t>
  </si>
  <si>
    <t xml:space="preserve"> Чулки в сетку «PASSION» черный One Size</t>
  </si>
  <si>
    <t xml:space="preserve"> Кружевной пояс с атласным бантиком красный 1X-2X</t>
  </si>
  <si>
    <t xml:space="preserve"> Кружевной пояс с атласным бантиком черный 1X-2X</t>
  </si>
  <si>
    <t xml:space="preserve"> Кружевной пояс с атласным бантиком белый 1X-2X</t>
  </si>
  <si>
    <t xml:space="preserve"> Чулки с атласными бантами на резинке черный One Size</t>
  </si>
  <si>
    <t xml:space="preserve"> Чулки в сетку с кружевными резинками и поясом черный One Size</t>
  </si>
  <si>
    <t xml:space="preserve"> Чулки с цветочным рисунком с резинкой на силиконе черный One Size</t>
  </si>
  <si>
    <t xml:space="preserve"> Чулки с цветочным рисунком с резинкой на силиконе черный 1X-2X</t>
  </si>
  <si>
    <t xml:space="preserve"> Сетчатые чулки «Garter» с широкой резинкой и поясом черный One Size</t>
  </si>
  <si>
    <t xml:space="preserve"> Сетчатые чулки «Garter» с широкой резинкой и поясом белый One Size</t>
  </si>
  <si>
    <t xml:space="preserve"> Чулки в мелкую сетку с кружевным поясом «Garter» белый One Size</t>
  </si>
  <si>
    <t xml:space="preserve"> Чулки в мелкую сетку с кружевным поясом «Garter» черный One Size</t>
  </si>
  <si>
    <t xml:space="preserve"> Чулки «Intensa» с широким цветочным кружевом черный S-M</t>
  </si>
  <si>
    <t xml:space="preserve"> Чулки «Intensa» с широким цветочным кружевом черный L-XL</t>
  </si>
  <si>
    <t xml:space="preserve"> Чулки «Garter» с поясом белый L-XL</t>
  </si>
  <si>
    <t xml:space="preserve"> Чулки «Garter» с поясом черный One Size</t>
  </si>
  <si>
    <t xml:space="preserve"> Чулки «Garter» с поясом белый S-M</t>
  </si>
  <si>
    <t xml:space="preserve"> Чулки «Roseberry» с широким кружевом черный S-M</t>
  </si>
  <si>
    <t xml:space="preserve"> Чулки «Roseberry» с широким кружевом черный L-XL</t>
  </si>
  <si>
    <t xml:space="preserve"> Чулки «Secred» с широким кружевом телесный L-XL</t>
  </si>
  <si>
    <t xml:space="preserve"> Чулки «Secred» с широким кружевом телесный S-M</t>
  </si>
  <si>
    <t xml:space="preserve"> Сетчатые чулки «Garter» на кружевном поясе черный One Size</t>
  </si>
  <si>
    <t xml:space="preserve"> Невысокие чулки с широким кружевом белый S-M</t>
  </si>
  <si>
    <t xml:space="preserve"> Невысокие чулки с широким кружевом белый L-XL</t>
  </si>
  <si>
    <t xml:space="preserve"> Кружевной пояс для чулок «Charms» с кристаллами белый L-XL</t>
  </si>
  <si>
    <t xml:space="preserve"> Кружевной пояс для чулок «Charms» с кристаллами черный L-XL</t>
  </si>
  <si>
    <t xml:space="preserve"> Кружевной пояс для чулок «Charms» с кристаллами белый S-M</t>
  </si>
  <si>
    <t xml:space="preserve"> Кружевной пояс для чулок «Charms» с кристаллами черный S-M</t>
  </si>
  <si>
    <t xml:space="preserve"> Пояс для чулок «Diamond» со сверкающими подвесками черный S-M</t>
  </si>
  <si>
    <t xml:space="preserve"> Пояс для чулок «Diamond» со сверкающими подвесками белый L-XL</t>
  </si>
  <si>
    <t xml:space="preserve"> Пояс для чулок «Diamond» со сверкающими подвесками белый S-M</t>
  </si>
  <si>
    <t xml:space="preserve"> Пояс для чулок «Diamond» со сверкающими подвесками черный L-XL</t>
  </si>
  <si>
    <t xml:space="preserve"> Элегантные чулки с кубинской пяткой черный One Size</t>
  </si>
  <si>
    <t xml:space="preserve"> Элегантные чулки с кубинской пяткой телесный One Size</t>
  </si>
  <si>
    <t xml:space="preserve"> Чулки в сетку с простой кружевной резинкой белый 1X-2X</t>
  </si>
  <si>
    <t xml:space="preserve"> Чулки в сетку с простой кружевной резинкой красный 1X-2X</t>
  </si>
  <si>
    <t xml:space="preserve"> Чулки с кружевной резинкой красный 1X-2X</t>
  </si>
  <si>
    <t xml:space="preserve"> Чулки с кружевной резинкой телесный 1X-2X</t>
  </si>
  <si>
    <t xml:space="preserve"> Чулки с кружевной резинкой белый 1X-2X</t>
  </si>
  <si>
    <t xml:space="preserve"> Чулки с кружевной резинкой черный 1X-2X</t>
  </si>
  <si>
    <t xml:space="preserve"> Элегантные чулки со стрелкой и бантиком черный One Size</t>
  </si>
  <si>
    <t xml:space="preserve"> Чулки в мелкую сетку со стрелкой черный One Size</t>
  </si>
  <si>
    <t xml:space="preserve"> Сетчатые чулки с кружевной резинкой черный One Size</t>
  </si>
  <si>
    <t xml:space="preserve"> Сетчатые чулки с кружевной резинкой красный One Size</t>
  </si>
  <si>
    <t xml:space="preserve"> Сетчатые чулки с кружевной резинкой белый One Size</t>
  </si>
  <si>
    <t xml:space="preserve"> Изысканный кружевной пояс с подвязками для чулок черный 1X-2X</t>
  </si>
  <si>
    <t xml:space="preserve"> Изысканный кружевной пояс с подвязками для чулок черный 3X-4X</t>
  </si>
  <si>
    <t xml:space="preserve"> Изысканный кружевной пояс с подвязками для чулок красный 3X-4X</t>
  </si>
  <si>
    <t xml:space="preserve"> Изысканный кружевной пояс с подвязками для чулок белый 1X-2X</t>
  </si>
  <si>
    <t xml:space="preserve"> Изысканный кружевной пояс с подвязками для чулок белый 3X-4X</t>
  </si>
  <si>
    <t xml:space="preserve"> Изысканный кружевной пояс с подвязками для чулок красный 1X-2X</t>
  </si>
  <si>
    <t xml:space="preserve"> Изысканный кружевной пояс с подвязками для чулок белый S-M</t>
  </si>
  <si>
    <t xml:space="preserve"> Изысканный кружевной пояс с подвязками для чулок черный M-L</t>
  </si>
  <si>
    <t xml:space="preserve"> Изысканный кружевной пояс с подвязками для чулок красный M-L</t>
  </si>
  <si>
    <t xml:space="preserve"> Изысканный кружевной пояс с подвязками для чулок белый M-L</t>
  </si>
  <si>
    <t xml:space="preserve"> Изысканный кружевной пояс с подвязками для чулок черный S-M</t>
  </si>
  <si>
    <t xml:space="preserve"> Изысканный кружевной пояс с подвязками для чулок красный S-M</t>
  </si>
  <si>
    <t xml:space="preserve"> Двухслойный пояс с пажами для чулок красный S-M</t>
  </si>
  <si>
    <t xml:space="preserve"> Двухслойный пояс с пажами для чулок черный S-M</t>
  </si>
  <si>
    <t xml:space="preserve"> Двухслойный пояс с пажами для чулок белый M-L</t>
  </si>
  <si>
    <t xml:space="preserve"> Двухслойный пояс с пажами для чулок красный M-L</t>
  </si>
  <si>
    <t xml:space="preserve"> Двухслойный пояс с пажами для чулок черный M-L</t>
  </si>
  <si>
    <t xml:space="preserve"> Двухслойный пояс с пажами для чулок белый S-M</t>
  </si>
  <si>
    <t xml:space="preserve"> Пояс для чулок с кружевной юбочкой красный 1X-2X</t>
  </si>
  <si>
    <t xml:space="preserve"> Пояс для чулок с кружевной юбочкой черный 1X-2X</t>
  </si>
  <si>
    <t xml:space="preserve"> Пояс для чулок с кружевной юбочкой белый 3X-4X</t>
  </si>
  <si>
    <t xml:space="preserve"> Пояс для чулок с кружевной юбочкой белый 1X-2X</t>
  </si>
  <si>
    <t xml:space="preserve"> Пояс для чулок с кружевной юбочкой черный 3X-4X</t>
  </si>
  <si>
    <t xml:space="preserve"> Пояс для чулок с кружевной юбочкой красный 3X-4X</t>
  </si>
  <si>
    <t xml:space="preserve"> Эластичный пояс для чулок черный 1X-2X</t>
  </si>
  <si>
    <t xml:space="preserve"> Кружевной пояс для чулок «Liana» белый S-M</t>
  </si>
  <si>
    <t xml:space="preserve"> Кружевной пояс для чулок «Liana» белый M-L</t>
  </si>
  <si>
    <t xml:space="preserve"> Кружевной пояс для чулок «Adel» белый M-L</t>
  </si>
  <si>
    <t xml:space="preserve"> Кружевной пояс для чулок «Adel» белый S-M</t>
  </si>
  <si>
    <t xml:space="preserve"> Чулки в вертикальную полоску с бантиком на резинке черный One Size</t>
  </si>
  <si>
    <t xml:space="preserve"> Ажурные чулки с полосатыми резинками на силиконе черный S-M</t>
  </si>
  <si>
    <t xml:space="preserve"> Ажурные чулки с полосатыми резинками на силиконе черный L-XL</t>
  </si>
  <si>
    <t xml:space="preserve"> Красивые чулки с ромбовидным узором на резинке черный L-XL</t>
  </si>
  <si>
    <t xml:space="preserve"> Красивые чулки с ромбовидным узором на резинке черный S-M</t>
  </si>
  <si>
    <t xml:space="preserve"> Ажурные чулки-кабаре на силиконе черный S-M</t>
  </si>
  <si>
    <t xml:space="preserve"> Ажурные чулки-кабаре на силиконе черный L-XL</t>
  </si>
  <si>
    <t xml:space="preserve"> Ажурные чулки в сетку с поясом черный One Size</t>
  </si>
  <si>
    <t xml:space="preserve"> Чулки на кружевном пояске с перекрёстными пажами черный One Size</t>
  </si>
  <si>
    <t xml:space="preserve"> Сетчатые чулки на ажурных пажах и пояске черный One Size</t>
  </si>
  <si>
    <t xml:space="preserve"> Пояс с пажами и чулки с имитацией широкой кружевной резинки черный One Size</t>
  </si>
  <si>
    <t xml:space="preserve"> Чулки медсестры в крупную сетку и с бантами черный One Size</t>
  </si>
  <si>
    <t xml:space="preserve"> Сетчатые чулки с однотонной резинкой и стрелками черный One Size</t>
  </si>
  <si>
    <t xml:space="preserve"> Пояс с подтяжками Cabaret черный с белым L</t>
  </si>
  <si>
    <t xml:space="preserve"> Пояс с подтяжками Cabaret черный с белым S</t>
  </si>
  <si>
    <t xml:space="preserve"> Широкий пояс для чулок Miamor с кружевами и трусиками-стринг в тон черный S-M</t>
  </si>
  <si>
    <t xml:space="preserve"> Широкий пояс для чулок Miamor с кружевами и трусиками-стринг в тон черный L-XL</t>
  </si>
  <si>
    <t xml:space="preserve"> Чулки с трусиками-поясом «Garter String And Stocking Set» черный One Size</t>
  </si>
  <si>
    <t xml:space="preserve"> Классические чулки Fusion 3D с плотной резинкой черный 1-2 РАЗМЕР</t>
  </si>
  <si>
    <t xml:space="preserve"> Классические чулки Fusion 3D с плотной резинкой черный 3-4 РАЗМЕР</t>
  </si>
  <si>
    <t xml:space="preserve"> Тонкие чулочки Lea с широкой резинкой и имитацией шнуровки сзади телесный 3-4 РАЗМЕР</t>
  </si>
  <si>
    <t xml:space="preserve"> Тонкие чулочки Lea с широкой резинкой и имитацией шнуровки сзади телесный 1-2 РАЗМЕР</t>
  </si>
  <si>
    <t xml:space="preserve"> Тончайшие чулочки Mercedes с оригинальной резинкой черный 1-2 РАЗМЕР</t>
  </si>
  <si>
    <t xml:space="preserve"> Тончайшие чулочки Mercedes с оригинальной резинкой черный 3-4 РАЗМЕР</t>
  </si>
  <si>
    <t xml:space="preserve"> Чулочки «Doris» с имитацией татуировки черный 3-4 РАЗМЕР</t>
  </si>
  <si>
    <t xml:space="preserve"> Чулочки «Doris» с имитацией татуировки черный 1-2 РАЗМЕР</t>
  </si>
  <si>
    <t xml:space="preserve"> Сетчатые чулочки Rete Grandi на резинке черный 3-4 РАЗМЕР</t>
  </si>
  <si>
    <t xml:space="preserve"> Сетчатые чулочки Rete Grandi на резинке черный 1-2 РАЗМЕР</t>
  </si>
  <si>
    <t xml:space="preserve"> Чулки с имитацией пятен крови белый One Size</t>
  </si>
  <si>
    <t xml:space="preserve"> Чулки медсестрички с красными бантами белый с красным One Size</t>
  </si>
  <si>
    <t xml:space="preserve"> Кружевной пояс для чулок «Catia» в комплекте с трусиками-стринг черный L-XL</t>
  </si>
  <si>
    <t xml:space="preserve"> Кружевной пояс для чулок «Catia» в комплекте с трусиками-стринг черный S-M</t>
  </si>
  <si>
    <t xml:space="preserve"> Оригинальный кружевной пояс для чулок Swanita в комплекте с трусиками белый S-M</t>
  </si>
  <si>
    <t xml:space="preserve"> Оригинальный кружевной пояс для чулок Swanita в комплекте с трусиками черный S-M</t>
  </si>
  <si>
    <t xml:space="preserve"> Оригинальный кружевной пояс для чулок Swanita в комплекте с трусиками черный L-XL</t>
  </si>
  <si>
    <t xml:space="preserve"> Оригинальный кружевной пояс для чулок Swanita в комплекте с трусиками белый L-XL</t>
  </si>
  <si>
    <t xml:space="preserve"> Чулки в сетку с ажурной кружевной резинкой белый One Size</t>
  </si>
  <si>
    <t xml:space="preserve"> Чулки в сетку с ажурной кружевной резинкой черный One Size</t>
  </si>
  <si>
    <t xml:space="preserve"> Полупрозрачные чулки с кружевной резинкой белый One Size</t>
  </si>
  <si>
    <t xml:space="preserve"> Алые чулки медсестры в полоску красный One Size</t>
  </si>
  <si>
    <t xml:space="preserve"> Чулки с поясом из крупной сетки черный One Size</t>
  </si>
  <si>
    <t xml:space="preserve"> Чулки с кружевным поясом и пажами черный One Size</t>
  </si>
  <si>
    <t xml:space="preserve"> Телесные чулки с контрастными стрелками сзади бежевый One Size</t>
  </si>
  <si>
    <t xml:space="preserve"> Плотные чулки на резинке черный One Size</t>
  </si>
  <si>
    <t xml:space="preserve"> Плотные чулки с вырезами под резинкой черный S-M</t>
  </si>
  <si>
    <t xml:space="preserve"> Плотные чулки с вырезами под резинкой красный S-M</t>
  </si>
  <si>
    <t xml:space="preserve"> Плотные чулки с вырезами под резинкой белый S-M</t>
  </si>
  <si>
    <t xml:space="preserve"> Ажурный пояс для чулок в виде мини-юбки со шнуровкой черный с розовым XXXL</t>
  </si>
  <si>
    <t xml:space="preserve"> Ажурный пояс для чулок в виде мини-юбки со шнуровкой черный с розовым XXL</t>
  </si>
  <si>
    <t xml:space="preserve"> Ажурный пояс для чулок в виде мини-юбки со шнуровкой черный с розовым XL</t>
  </si>
  <si>
    <t xml:space="preserve"> Красные чулки в сетку с кружевной резинкой на силиконе красный One Size</t>
  </si>
  <si>
    <t xml:space="preserve"> Чулки «Romantique» с сердечками и бантами белый с красным One Size</t>
  </si>
  <si>
    <t xml:space="preserve"> Телесные чулки Lovica с красной кружевной резинкой телесный S-M</t>
  </si>
  <si>
    <t xml:space="preserve"> Телесные чулки Lovica с красной кружевной резинкой телесный L-XL</t>
  </si>
  <si>
    <t xml:space="preserve"> Широкий пояс для чулок Amorous Rapture красный L-XL</t>
  </si>
  <si>
    <t xml:space="preserve"> Широкий пояс для чулок Amorous Rapture красный S-M</t>
  </si>
  <si>
    <t xml:space="preserve"> Чулки с бантиками Bows Stockings черный S-M</t>
  </si>
  <si>
    <t xml:space="preserve"> Чулки с бантиками Bows Stockings черный L-XL</t>
  </si>
  <si>
    <t xml:space="preserve"> Эффектный пояс-юбка для чулок Sublime белый L-XL</t>
  </si>
  <si>
    <t xml:space="preserve"> Эффектный пояс-юбка для чулок Sublime белый S-M</t>
  </si>
  <si>
    <t xml:space="preserve"> Чулки wetlook с открытой пяткой и носком серебристый S-M</t>
  </si>
  <si>
    <t xml:space="preserve"> Чулки wetlook с открытой пяткой и носком красный S-M</t>
  </si>
  <si>
    <t xml:space="preserve"> Чулки wetlook с открытой пяткой и носком черный S-M</t>
  </si>
  <si>
    <t xml:space="preserve"> Чулки wetlook с открытой пяткой и носком серебристый L-XL</t>
  </si>
  <si>
    <t xml:space="preserve"> Чулки wetlook с открытой пяткой и носком красный L-XL</t>
  </si>
  <si>
    <t xml:space="preserve"> Чулки wetlook с открытой пяткой и носком черный L-XL</t>
  </si>
  <si>
    <t xml:space="preserve"> Чулки на шнуровке «Lacing» черный с красным S-M</t>
  </si>
  <si>
    <t xml:space="preserve"> Чулки на шнуровке «Lacing» черный S-M</t>
  </si>
  <si>
    <t xml:space="preserve"> Чулки на шнуровке «Lacing» черный L-XL</t>
  </si>
  <si>
    <t xml:space="preserve"> Чулки на шнуровке «Lacing» черный с красным L-XL</t>
  </si>
  <si>
    <t xml:space="preserve"> Чулки под пояс «Bruna» с широкой кружевной резинкой красный T1</t>
  </si>
  <si>
    <t xml:space="preserve"> Чулки под пояс «Bruna» с широкой кружевной резинкой черный T1</t>
  </si>
  <si>
    <t xml:space="preserve"> Чулки под пояс «Bruna» с широкой кружевной резинкой черный T2</t>
  </si>
  <si>
    <t xml:space="preserve"> Чулки под пояс «Bruna» с широкой кружевной резинкой красный T2</t>
  </si>
  <si>
    <t xml:space="preserve"> Чулки под пояс «Bruna» с широкой кружевной резинкой красный T3</t>
  </si>
  <si>
    <t xml:space="preserve"> Чулки под пояс «Bruna» с широкой кружевной резинкой черный T3</t>
  </si>
  <si>
    <t xml:space="preserve"> Чулки под пояс «Bruna» с широкой кружевной резинкой белый T1</t>
  </si>
  <si>
    <t xml:space="preserve"> Чулки под пояс «Bruna» с широкой кружевной резинкой белый T2</t>
  </si>
  <si>
    <t xml:space="preserve"> Чулки под пояс «Bruna» с широкой кружевной резинкой белый T3</t>
  </si>
  <si>
    <t xml:space="preserve"> Чулки под пояс «Bruna» с широкой кружевной резинкой белый T4</t>
  </si>
  <si>
    <t xml:space="preserve"> Чулки под пояс «Bruna» с широкой кружевной резинкой черный T4</t>
  </si>
  <si>
    <t xml:space="preserve"> Чулки под пояс «Bruna» с широкой кружевной резинкой красный T4</t>
  </si>
  <si>
    <t xml:space="preserve"> Чулки в мелкую сетку «Denise» на силиконовой резинке и с фигурной стрелкой сзади черный T4</t>
  </si>
  <si>
    <t xml:space="preserve"> Чулки в мелкую сетку «Denise» на силиконовой резинке и с фигурной стрелкой сзади черный T2</t>
  </si>
  <si>
    <t xml:space="preserve"> Чулки в мелкую сетку «Denise» на силиконовой резинке и с фигурной стрелкой сзади черный T3</t>
  </si>
  <si>
    <t xml:space="preserve"> Чулки в мелкую сетку «Denise» на силиконовой резинке и с фигурной стрелкой сзади черный T1</t>
  </si>
  <si>
    <t xml:space="preserve"> Матовые чулки с яркой кружевной резинкой без силикона черный с красным One Size</t>
  </si>
  <si>
    <t xml:space="preserve"> Чулки-сетка без резинки для ношения под пояс черный One Size</t>
  </si>
  <si>
    <t xml:space="preserve"> Чулки-сетка с резинками в полоску черный One Size</t>
  </si>
  <si>
    <t xml:space="preserve"> Матовые чулки со стрелкой и кубинской пяточкой черный One Size</t>
  </si>
  <si>
    <t xml:space="preserve"> Матовые чулки со стрелкой и кубинской пяточкой черный с красным One Size</t>
  </si>
  <si>
    <t xml:space="preserve"> Чулки-сетка с кружевной резинкой без силиконовых полос черный One Size</t>
  </si>
  <si>
    <t xml:space="preserve"> Чулки под латекс с красной стрелкой и кружевной резинкой черный с красным One Size</t>
  </si>
  <si>
    <t xml:space="preserve"> Чулки медсестры белый S</t>
  </si>
  <si>
    <t xml:space="preserve"> Чулки с контрастной резинкой черный с белым S</t>
  </si>
  <si>
    <t xml:space="preserve"> Игривые чулки с вырезами сзади и бантиками поверх черный S</t>
  </si>
  <si>
    <t xml:space="preserve"> Кокетливые чулки с вырезами и контрастными бантами черный с розовым S</t>
  </si>
  <si>
    <t xml:space="preserve"> Пояс с плотными чулками черный S</t>
  </si>
  <si>
    <t xml:space="preserve"> Чулки Frivolla с широкой кружевной резинкой с цветочным узором черный S-M</t>
  </si>
  <si>
    <t xml:space="preserve"> Чулки Frivolla с широкой кружевной резинкой с цветочным узором черный L-XL</t>
  </si>
  <si>
    <t xml:space="preserve"> Тонкие чулки Silvi с кружевной резинкой черный 3 РАЗМЕР</t>
  </si>
  <si>
    <t xml:space="preserve"> Тонкие чулки Silvi с кружевной резинкой черный 2 РАЗМЕР</t>
  </si>
  <si>
    <t xml:space="preserve"> Тонкие чулки Silvi с кружевной резинкой черный 4 РАЗМЕР</t>
  </si>
  <si>
    <t xml:space="preserve"> Кружевной пояс с атласными бантиками и трусики-стринги черный M-L</t>
  </si>
  <si>
    <t xml:space="preserve"> Кружевной пояс с атласными бантиками и трусики-стринги черный S-M</t>
  </si>
  <si>
    <t xml:space="preserve"> Чулки из мелкой сетки с кружевной резинкой телесный 5 РАЗМЕР</t>
  </si>
  <si>
    <t xml:space="preserve"> Чулки из мелкой сетки с кружевной резинкой черный 5 РАЗМЕР</t>
  </si>
  <si>
    <t xml:space="preserve"> Чулки из мелкой сетки с кружевной резинкой красный 1-2 РАЗМЕР</t>
  </si>
  <si>
    <t xml:space="preserve"> Чулки из мелкой сетки с кружевной резинкой белый 5 РАЗМЕР</t>
  </si>
  <si>
    <t xml:space="preserve"> Чулки из мелкой сетки с кружевной резинкой красный 5 РАЗМЕР</t>
  </si>
  <si>
    <t xml:space="preserve"> Чулки из мелкой сетки с кружевной резинкой телесный 1-2 РАЗМЕР</t>
  </si>
  <si>
    <t xml:space="preserve"> Чулки из мелкой сетки с кружевной резинкой черный 1-2 РАЗМЕР</t>
  </si>
  <si>
    <t xml:space="preserve"> Чулки из мелкой сетки с кружевной резинкой белый 1-2 РАЗМЕР</t>
  </si>
  <si>
    <t xml:space="preserve"> Чулки из мелкой сетки с кружевной резинкой белый 3-4 РАЗМЕР</t>
  </si>
  <si>
    <t xml:space="preserve"> Чулки из мелкой сетки с кружевной резинкой черный 3-4 РАЗМЕР</t>
  </si>
  <si>
    <t xml:space="preserve"> Чулки из мелкой сетки с кружевной резинкой телесный 3-4 РАЗМЕР</t>
  </si>
  <si>
    <t xml:space="preserve"> Чулки из мелкой сетки с кружевной резинкой красный 3-4 РАЗМЕР</t>
  </si>
  <si>
    <t xml:space="preserve"> Плотные чулки с полосатой резинкой черный 3-4 РАЗМЕР</t>
  </si>
  <si>
    <t xml:space="preserve"> Плотные чулки с полосатой резинкой черный 1-2 РАЗМЕР</t>
  </si>
  <si>
    <t xml:space="preserve"> Плотные чулки с полосатой резинкой черный 5 РАЗМЕР</t>
  </si>
  <si>
    <t xml:space="preserve"> Чулки с контрастной кружевной резинкой черный с красным 5 РАЗМЕР</t>
  </si>
  <si>
    <t xml:space="preserve"> Чулки с контрастной кружевной резинкой белый с красным 5 РАЗМЕР</t>
  </si>
  <si>
    <t xml:space="preserve"> Чулки с контрастной кружевной резинкой красный с черным 5 РАЗМЕР</t>
  </si>
  <si>
    <t xml:space="preserve"> Чулки с контрастной кружевной резинкой красный с черным 1-2 РАЗМЕР</t>
  </si>
  <si>
    <t xml:space="preserve"> Чулки с контрастной кружевной резинкой белый с красным 1-2 РАЗМЕР</t>
  </si>
  <si>
    <t xml:space="preserve"> Чулки с контрастной кружевной резинкой черный с красным 1-2 РАЗМЕР</t>
  </si>
  <si>
    <t xml:space="preserve"> Чулки с контрастной кружевной резинкой красный с черным 3-4 РАЗМЕР</t>
  </si>
  <si>
    <t xml:space="preserve"> Чулки с контрастной кружевной резинкой черный с красным 3-4 РАЗМЕР</t>
  </si>
  <si>
    <t xml:space="preserve"> Чулки с контрастной кружевной резинкой белый с красным 3-4 РАЗМЕР</t>
  </si>
  <si>
    <t xml:space="preserve"> Классические тонкие чулки с кружевной резинкой красный 3-4 РАЗМЕР</t>
  </si>
  <si>
    <t xml:space="preserve"> Классические тонкие чулки с кружевной резинкой телесный 3-4 РАЗМЕР</t>
  </si>
  <si>
    <t xml:space="preserve"> Классические тонкие чулки с кружевной резинкой черный 3-4 РАЗМЕР</t>
  </si>
  <si>
    <t xml:space="preserve"> Классические тонкие чулки с кружевной резинкой серый 3-4 РАЗМЕР</t>
  </si>
  <si>
    <t xml:space="preserve"> Классические тонкие чулки с кружевной резинкой бежевый 3-4 РАЗМЕР</t>
  </si>
  <si>
    <t xml:space="preserve"> Классические тонкие чулки с кружевной резинкой белый 1-2 РАЗМЕР</t>
  </si>
  <si>
    <t xml:space="preserve"> Классические тонкие чулки с кружевной резинкой белый 3-4 РАЗМЕР</t>
  </si>
  <si>
    <t xml:space="preserve"> Классические тонкие чулки с кружевной резинкой красный 1-2 РАЗМЕР</t>
  </si>
  <si>
    <t xml:space="preserve"> Классические тонкие чулки с кружевной резинкой телесный 1-2 РАЗМЕР</t>
  </si>
  <si>
    <t xml:space="preserve"> Классические тонкие чулки с кружевной резинкой бежевый 1-2 РАЗМЕР</t>
  </si>
  <si>
    <t xml:space="preserve"> Классические тонкие чулки с кружевной резинкой серый 1-2 РАЗМЕР</t>
  </si>
  <si>
    <t xml:space="preserve"> Классические тонкие чулки с кружевной резинкой черный 1-2 РАЗМЕР</t>
  </si>
  <si>
    <t xml:space="preserve"> Классические тонкие чулки с кружевной резинкой белый 5 РАЗМЕР</t>
  </si>
  <si>
    <t xml:space="preserve"> Классические тонкие чулки с кружевной резинкой бежевый 5 РАЗМЕР</t>
  </si>
  <si>
    <t xml:space="preserve"> Классические тонкие чулки с кружевной резинкой красный 5 РАЗМЕР</t>
  </si>
  <si>
    <t xml:space="preserve"> Классические тонкие чулки с кружевной резинкой черный 5 РАЗМЕР</t>
  </si>
  <si>
    <t xml:space="preserve"> Классические тонкие чулки под пояс черный 5 РАЗМЕР</t>
  </si>
  <si>
    <t xml:space="preserve"> Классические тонкие чулки под пояс телесный 5 РАЗМЕР</t>
  </si>
  <si>
    <t xml:space="preserve"> Классические тонкие чулки под пояс красный 5 РАЗМЕР</t>
  </si>
  <si>
    <t xml:space="preserve"> Классические тонкие чулки под пояс белый 5 РАЗМЕР</t>
  </si>
  <si>
    <t xml:space="preserve"> Классические тонкие чулки под пояс черный 1-2 РАЗМЕР</t>
  </si>
  <si>
    <t xml:space="preserve"> Классические тонкие чулки под пояс телесный 1-2 РАЗМЕР</t>
  </si>
  <si>
    <t xml:space="preserve"> Классические тонкие чулки под пояс красный 1-2 РАЗМЕР</t>
  </si>
  <si>
    <t xml:space="preserve"> Классические тонкие чулки под пояс белый 1-2 РАЗМЕР</t>
  </si>
  <si>
    <t xml:space="preserve"> Классические тонкие чулки под пояс белый 3-4 РАЗМЕР</t>
  </si>
  <si>
    <t xml:space="preserve"> Классические тонкие чулки под пояс черный 3-4 РАЗМЕР</t>
  </si>
  <si>
    <t xml:space="preserve"> Классические тонкие чулки под пояс телесный 3-4 РАЗМЕР</t>
  </si>
  <si>
    <t xml:space="preserve"> Классические тонкие чулки под пояс красный 3-4 РАЗМЕР</t>
  </si>
  <si>
    <t xml:space="preserve"> Оригинальные чулки с серебристым рисунком сзади черный 3-4 РАЗМЕР</t>
  </si>
  <si>
    <t xml:space="preserve"> Оригинальные чулки с серебристым рисунком сзади бежевый 3-4 РАЗМЕР</t>
  </si>
  <si>
    <t xml:space="preserve"> Оригинальные чулки с серебристым рисунком сзади бежевый 1-2 РАЗМЕР</t>
  </si>
  <si>
    <t xml:space="preserve"> Оригинальные чулки с серебристым рисунком сзади черный 1-2 РАЗМЕР</t>
  </si>
  <si>
    <t xml:space="preserve"> Чулки с кубанской пяточкой SHEER CUBAN HEEL THIGH HIGHS черный One Size</t>
  </si>
  <si>
    <t xml:space="preserve"> Чулки с полосками на резинке BANDED SILICONE STAY-UP THIGH HIGHS черный One Size</t>
  </si>
  <si>
    <t xml:space="preserve"> Оригинальные чулки под пояс STOCKINGS SCROLL BACKSEAM телесный с черным One Size</t>
  </si>
  <si>
    <t xml:space="preserve"> Чулки с имитацией шнуровки черный с красным 1-2 РАЗМЕР</t>
  </si>
  <si>
    <t xml:space="preserve"> Чулки с имитацией шнуровки черный 3-4 РАЗМЕР</t>
  </si>
  <si>
    <t xml:space="preserve"> Чулки с имитацией шнуровки черный с красным 3-4 РАЗМЕР</t>
  </si>
  <si>
    <t xml:space="preserve"> Чулки с контрастным узором и стрелками черный с красным 3-4 РАЗМЕР</t>
  </si>
  <si>
    <t xml:space="preserve"> Чулки с контрастным узором и стрелками черный с красным 1-2 РАЗМЕР</t>
  </si>
  <si>
    <t xml:space="preserve"> Чулки с контрастным узором и стрелками черный с серым 1-2 РАЗМЕР</t>
  </si>
  <si>
    <t xml:space="preserve"> Чулки с контрастным узором и стрелками черный с серым 3-4 РАЗМЕР</t>
  </si>
  <si>
    <t xml:space="preserve"> Чулки FINESSE 8 den с широкой кружевной резинкой на силиконе черный 4 РАЗМЕР</t>
  </si>
  <si>
    <t xml:space="preserve"> Чулки FINESSE 8 den с широкой кружевной резинкой на силиконе черный 2 РАЗМЕР</t>
  </si>
  <si>
    <t xml:space="preserve"> Чулки FINESSE 8 den с широкой кружевной резинкой на силиконе черный 3 РАЗМЕР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</si>
  <si>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EDITH 8 den с кружевной резинкой на силиконе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</si>
  <si>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EDITH 8 den с кружевной резинкой на силиконе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</si>
  <si>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EDITH 8 den с кружевной резинкой на силиконе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</si>
  <si>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t xml:space="preserve"> Чулки под пояс TEMPESTA 20 den со швом в виде стежков черный 2 РАЗМЕР</t>
  </si>
  <si>
    <t xml:space="preserve"> Чулки под пояс TEMPESTA 20 den со швом в виде стежков черный 4 РАЗМЕР</t>
  </si>
  <si>
    <t xml:space="preserve"> Чулки под пояс TEMPESTA 20 den со швом в виде стежков черный 3 РАЗМЕР</t>
  </si>
  <si>
    <t xml:space="preserve"> Чулки под пояс MISTERY 20 den с имитацией белой ленты под резинкой черный 3 РАЗМЕР</t>
  </si>
  <si>
    <t xml:space="preserve"> Чулки под пояс MISTERY 20 den с имитацией белой ленты под резинкой черный 4 РАЗМЕР</t>
  </si>
  <si>
    <t xml:space="preserve"> Чулки под пояс MISTERY 20 den с имитацией белой ленты под резинкой черный 2 РАЗМЕР</t>
  </si>
  <si>
    <t xml:space="preserve"> Чулки SANDRINE 20 den с кружевной резинкой на силиконе белый 4 РАЗМЕР</t>
  </si>
  <si>
    <t xml:space="preserve"> Чулки SANDRINE 20 den с кружевной резинкой на силиконе черный 2 РАЗМЕР</t>
  </si>
  <si>
    <t xml:space="preserve"> Чулки SANDRINE 20 den с кружевной резинкой на силиконе черный 4 РАЗМЕР</t>
  </si>
  <si>
    <t xml:space="preserve"> Чулки SANDRINE 20 den с кружевной резинкой на силиконе черный 3 РАЗМЕР</t>
  </si>
  <si>
    <t xml:space="preserve"> Чулки SANDRINE 20 den с кружевной резинкой на силиконе белый 3 РАЗМЕР</t>
  </si>
  <si>
    <t xml:space="preserve"> Чулки SANDRINE 20 den с кружевной резинкой на силиконе белый 2 РАЗМЕР</t>
  </si>
  <si>
    <t xml:space="preserve"> Чулки под пояс VALENTIS 40 den с имитацией шнуровки черный 3 РАЗМЕР</t>
  </si>
  <si>
    <t xml:space="preserve"> Чулки под пояс VALENTIS 40 den с имитацией шнуровки черный 4 РАЗМЕР</t>
  </si>
  <si>
    <t xml:space="preserve"> Чулки под пояс VALENTIS 40 den с имитацией шнуровки черный 2 РАЗМЕР</t>
  </si>
  <si>
    <t xml:space="preserve"> Чулки в крупную сетку INTENSA 40 den черный 2 РАЗМЕР</t>
  </si>
  <si>
    <t xml:space="preserve"> Чулки в крупную сетку INTENSA 40 den черный 4 РАЗМЕР</t>
  </si>
  <si>
    <t xml:space="preserve"> Чулки в крупную сетку INTENSA 40 den черный 3 РАЗМЕР</t>
  </si>
  <si>
    <t xml:space="preserve"> Элегантные чулки под пояс с кружевным верхом белый L-XL</t>
  </si>
  <si>
    <t xml:space="preserve"> Элегантные чулки под пояс с кружевным верхом белый S-M</t>
  </si>
  <si>
    <t xml:space="preserve"> Классические чулки с гладкой плотной резинкой белый S-M</t>
  </si>
  <si>
    <t xml:space="preserve"> Классические чулки с гладкой плотной резинкой черный S-M</t>
  </si>
  <si>
    <t xml:space="preserve"> Классические чулки с гладкой плотной резинкой красный S-M</t>
  </si>
  <si>
    <t xml:space="preserve"> Классические чулки с гладкой плотной резинкой белый L-XL</t>
  </si>
  <si>
    <t xml:space="preserve"> Классические чулки с гладкой плотной резинкой красный L-XL</t>
  </si>
  <si>
    <t xml:space="preserve"> Классические чулки с гладкой плотной резинкой черный L-XL</t>
  </si>
  <si>
    <t xml:space="preserve"> Чёрные чулки Merossa с кружевной резинкой черный L-XL</t>
  </si>
  <si>
    <t xml:space="preserve"> Чёрные чулки Merossa с кружевной резинкой черный S-M</t>
  </si>
  <si>
    <t xml:space="preserve"> Чулки под пояс Slevika с узкой кружевной резинкой черный S-M</t>
  </si>
  <si>
    <t xml:space="preserve"> Чулки под пояс Slevika с узкой кружевной резинкой черный L-XL</t>
  </si>
  <si>
    <t xml:space="preserve"> Чулки с кружевной резинкой без силикона черный L-XL</t>
  </si>
  <si>
    <t xml:space="preserve"> Чулки с кружевной резинкой без силикона черный S-M</t>
  </si>
  <si>
    <t xml:space="preserve"> Чулки Charmea с широкой кружевной резинкой без силикона черный S-M</t>
  </si>
  <si>
    <t xml:space="preserve"> Чулки Charmea с широкой кружевной резинкой без силикона черный L-XL</t>
  </si>
  <si>
    <t xml:space="preserve"> Сетчатый комплект Paquita: чулки, пояс и трусики-стринги черный One Size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</si>
  <si>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Perry с яркими цветами на кружевной резинке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</si>
  <si>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Perry с яркими цветами на кружевной резинке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</si>
  <si>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t xml:space="preserve"> Чулки с кружевным верхом в горошек черный L-XL</t>
  </si>
  <si>
    <t xml:space="preserve"> Чулки с кружевным верхом в горошек черный S-M</t>
  </si>
  <si>
    <t xml:space="preserve"> Широкий кружевной пояс в комплекте с трусиками и пэстисами черный S-M</t>
  </si>
  <si>
    <t xml:space="preserve"> Широкий кружевной пояс в комплекте с трусиками и пэстисами черный L-XL</t>
  </si>
  <si>
    <t xml:space="preserve"> Ажурный пояс для чулок с оборками и трусиками в комплекте черный L-XL</t>
  </si>
  <si>
    <t xml:space="preserve"> Ажурный пояс для чулок с оборками и трусиками в комплекте черный S-M</t>
  </si>
  <si>
    <t xml:space="preserve"> Ажурные чулки со слитным поясом черный One Size</t>
  </si>
  <si>
    <t xml:space="preserve"> Изысканные чулки под пояс с резинкой в горошек черный S-M</t>
  </si>
  <si>
    <t xml:space="preserve"> Изысканные чулки под пояс с резинкой в горошек черный L-XL</t>
  </si>
  <si>
    <t xml:space="preserve"> Пояс-юбочка из кружева в комплекте с трусиками-стринг черный L-XL</t>
  </si>
  <si>
    <t xml:space="preserve"> Пояс-юбочка из кружева в комплекте с трусиками-стринг черный S-M</t>
  </si>
  <si>
    <t xml:space="preserve"> Чулки-ботфорты Microfibre Classic черный 1-2 РАЗМЕР</t>
  </si>
  <si>
    <t xml:space="preserve"> Чулки-ботфорты Microfibre Classic черный 3-4 РАЗМЕР</t>
  </si>
  <si>
    <t xml:space="preserve"> Тонкие чулки Calze 15 Den черный 3-4 РАЗМЕР</t>
  </si>
  <si>
    <t xml:space="preserve"> Тонкие чулки Calze 15 Den черный 1-2 РАЗМЕР</t>
  </si>
  <si>
    <t xml:space="preserve"> Тонкие чулки Calze 15 Den бежевый 3-4 РАЗМЕР</t>
  </si>
  <si>
    <t xml:space="preserve"> Тонкие чулки Calze 15 Den бежевый 1-2 РАЗМЕР</t>
  </si>
  <si>
    <t xml:space="preserve"> Черные фантазийные чулки Carla с имитацией шнуровки черный 1-2 РАЗМЕР</t>
  </si>
  <si>
    <t xml:space="preserve"> Черные фантазийные чулки Carla с имитацией шнуровки черный 3-4 РАЗМЕР</t>
  </si>
  <si>
    <t xml:space="preserve"> Соблазнительные чулки Rosa с розочками черный 3-4 РАЗМЕР</t>
  </si>
  <si>
    <t xml:space="preserve"> Соблазнительные чулки Rosa с розочками черный 1-2 РАЗМЕР</t>
  </si>
  <si>
    <t xml:space="preserve"> Чулки под пояс Calze Cher 15 den черный 1-2 РАЗМЕР</t>
  </si>
  <si>
    <t xml:space="preserve"> Чулки под пояс Calze Cher 15 den телесный 1-2 РАЗМЕР</t>
  </si>
  <si>
    <t xml:space="preserve"> Чулки под пояс Calze Cher 15 den черный 3-4 РАЗМЕР</t>
  </si>
  <si>
    <t xml:space="preserve"> Чулки под пояс Calze Cher 15 den телесный 3-4 РАЗМЕР</t>
  </si>
  <si>
    <t xml:space="preserve"> Чулки Cruze с кубинской пяточкой и стрелкой черный с красным 3-4 РАЗМЕР</t>
  </si>
  <si>
    <t xml:space="preserve"> Чулки Cruze с кубинской пяточкой и стрелкой черный с красным 1-2 РАЗМЕР</t>
  </si>
  <si>
    <t xml:space="preserve"> Чулки под пояс Calze Anika 15 den черный 1-2 РАЗМЕР</t>
  </si>
  <si>
    <t xml:space="preserve"> Чулки под пояс Calze Anika 15 den телесный 1-2 РАЗМЕР</t>
  </si>
  <si>
    <t xml:space="preserve"> Чулки под пояс Calze Anika 15 den телесный 3-4 РАЗМЕР</t>
  </si>
  <si>
    <t xml:space="preserve"> Чулки под пояс Calze Anika 15 den черный 3-4 РАЗМЕР</t>
  </si>
  <si>
    <t xml:space="preserve"> Полупрозрачные чулки Calze Princessa 01 белый 1-2 РАЗМЕР</t>
  </si>
  <si>
    <t xml:space="preserve"> Полупрозрачные чулки Calze Princessa 01 белый 3-4 РАЗМЕР</t>
  </si>
  <si>
    <t xml:space="preserve"> Тонкие чулки на силиконе Calze Princessa 02 белый 3-4 РАЗМЕР</t>
  </si>
  <si>
    <t xml:space="preserve"> Тонкие чулки на силиконе Calze Princessa 02 белый 1-2 РАЗМЕР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</si>
  <si>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Нежные чулки на силиконе Calze Princessa 03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1-2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</si>
  <si>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Нежные чулки на силиконе Calze Princessa 03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</si>
  <si>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t xml:space="preserve"> Чулки Calze Princessa 04 с резинкой на силиконе белый 3-4 РАЗМЕР</t>
  </si>
  <si>
    <t xml:space="preserve"> Чулки Calze Princessa 04 с резинкой на силиконе белый 1-2 РАЗМЕР</t>
  </si>
  <si>
    <t xml:space="preserve"> Чулки Calze Princessa 05 со швом сзади белый 1-2 РАЗМЕР</t>
  </si>
  <si>
    <t xml:space="preserve"> Чулки Calze Princessa 05 со швом сзади белый 3-4 РАЗМЕР</t>
  </si>
  <si>
    <t xml:space="preserve"> Соблазнительные чулки с цветочным рисунком Calze Princessa 06 белый 3-4 РАЗМЕР</t>
  </si>
  <si>
    <t xml:space="preserve"> Соблазнительные чулки с цветочным рисунком Calze Princessa 06 белый 1-2 РАЗМЕР</t>
  </si>
  <si>
    <t xml:space="preserve"> Чулки с контрастной стрелкой Lido телесный с черным 3-4 РАЗМЕР</t>
  </si>
  <si>
    <t xml:space="preserve"> Чулки с контрастной стрелкой Lido телесный с черным 1-2 РАЗМЕР</t>
  </si>
  <si>
    <t xml:space="preserve"> Чулки с контрастной стрелкой Lido черный с красным 1-2 РАЗМЕР</t>
  </si>
  <si>
    <t xml:space="preserve"> Чулки с контрастной стрелкой Lido черный с красным 3-4 РАЗМЕР</t>
  </si>
  <si>
    <t xml:space="preserve"> Чулки под пояс Calze Effi со стрелками черный 3-4 РАЗМЕР</t>
  </si>
  <si>
    <t xml:space="preserve"> Чулки под пояс Calze Effi со стрелками черный 1-2 РАЗМЕР</t>
  </si>
  <si>
    <t xml:space="preserve"> Чулки и пояс Garter Set Blue Night черный 1-2 РАЗМЕР</t>
  </si>
  <si>
    <t xml:space="preserve"> Чулки и пояс Garter Set Blue Night черный 3-4 РАЗМЕР</t>
  </si>
  <si>
    <t xml:space="preserve"> Фантазийные чулки Calze Princessa 07 белый 3-4 РАЗМЕР</t>
  </si>
  <si>
    <t xml:space="preserve"> Фантазийные чулки Calze Princessa 07 белый 1-2 РАЗМЕР</t>
  </si>
  <si>
    <t xml:space="preserve"> Соблазнительные чулки Calze Princessa 08 белый 1-2 РАЗМЕР</t>
  </si>
  <si>
    <t xml:space="preserve"> Соблазнительные чулки Calze Princessa 08 белый 3-4 РАЗМЕР</t>
  </si>
  <si>
    <t xml:space="preserve"> Чулки с цветком Calze Princessa 09 белый 1-2 РАЗМЕР</t>
  </si>
  <si>
    <t xml:space="preserve"> Чулки с цветком Calze Princessa 09 белый 3-4 РАЗМЕР</t>
  </si>
  <si>
    <t xml:space="preserve"> Чулки под пояс Calze Princessa 10 белый 1-2 РАЗМЕР</t>
  </si>
  <si>
    <t xml:space="preserve"> Чулки под пояс Calze Princessa 10 белый 3-4 РАЗМЕР</t>
  </si>
  <si>
    <t xml:space="preserve"> Чулки в сетку Calze Princessa 11 белый 3-4 РАЗМЕР</t>
  </si>
  <si>
    <t xml:space="preserve"> Чулки в сетку Calze Princessa 11 белый 1-2 РАЗМЕР</t>
  </si>
  <si>
    <t xml:space="preserve"> Чулки в крупную сетку Calze 153 белый 1-2 РАЗМЕР</t>
  </si>
  <si>
    <t xml:space="preserve"> Чулки в крупную сетку Calze 153 белый 3-4 РАЗМЕР</t>
  </si>
  <si>
    <t xml:space="preserve"> Чулки в крупную сетку Calze 153 черный 1-2 РАЗМЕР</t>
  </si>
  <si>
    <t xml:space="preserve"> Чулки в крупную сетку Calze 153 черный 3-4 РАЗМЕР</t>
  </si>
  <si>
    <t xml:space="preserve"> Чулки в крупную сетку Calze 153 красный 3-4 РАЗМЕР</t>
  </si>
  <si>
    <t xml:space="preserve"> Чулки в крупную сетку Calze 153 красный 1-2 РАЗМЕР</t>
  </si>
  <si>
    <t xml:space="preserve"> Чулки Calze Lux с полосатой резинкой на силиконе красный 3-4 РАЗМЕР</t>
  </si>
  <si>
    <t xml:space="preserve"> Чулки Calze Lux с полосатой резинкой на силиконе черный 3-4 РАЗМЕР</t>
  </si>
  <si>
    <t xml:space="preserve"> Чулки Calze Lux с полосатой резинкой на силиконе черный 1-2 РАЗМЕР</t>
  </si>
  <si>
    <t xml:space="preserve"> Чулки Calze Lux с полосатой резинкой на силиконе красный 1-2 РАЗМЕР</t>
  </si>
  <si>
    <t xml:space="preserve"> Чулки Calze Lux с полосатой резинкой на силиконе белый 3-4 РАЗМЕР</t>
  </si>
  <si>
    <t xml:space="preserve"> Чулки Calze Lux с полосатой резинкой на силиконе белый 1-2 РАЗМЕР</t>
  </si>
  <si>
    <t xml:space="preserve"> Чулки в сетку Calze 151 с резинкой на силиконе белый 1-2 РАЗМЕР</t>
  </si>
  <si>
    <t xml:space="preserve"> Чулки в сетку Calze 151 с резинкой на силиконе белый 3-4 РАЗМЕР</t>
  </si>
  <si>
    <t xml:space="preserve"> Чулки в сетку Calze 151 с резинкой на силиконе красный 1-2 РАЗМЕР</t>
  </si>
  <si>
    <t xml:space="preserve"> Чулки в сетку Calze 151 с резинкой на силиконе черный 1-2 РАЗМЕР</t>
  </si>
  <si>
    <t xml:space="preserve"> Чулки в сетку Calze 151 с резинкой на силиконе черный 3-4 РАЗМЕР</t>
  </si>
  <si>
    <t xml:space="preserve"> Чулки в сетку Calze 151 с резинкой на силиконе красный 3-4 РАЗМЕР</t>
  </si>
  <si>
    <t xml:space="preserve"> Чулки Calze 155 со стрелками красный 3-4 РАЗМЕР</t>
  </si>
  <si>
    <t xml:space="preserve"> Чулки Calze 155 со стрелками черный 3-4 РАЗМЕР</t>
  </si>
  <si>
    <t xml:space="preserve"> Чулки Calze 155 со стрелками черный 1-2 РАЗМЕР</t>
  </si>
  <si>
    <t xml:space="preserve"> Чулки Calze 155 со стрелками красный 1-2 РАЗМЕР</t>
  </si>
  <si>
    <t xml:space="preserve"> Чулки Calze 155 со стрелками белый 3-4 РАЗМЕР</t>
  </si>
  <si>
    <t xml:space="preserve"> Чулки Calze 155 со стрелками белый 1-2 РАЗМЕР</t>
  </si>
  <si>
    <t xml:space="preserve"> Чулки Calze Classic с кружевной резинкой с цветочным узором белый 1-2 РАЗМЕР</t>
  </si>
  <si>
    <t xml:space="preserve"> Чулки Calze Classic с кружевной резинкой с цветочным узором белый 3-4 РАЗМЕР</t>
  </si>
  <si>
    <t xml:space="preserve"> Чулки Calze Classic с кружевной резинкой с цветочным узором красный 1-2 РАЗМЕР</t>
  </si>
  <si>
    <t xml:space="preserve"> Чулки Calze Classic с кружевной резинкой с цветочным узором черный 1-2 РАЗМЕР</t>
  </si>
  <si>
    <t xml:space="preserve"> Чулки Calze Classic с кружевной резинкой с цветочным узором черный 3-4 РАЗМЕР</t>
  </si>
  <si>
    <t xml:space="preserve"> Чулки Calze Classic с кружевной резинкой с цветочным узором красный 3-4 РАЗМЕР</t>
  </si>
  <si>
    <t xml:space="preserve"> Роскошные чулки Calze Etiennett красный 3-4 РАЗМЕР</t>
  </si>
  <si>
    <t xml:space="preserve"> Роскошные чулки Calze Etiennett черный 3-4 РАЗМЕР</t>
  </si>
  <si>
    <t xml:space="preserve"> Роскошные чулки Calze Etiennett черный 1-2 РАЗМЕР</t>
  </si>
  <si>
    <t xml:space="preserve"> Роскошные чулки Calze Etiennett красный 1-2 РАЗМЕР</t>
  </si>
  <si>
    <t xml:space="preserve"> Роскошные чулки Calze Etiennett белый 3-4 РАЗМЕР</t>
  </si>
  <si>
    <t xml:space="preserve"> Роскошные чулки Calze Etiennett белый 1-2 РАЗМЕР</t>
  </si>
  <si>
    <t xml:space="preserve"> Чулки и пояс из ажура Garter Set Shadow белый 1-2 РАЗМЕР</t>
  </si>
  <si>
    <t xml:space="preserve"> Чулки и пояс из ажура Garter Set Shadow белый 3-4 РАЗМЕР</t>
  </si>
  <si>
    <t xml:space="preserve"> Чулки и пояс из ажура Garter Set Shadow красный 1-2 РАЗМЕР</t>
  </si>
  <si>
    <t xml:space="preserve"> Чулки и пояс из ажура Garter Set Shadow черный 1-2 РАЗМЕР</t>
  </si>
  <si>
    <t xml:space="preserve"> Чулки и пояс из ажура Garter Set Shadow черный 3-4 РАЗМЕР</t>
  </si>
  <si>
    <t xml:space="preserve"> Чулки и пояс из ажура Garter Set Shadow красный 3-4 РАЗМЕР</t>
  </si>
  <si>
    <t xml:space="preserve"> Фантазийные чулки Gala с гладкой резинкой на силиконовой основе телесный 3-4 РАЗМЕР</t>
  </si>
  <si>
    <t xml:space="preserve"> Фантазийные чулки Gala с гладкой резинкой на силиконовой основе черный 3-4 РАЗМЕР</t>
  </si>
  <si>
    <t xml:space="preserve"> Фантазийные чулки Gala с гладкой резинкой на силиконовой основе черный 1-2 РАЗМЕР</t>
  </si>
  <si>
    <t xml:space="preserve"> Фантазийные чулки Gala с гладкой резинкой на силиконовой основе телесный 1-2 РАЗМЕР</t>
  </si>
  <si>
    <t xml:space="preserve"> Фантазийные чулки Rene с гладкой резинкой черный 1-2 РАЗМЕР</t>
  </si>
  <si>
    <t xml:space="preserve"> Фантазийные чулки Rene с гладкой резинкой черный 3-4 РАЗМЕР</t>
  </si>
  <si>
    <t xml:space="preserve"> Чулки в горох Calze Puntina черный 3-4 РАЗМЕР</t>
  </si>
  <si>
    <t xml:space="preserve"> Чулки в горох Calze Puntina черный 1-2 РАЗМЕР</t>
  </si>
  <si>
    <t xml:space="preserve"> Чулки Lana с ажурной резинкой черный 1-2 РАЗМЕР</t>
  </si>
  <si>
    <t xml:space="preserve"> Чулки Lana с ажурной резинкой черный 3-4 РАЗМЕР</t>
  </si>
  <si>
    <t xml:space="preserve"> Чулки Alva из микрофибры черный 3-4 РАЗМЕР</t>
  </si>
  <si>
    <t xml:space="preserve"> Чулки Alva из микрофибры черный 1-2 РАЗМЕР</t>
  </si>
  <si>
    <t xml:space="preserve"> Чулки Lovia с резинкой на силиконе черный 1-2 РАЗМЕР</t>
  </si>
  <si>
    <t xml:space="preserve"> Чулки Lovia с резинкой на силиконе телесный с черным 1-2 РАЗМЕР</t>
  </si>
  <si>
    <t xml:space="preserve"> Чулки Lovia с резинкой на силиконе телесный с черным 3-4 РАЗМЕР</t>
  </si>
  <si>
    <t xml:space="preserve"> Чулки Lovia с резинкой на силиконе черный 3-4 РАЗМЕР</t>
  </si>
  <si>
    <t xml:space="preserve"> Чулки Capri с силиконом на резинке черный с красным 3-4 РАЗМЕР</t>
  </si>
  <si>
    <t xml:space="preserve"> Чулки Capri с силиконом на резинке телесный с черным 3-4 РАЗМЕР</t>
  </si>
  <si>
    <t xml:space="preserve"> Чулки Capri с силиконом на резинке телесный с черным 1-2 РАЗМЕР</t>
  </si>
  <si>
    <t xml:space="preserve"> Чулки Capri с силиконом на резинке черный с красным 1-2 РАЗМЕР</t>
  </si>
  <si>
    <t xml:space="preserve"> Чулочки под пояс Calze Katia 15 den черный 1-2 РАЗМЕР</t>
  </si>
  <si>
    <t xml:space="preserve"> Чулочки под пояс Calze Katia 15 den бежевый 3-4 РАЗМЕР</t>
  </si>
  <si>
    <t xml:space="preserve"> Чулочки под пояс Calze Katia 15 den бежевый 1-2 РАЗМЕР</t>
  </si>
  <si>
    <t xml:space="preserve"> Чулочки под пояс Calze Katia 15 den черный 3-4 РАЗМЕР</t>
  </si>
  <si>
    <t xml:space="preserve"> Чулки с кружевом Calze Exclusive 15 den черный 3-4 РАЗМЕР</t>
  </si>
  <si>
    <t xml:space="preserve"> Чулки с кружевом Calze Exclusive 15 den телесный 3-4 РАЗМЕР</t>
  </si>
  <si>
    <t xml:space="preserve"> Чулки с кружевом Calze Exclusive 15 den черный 1-2 РАЗМЕР</t>
  </si>
  <si>
    <t xml:space="preserve"> Чулки с кружевом Calze Exclusive 15 den телесный 1-2 РАЗМЕР</t>
  </si>
  <si>
    <t xml:space="preserve"> Чулки с полосатой резинкой Calze Lux 15 den черный 1-2 РАЗМЕР</t>
  </si>
  <si>
    <t xml:space="preserve"> Чулки с полосатой резинкой Calze Lux 15 den бежевый 1-2 РАЗМЕР</t>
  </si>
  <si>
    <t xml:space="preserve"> Чулки с полосатой резинкой Calze Lux 15 den бежевый 3-4 РАЗМЕР</t>
  </si>
  <si>
    <t xml:space="preserve"> Чулки с полосатой резинкой Calze Lux 15 den черный 3-4 РАЗМЕР</t>
  </si>
  <si>
    <t xml:space="preserve"> Тонкие чулки Calze Elite черный 3-4 РАЗМЕР</t>
  </si>
  <si>
    <t xml:space="preserve"> Тонкие чулки Calze Elite бежевый 3-4 РАЗМЕР</t>
  </si>
  <si>
    <t xml:space="preserve"> Тонкие чулки Calze Elite черный 1-2 РАЗМЕР</t>
  </si>
  <si>
    <t xml:space="preserve"> Тонкие чулки Calze Elite бежевый 1-2 РАЗМЕР</t>
  </si>
  <si>
    <t xml:space="preserve"> Чулки со стрелками Calze Linette черный 1-2 РАЗМЕР</t>
  </si>
  <si>
    <t xml:space="preserve"> Чулки со стрелками Calze Linette бежевый 3-4 РАЗМЕР</t>
  </si>
  <si>
    <t xml:space="preserve"> Чулки со стрелками Calze Linette бежевый 1-2 РАЗМЕР</t>
  </si>
  <si>
    <t xml:space="preserve"> Чулки со стрелками Calze Linette черный 3-4 РАЗМЕР</t>
  </si>
  <si>
    <t xml:space="preserve"> Чулки Calze Linette со стрелками красный 3-4 РАЗМЕР</t>
  </si>
  <si>
    <t xml:space="preserve"> Чулки Calze Linette со стрелками черный 3-4 РАЗМЕР</t>
  </si>
  <si>
    <t xml:space="preserve"> Чулки Calze Linette со стрелками белый 1-2 РАЗМЕР</t>
  </si>
  <si>
    <t xml:space="preserve"> Чулки Calze Linette со стрелками белый 3-4 РАЗМЕР</t>
  </si>
  <si>
    <t xml:space="preserve"> Чулки Calze Linette со стрелками черный 1-2 РАЗМЕР</t>
  </si>
  <si>
    <t xml:space="preserve"> Чулки Calze Linette со стрелками красный 1-2 РАЗМЕР</t>
  </si>
  <si>
    <t xml:space="preserve"> Классические чулки Calze Plus Size 15 den черный 5-6 РАЗМЕР</t>
  </si>
  <si>
    <t xml:space="preserve"> Классические чулки Calze Plus Size 15 den белый 5-6 РАЗМЕР</t>
  </si>
  <si>
    <t xml:space="preserve"> Классические чулки Calze Plus Size 15 den телесный 5-6 РАЗМЕР</t>
  </si>
  <si>
    <t xml:space="preserve"> Чулки под пояс Cher Plus Size 15 den телесный 5-6 РАЗМЕР</t>
  </si>
  <si>
    <t xml:space="preserve"> Чулки под пояс Cher Plus Size 15 den черный 5-6 РАЗМЕР</t>
  </si>
  <si>
    <t xml:space="preserve"> Чулки под пояс Anika Plus Size 20 den черный 5-6 РАЗМЕР</t>
  </si>
  <si>
    <t xml:space="preserve"> Чулки под пояс Anika Plus Size 20 den телесный 5-6 РАЗМЕР</t>
  </si>
  <si>
    <t xml:space="preserve"> Чулки под пояс Katia Plus Size 20 den телесный 5-6 РАЗМЕР</t>
  </si>
  <si>
    <t xml:space="preserve"> Чулки под пояс Katia Plus Size 20 den белый 5-6 РАЗМЕР</t>
  </si>
  <si>
    <t xml:space="preserve"> Чулки под пояс Katia Plus Size 20 den черный 5-6 РАЗМЕР</t>
  </si>
  <si>
    <t xml:space="preserve"> Чулки телесного цвета Katherine с ажурной резинкой на силиконе телесный 3-4 РАЗМЕР</t>
  </si>
  <si>
    <t xml:space="preserve"> Чулки телесного цвета Katherine с ажурной резинкой на силиконе телесный 1-2 РАЗМЕР</t>
  </si>
  <si>
    <t xml:space="preserve"> Чулки Victoria с ажурной резинкой на силиконе черный с красным 1-2 РАЗМЕР</t>
  </si>
  <si>
    <t xml:space="preserve"> Чулки Victoria с ажурной резинкой на силиконе красный с черным 3-4 РАЗМЕР</t>
  </si>
  <si>
    <t xml:space="preserve"> Чулки Victoria с ажурной резинкой на силиконе красный с черным 1-2 РАЗМЕР</t>
  </si>
  <si>
    <t xml:space="preserve"> Чулки Victoria с ажурной резинкой на силиконе черный с красным 3-4 РАЗМЕР</t>
  </si>
  <si>
    <t xml:space="preserve"> Чулки Victoria с кружевной резинкой и матовой полосой под ней красный с черным 5-6 РАЗМЕР</t>
  </si>
  <si>
    <t xml:space="preserve"> Чулки Victoria с кружевной резинкой и матовой полосой под ней черный с красным 5-6 РАЗМЕР</t>
  </si>
  <si>
    <t xml:space="preserve"> Телесные чулки Isabelle с цветной резинкой из ажура кремовый 1-2 РАЗМЕР</t>
  </si>
  <si>
    <t xml:space="preserve"> Телесные чулки Isabelle с цветной резинкой из ажура нежно-голубой 1-2 РАЗМЕР</t>
  </si>
  <si>
    <t xml:space="preserve"> Телесные чулки Isabelle с цветной резинкой из ажура кремовый 3-4 РАЗМЕР</t>
  </si>
  <si>
    <t xml:space="preserve"> Телесные чулки Isabelle с цветной резинкой из ажура нежно-голубой 3-4 РАЗМЕР</t>
  </si>
  <si>
    <t xml:space="preserve"> Телесные чулки Isabelle с ажурной цветной резинкой на силиконе нежно-голубой 5-6 РАЗМЕР</t>
  </si>
  <si>
    <t xml:space="preserve"> Телесные чулки Isabelle с ажурной цветной резинкой на силиконе кремовый 5-6 РАЗМЕР</t>
  </si>
  <si>
    <t xml:space="preserve"> Классические чулки под пояс черный L-XL</t>
  </si>
  <si>
    <t xml:space="preserve"> Классические чулки под пояс черный S-M</t>
  </si>
  <si>
    <t xml:space="preserve"> Соблазнительные чулки под пояс Musca черный S-M</t>
  </si>
  <si>
    <t xml:space="preserve"> Соблазнительные чулки под пояс Musca черный L-XL</t>
  </si>
  <si>
    <t xml:space="preserve"> Пояс с пажами Allure для чулок черный L-XL</t>
  </si>
  <si>
    <t xml:space="preserve"> Пояс с пажами Allure для чулок белый L-XL</t>
  </si>
  <si>
    <t xml:space="preserve"> Пояс с пажами Allure для чулок красный L-XL</t>
  </si>
  <si>
    <t xml:space="preserve"> Пояс с пажами Allure для чулок черный S-M</t>
  </si>
  <si>
    <t xml:space="preserve"> Пояс с пажами Allure для чулок красный S-M</t>
  </si>
  <si>
    <t xml:space="preserve"> Пояс с пажами Allure для чулок белый S-M</t>
  </si>
  <si>
    <t xml:space="preserve"> Чулки из крупной сетки с кружевной резинкой черный One Size</t>
  </si>
  <si>
    <t xml:space="preserve"> Чулки под пояс из мелкой сетки с кружевной резинкой черный One Size</t>
  </si>
  <si>
    <t xml:space="preserve"> Прозрачные чулки с плотной резинкой черный One Size</t>
  </si>
  <si>
    <t xml:space="preserve"> Прозрачные чулки с плотной резинкой телесный One Size</t>
  </si>
  <si>
    <t xml:space="preserve"> Чулки Secred с широким кружевом телесный XXL</t>
  </si>
  <si>
    <t xml:space="preserve"> Чулки в крупную сетку с поясом черный One Size</t>
  </si>
  <si>
    <t xml:space="preserve"> Чулки в крупную сетку с поясом красный One Size</t>
  </si>
  <si>
    <t xml:space="preserve"> Чулки в крупную сетку с поясом белый One Size</t>
  </si>
  <si>
    <t xml:space="preserve"> Чулки TENEBRA 20 den с двухцветной кружевной резинкой черный 3 РАЗМЕР</t>
  </si>
  <si>
    <t xml:space="preserve"> Чулки TENEBRA 20 den с двухцветной кружевной резинкой черный 2 РАЗМЕР</t>
  </si>
  <si>
    <t xml:space="preserve"> Чулки TENEBRA 20 den с двухцветной кружевной резинкой черный 4 РАЗМЕР</t>
  </si>
  <si>
    <t xml:space="preserve"> Кружевной пояс для чулок Charms Plus Size с украшением черный XXL</t>
  </si>
  <si>
    <t xml:space="preserve"> Пикантные чулки из кружева с цветочным узором черный S-M</t>
  </si>
  <si>
    <t xml:space="preserve"> Пикантные чулки из кружева с цветочным узором черный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</si>
  <si>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Пикантные чулки Plus Size из кружева с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XXL-XXXL </d:t>
    </d:r>
  </si>
  <si>
    <t xml:space="preserve"> Оригинальные чулки с поясом-трусиками черный One Size-XL-XXL</t>
  </si>
  <si>
    <t xml:space="preserve"> Оригинальные чулки с поясом-трусиками белый One Size-XL-XXL</t>
  </si>
  <si>
    <t xml:space="preserve"> Оригинальные чулки с поясом-трусиками красный One Size-XL-XXL</t>
  </si>
  <si>
    <t xml:space="preserve"> Сетчатые чулки с резинкой на силиконе черный One Size</t>
  </si>
  <si>
    <t xml:space="preserve"> Чулки с эластичной резинкой на силиконе черный One Size</t>
  </si>
  <si>
    <t xml:space="preserve"> Классические чулки с широкой кружевной резинкой на силиконе черный One Size</t>
  </si>
  <si>
    <t xml:space="preserve"> Классические чулки с силиконовой резинкой черный One Size</t>
  </si>
  <si>
    <t xml:space="preserve"> Стильные чулки с фигурной стрелкой сзади черный One Size</t>
  </si>
  <si>
    <t xml:space="preserve"> Пояс Plus Size с пажами для чулок из сетчатых оборочек красный XXL-XXXL</t>
  </si>
  <si>
    <t xml:space="preserve"> Пояс Plus Size с пажами для чулок из сетчатых оборочек белый XXL-XXXL</t>
  </si>
  <si>
    <t xml:space="preserve"> Пояс Plus Size с пажами для чулок из сетчатых оборочек черный XXL-XXXL</t>
  </si>
  <si>
    <t xml:space="preserve"> Телесные чулки с белым широким кружевом телесный L-XL</t>
  </si>
  <si>
    <t xml:space="preserve"> Телесные чулки с белым широким кружевом телесный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</si>
  <si>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Оригинальные чулки с имитацией шнуровки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</si>
  <si>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Ажурные чулки с резинкой на силиконе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</si>
  <si>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Ажурные чулки с резинкой на силиконе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</si>
  <si>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под пояс с узкой кружевной резинкой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</si>
  <si>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под пояс с узкой кружевной резинкой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</si>
  <si>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под пояс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</si>
  <si>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под пояс с контрастным узором в виде волн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</si>
  <si>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Plus Size в мелкую сеточку с кружевным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XL-XXL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</si>
  <si>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под пояс с синей кружевной резинкой без силикона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</si>
  <si>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под пояс с синей кружевной резинкой без силикона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</si>
  <si>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с поясом и имитацией ажурных стрелок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</si>
  <si>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в сетку на эластичном поясе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</si>
  <si>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под пояс с узкой кружевной резинкой без силикона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</si>
  <si>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под пояс с узкой кружевной резинкой без силикона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</si>
  <si>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Ажурный пояс для чулок с фигурными пажами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</si>
  <si>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Ажурный пояс для чулок с фигурными пажами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</si>
  <si>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с кружевным верхом RAVENIS 20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</si>
  <si>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с кружевным верхом RAVENIS 20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</si>
  <si>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 с кружевным верхом RAVENIS 20 den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</si>
  <si>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Пояс для чулок в комплекте с трусиками-стринг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</si>
  <si>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Пояс для чулок в комплекте с трусиками-стринг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</si>
  <si>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на поясе с ромбовидным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</si>
  <si>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Чулки-сетка с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</si>
  <si>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Изысканный кружевной пояс для чулок на крючках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</si>
  <si>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Изысканный кружевной пояс для чулок на крючках </d:t>
    </d:r>
    <d:r xmlns:d="http://schemas.openxmlformats.org/spreadsheetml/2006/main">
      <d:rPr>
        <d:sz val="11"/>
        <d:color rgb="FF000000"/>
        <d:rFont val="Calibri"/>
      </d:rPr>
      <d:t>черный с бежевым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</si>
  <si>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с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</si>
  <si>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с узором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</si>
  <si>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с узором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1-2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</si>
  <si>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с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1-2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</si>
  <si>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Очаровательные чулки с кружевной резинкой, узорами и стрелкой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1-2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</si>
  <si>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Очаровательные чулки с кружевной резинкой, узорами и стрелкой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1-2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</si>
  <si>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Очаровательные чулки с кружевной резинкой, узорами и стрелкой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</si>
  <si>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Очаровательные чулки с кружевной резинкой, узорами и стрелкой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</si>
  <si>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с имитацией шнуровки и бантами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</si>
  <si>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Эффектные чулки с имитацией шнуровки и бантами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1-2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</si>
  <si>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Очаровательные чулки с узорами в области резинки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1-2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</si>
  <si>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Очаровательные чулки с узорами в области резинки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</si>
  <si>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Широкий кружевной пояс с пажами и трусиками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</si>
  <si>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Широкий кружевной пояс с пажами и трусиками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</si>
  <si>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Восхитительные чулки с кружевной резинкой на силиконе и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</si>
  <si>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Восхитительные чулки с кружевной резинкой на силиконе и цветочным узором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</si>
  <si>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t xml:space="preserve">    Юбки</t>
  </si>
  <si>
    <t xml:space="preserve"> Подъюбник трехслойный черный (50 см) черный 50 СМ.</t>
  </si>
  <si>
    <t xml:space="preserve"> Юбка с контрастным кружевом черный с сиреневым One Size</t>
  </si>
  <si>
    <t xml:space="preserve"> Мини-юбка школьницы шотландка S</t>
  </si>
  <si>
    <t xml:space="preserve"> Мини-юбка школьницы шотландка XS</t>
  </si>
  <si>
    <t xml:space="preserve"> Атласная юбка с большим розовым бантом черный с розовым One Size</t>
  </si>
  <si>
    <t xml:space="preserve"> Юбка Studentessa из стреп-лент белый S-M</t>
  </si>
  <si>
    <t xml:space="preserve"> Юбка Studentessa из стреп-лент черный S-M</t>
  </si>
  <si>
    <t xml:space="preserve"> Юбка Studentessa из стреп-лент красный S-M</t>
  </si>
  <si>
    <t xml:space="preserve">    Парики, накладные волосы</t>
  </si>
  <si>
    <t xml:space="preserve"> Черная сетка для волос под парик черный БЕЗРАЗМЕРНЫЙ</t>
  </si>
  <si>
    <t xml:space="preserve"> Неоновые светящиеся в темноте Clip-In локоны голубой</t>
  </si>
  <si>
    <t xml:space="preserve"> Черно-белые Clip-In локоны с принтом панды белый с черным</t>
  </si>
  <si>
    <t xml:space="preserve"> Цветные Clip-In локоны фиолетовые с розовыми сердечками фиолетовый</t>
  </si>
  <si>
    <t xml:space="preserve"> Светлые Clip-In локоны цвета - Натуральный блонд телесный</t>
  </si>
  <si>
    <t xml:space="preserve"> Цветные Clip-In локоны сливового цвета фиолетовый</t>
  </si>
  <si>
    <t xml:space="preserve"> Телесная сетка для волос под парик телесный</t>
  </si>
  <si>
    <t xml:space="preserve"> Темные Clip-In локоны черный</t>
  </si>
  <si>
    <t xml:space="preserve"> Черно-белые локоны Clip-In черный с белым</t>
  </si>
  <si>
    <t xml:space="preserve"> Складная подставка для парика черный</t>
  </si>
  <si>
    <t xml:space="preserve"> Цветные Clip-In локоны - Черно-розовая зебра розовый с черным</t>
  </si>
  <si>
    <t xml:space="preserve"> Светлые Clip-In локоны - Платиновый блонд белый</t>
  </si>
  <si>
    <t xml:space="preserve"> Цветные Clip-In локоны лилового цвета лиловый</t>
  </si>
  <si>
    <t xml:space="preserve"> Бело-розовый парик Candy розовый с белым</t>
  </si>
  <si>
    <t xml:space="preserve"> Каре цвета платиновый блонд Playfully Platinum молочный</t>
  </si>
  <si>
    <t xml:space="preserve"> Длинная прическа Dark Elegance из струящихся объемных локонов черный</t>
  </si>
  <si>
    <t xml:space="preserve"> Подставка под парик черный</t>
  </si>
  <si>
    <t xml:space="preserve"> Парик брюнетки с чёлкой, длиной до плеч коричневый</t>
  </si>
  <si>
    <t xml:space="preserve"> Рыжеватый парик Amber с косой чёлкой оранжевый</t>
  </si>
  <si>
    <t xml:space="preserve"> Рыжеватый парик со стрижкой лесенкой оранжевый</t>
  </si>
  <si>
    <t xml:space="preserve"> Бордовый парик Sienna бордовый</t>
  </si>
  <si>
    <t xml:space="preserve"> Подставка для парика на ножках черный</t>
  </si>
  <si>
    <t xml:space="preserve"> Сетка под парик бежевый</t>
  </si>
  <si>
    <t xml:space="preserve"> Каштановый парик Jessica с длинными прямыми волосами коричневый One Size</t>
  </si>
  <si>
    <t xml:space="preserve"> Каштановый парик Sienna коричневый One Size</t>
  </si>
  <si>
    <t xml:space="preserve"> Красный парик Khloe с длинной челкой красный One Size</t>
  </si>
  <si>
    <t xml:space="preserve"> Синий парик Khloe с длинной челкой синий One Size</t>
  </si>
  <si>
    <t xml:space="preserve"> Сиреневый парик Khloe с длинной челкой сиреневый One Size</t>
  </si>
  <si>
    <t xml:space="preserve"> Зеленый парик со стрижкой прямой боб зеленый</t>
  </si>
  <si>
    <t xml:space="preserve">    Украшения</t>
  </si>
  <si>
    <t xml:space="preserve"> Серьги-звездочки с кристаллами «Diamond Star»</t>
  </si>
  <si>
    <t xml:space="preserve"> Заколка для волос с красным якорем синий с белым</t>
  </si>
  <si>
    <t xml:space="preserve"> Заколка для волос голубой</t>
  </si>
  <si>
    <t xml:space="preserve"> Заколка для волос с якорем белый с красным</t>
  </si>
  <si>
    <t xml:space="preserve"> Заколка для волос со знаком пики голубой</t>
  </si>
  <si>
    <t xml:space="preserve"> Заколка для волос с медвежонком желтый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</si>
  <si>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Украшение на бедра Dangler Belt </d:t>
    </d:r>
    <d:r xmlns:d="http://schemas.openxmlformats.org/spreadsheetml/2006/main">
      <d:rPr>
        <d:sz val="11"/>
        <d:color rgb="FF000000"/>
        <d:rFont val="Calibri"/>
      </d:rPr>
      <d:t>серебро </d:t>
    </d:r>
    <d:r xmlns:d="http://schemas.openxmlformats.org/spreadsheetml/2006/main">
      <d:rPr>
        <d:sz val="11"/>
        <d:color rgb="FF000000"/>
        <d:rFont val="Calibri"/>
      </d:rPr>
      <d:t xml:space="preserve">БЕЗРАЗМЕРНЫЙ </d:t>
    </d:r>
  </si>
  <si>
    <t xml:space="preserve"> Золотистое украшение на бедра Dangler Belt золото</t>
  </si>
  <si>
    <t xml:space="preserve"> Украшение на тело «Sexy» золото</t>
  </si>
  <si>
    <t xml:space="preserve"> Круглые серьги Bitch золото</t>
  </si>
  <si>
    <t xml:space="preserve"> Шикарное ожерелье Queen золото</t>
  </si>
  <si>
    <t xml:space="preserve"> Серьги-гвоздики с кристаллами серебро БЕЗРАЗМЕРНЫЙ</t>
  </si>
  <si>
    <t xml:space="preserve"> Колье с подвеской Heart Necklace With Bold Chain золото</t>
  </si>
  <si>
    <t xml:space="preserve"> Ошейник из кристаллов «SEXY» Rhinestone Choker золото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</si>
  <si>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Широкий золотистый ошейник с надписью «FUCK» </d:t>
    </d:r>
    <d:r xmlns:d="http://schemas.openxmlformats.org/spreadsheetml/2006/main">
      <d:rPr>
        <d:sz val="11"/>
        <d:color rgb="FF000000"/>
        <d:rFont val="Calibri"/>
      </d:rPr>
      <d:t xml:space="preserve">золото </d:t>
    </d:r>
  </si>
  <si>
    <t xml:space="preserve"> Браслет из золотистых кристаллов Stretch Tennis Bracelet золото</t>
  </si>
  <si>
    <t xml:space="preserve"> Цепочка с большой подвеской-сердцем золото</t>
  </si>
  <si>
    <t xml:space="preserve"> Золотистый галстук из кристаллов «SEXY» Rhinestore Tie золото</t>
  </si>
  <si>
    <t xml:space="preserve"> Галстук из кристаллов «SEXY» Rhinestore Tie серебро БЕЗРАЗМЕРНЫЙ</t>
  </si>
  <si>
    <t xml:space="preserve"> Украшение со звездочками золото</t>
  </si>
  <si>
    <t xml:space="preserve"> Украшение для груди «SEXY» золото</t>
  </si>
  <si>
    <t xml:space="preserve"> Золотистая цепочка с сердцем «TITANIC» Heart Necklace золото</t>
  </si>
  <si>
    <t xml:space="preserve"> Круглые серьги «SEXY» золото</t>
  </si>
  <si>
    <t xml:space="preserve"> Галстук из золотистых кристаллов «EXECUTIVE» Rhinestone Tie золото</t>
  </si>
  <si>
    <t xml:space="preserve"> Ожерелье-бабочка из блестящих кристаллов золото</t>
  </si>
  <si>
    <t xml:space="preserve"> Серьги-сердца из кристаллов «LOVE» золото</t>
  </si>
  <si>
    <t xml:space="preserve"> Цепочка с подвеской «SEXY» золото</t>
  </si>
  <si>
    <t xml:space="preserve"> Золотистый топ из кристаллов Rhinestone Hottie Top золото One Size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</si>
  <si>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Чокер-бабочка Pepe Black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</si>
  <si>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t xml:space="preserve"> Резной браслет Gero Black черный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</si>
  <si>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Коричневый чокер Maze Single Choker </d:t>
    </d:r>
    <d:r xmlns:d="http://schemas.openxmlformats.org/spreadsheetml/2006/main">
      <d:rPr>
        <d:sz val="11"/>
        <d:color rgb="FF000000"/>
        <d:rFont val="Calibri"/>
      </d:rPr>
      <d:t xml:space="preserve">бежевый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</si>
  <si>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Резной широкий кожаный браслет Shana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</si>
  <si>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t xml:space="preserve"> Белая маска на глаза Etheria с кружевами по краю белый</t>
  </si>
  <si>
    <t xml:space="preserve"> Украшение на голову Queen of hearts Arabesque черный</t>
  </si>
  <si>
    <t xml:space="preserve"> Украшение на голову Queen of hearts Arabesque красный</t>
  </si>
  <si>
    <t xml:space="preserve"> Украшение на голову Queen of hearts Arabesque белый</t>
  </si>
  <si>
    <t xml:space="preserve"> Украшение на голову Queen of hearts с длинной бахромой белый</t>
  </si>
  <si>
    <t xml:space="preserve"> Украшение на голову Queen of hearts с длинной бахромой красный</t>
  </si>
  <si>
    <t xml:space="preserve"> Украшение на голову Queen of hearts с длинной бахромой черный</t>
  </si>
  <si>
    <t xml:space="preserve"> Украшение на ноги под обувь Queen of hearts Arabesque черный</t>
  </si>
  <si>
    <t xml:space="preserve"> Украшение на ноги под обувь Queen of hearts Arabesque красный</t>
  </si>
  <si>
    <t xml:space="preserve"> Украшение на ноги под обувь Queen of hearts Arabesque белый</t>
  </si>
  <si>
    <t xml:space="preserve"> Чокер Queen of hearts Bonita с бантиками белый</t>
  </si>
  <si>
    <t xml:space="preserve"> Чокер Queen of hearts Bonita с бантиками красный</t>
  </si>
  <si>
    <t xml:space="preserve"> Чокер Queen of hearts Bonita с бантиками черный</t>
  </si>
  <si>
    <t xml:space="preserve"> Золотистое колье на тело с черным агатом Enigma золото с черным S</t>
  </si>
  <si>
    <t xml:space="preserve"> Колье на тело Vento золотистый S</t>
  </si>
  <si>
    <t xml:space="preserve"> Колье на тело Vento золотистый M</t>
  </si>
  <si>
    <t xml:space="preserve"> Серебристое колье на тело Monika черный с серебристым M</t>
  </si>
  <si>
    <t xml:space="preserve"> Серебристое колье на тело Monika черный с серебристым S</t>
  </si>
  <si>
    <t xml:space="preserve"> Чокер Arabesque с золотистыми элементами черный</t>
  </si>
  <si>
    <t xml:space="preserve"> Маска с ушками Queen of hearts Allure черный</t>
  </si>
  <si>
    <t xml:space="preserve"> Маска с ушками Queen of hearts Allure красный</t>
  </si>
  <si>
    <t xml:space="preserve"> Маска с ушками Queen of hearts Allure белый</t>
  </si>
  <si>
    <t xml:space="preserve"> Декоративная уздечка-кляп Queen of hearts белый</t>
  </si>
  <si>
    <t xml:space="preserve"> Декоративная уздечка-кляп Queen of hearts красный</t>
  </si>
  <si>
    <t xml:space="preserve"> Декоративная уздечка-кляп Queen of hearts черный</t>
  </si>
  <si>
    <t xml:space="preserve"> Чокер на шею Arabesque с металлическими деталями красный</t>
  </si>
  <si>
    <t xml:space="preserve"> Чокер на шею Arabesque с металлическими деталями белый</t>
  </si>
  <si>
    <t xml:space="preserve"> Манжеты на руки с бантиками Bonita белый</t>
  </si>
  <si>
    <t xml:space="preserve"> Манжеты на руки с бантиками Bonita черный</t>
  </si>
  <si>
    <t xml:space="preserve"> Манжеты на руки с бантиками Bonita красный</t>
  </si>
  <si>
    <t xml:space="preserve"> Чёрный ошейник с цепочками Desir Metallique Collar черный с золотистым</t>
  </si>
  <si>
    <t xml:space="preserve"> Украшение на голени Bonita с фиксацией за каблук белый One Size</t>
  </si>
  <si>
    <t xml:space="preserve"> Украшение на голени Bonita с фиксацией за каблук черный One Size</t>
  </si>
  <si>
    <t xml:space="preserve"> Украшение на голени Bonita с фиксацией за каблук красный One Size</t>
  </si>
  <si>
    <t xml:space="preserve"> Украшение на щиколотки Bonita с фиксацией за каблук красный One Size</t>
  </si>
  <si>
    <t xml:space="preserve"> Украшение на щиколотки Bonita с фиксацией за каблук белый One Size</t>
  </si>
  <si>
    <t xml:space="preserve"> Украшение на щиколотки Bonita с фиксацией за каблук черный One Size</t>
  </si>
  <si>
    <t xml:space="preserve"> Повязка на шею из сетки с ярким стежком черный с малиновым</t>
  </si>
  <si>
    <t xml:space="preserve"> Браслет с петлёй на пальчик бежевый</t>
  </si>
  <si>
    <t xml:space="preserve"> Золотистое ожерелье-плеть Magnifique золотистый</t>
  </si>
  <si>
    <t xml:space="preserve">    Другое</t>
  </si>
  <si>
    <t xml:space="preserve"> Короткий халат «Rashida» черный S-M</t>
  </si>
  <si>
    <t xml:space="preserve"> Короткий халат «Rashida» черный L-XL</t>
  </si>
  <si>
    <t xml:space="preserve"> Короткий сетчатый топ с длинными рукавами черный One Size</t>
  </si>
  <si>
    <t xml:space="preserve"> Короткий сетчатый топ с длинными рукавами розовый One Size</t>
  </si>
  <si>
    <t xml:space="preserve"> Длинный галстук в черно-розовую клетку розовая шотландка БЕЗРАЗМЕРНЫЙ</t>
  </si>
  <si>
    <t xml:space="preserve"> Длинный галстук из винила с рисунком розовый БЕЗРАЗМЕРНЫЙ</t>
  </si>
  <si>
    <t xml:space="preserve"> Длинный галстук из винила с рисунком черный БЕЗРАЗМЕРНЫЙ</t>
  </si>
  <si>
    <t xml:space="preserve"> Кожаный топ-американка «Dynasty» черный M</t>
  </si>
  <si>
    <t xml:space="preserve"> Кожаный топ-американка «Dynasty» черный S</t>
  </si>
  <si>
    <t xml:space="preserve"> Кожаный топ-американка «Dynasty» черный L</t>
  </si>
  <si>
    <t xml:space="preserve"> Черный школьный топ с клетчатым воротником черный One Size</t>
  </si>
  <si>
    <t xml:space="preserve"> Клетчатый галстук «Hustler» розовая шотландка БЕЗРАЗМЕРНЫЙ</t>
  </si>
  <si>
    <t xml:space="preserve"> Клетчатый галстук «Hustler» красный с черным</t>
  </si>
  <si>
    <t xml:space="preserve"> Клетчатый галстук «Hustler» синий БЕЗРАЗМЕРНЫЙ</t>
  </si>
  <si>
    <t xml:space="preserve"> Клетчатый галстук «Hustler» зеленый БЕЗРАЗМЕРНЫЙ</t>
  </si>
  <si>
    <t xml:space="preserve"> Сиреневый топ свободного кроя с золотой цепочкой на спине фиолетовый S</t>
  </si>
  <si>
    <t xml:space="preserve"> Сиреневый топ свободного кроя с золотой цепочкой на спине фиолетовый L</t>
  </si>
  <si>
    <t xml:space="preserve"> Сиреневый топ свободного кроя с золотой цепочкой на спине фиолетовый M</t>
  </si>
  <si>
    <t xml:space="preserve"> Короткий топ «XXX» красный M-L</t>
  </si>
  <si>
    <t xml:space="preserve"> Короткий топ «XXX» красный S-M</t>
  </si>
  <si>
    <t xml:space="preserve"> Пижама бэби-долл из блестящего атласа синий M</t>
  </si>
  <si>
    <t xml:space="preserve"> Пижама бэби-долл из блестящего атласа нежно-розовый M</t>
  </si>
  <si>
    <t xml:space="preserve"> Пижама бэби-долл из блестящего атласа черный M</t>
  </si>
  <si>
    <t xml:space="preserve"> Пижама бэби-долл из блестящего атласа фиолетовый M</t>
  </si>
  <si>
    <t xml:space="preserve"> Пижама бэби-долл из блестящего атласа фиолетовый L</t>
  </si>
  <si>
    <t xml:space="preserve"> Пижама бэби-долл из блестящего атласа нежно-розовый L</t>
  </si>
  <si>
    <t xml:space="preserve"> Пижама бэби-долл из блестящего атласа фиолетовый S</t>
  </si>
  <si>
    <t xml:space="preserve"> Пижама бэби-долл из блестящего атласа нежно-розовый S</t>
  </si>
  <si>
    <t xml:space="preserve"> Пижама бэби-долл из блестящего атласа синий S</t>
  </si>
  <si>
    <t xml:space="preserve"> Пижама бэби-долл из блестящего атласа синий L</t>
  </si>
  <si>
    <t xml:space="preserve"> Пижама бэби-долл из блестящего атласа черный S</t>
  </si>
  <si>
    <t xml:space="preserve"> Пижама бэби-долл из блестящего атласа черный L</t>
  </si>
  <si>
    <t xml:space="preserve"> Однотонная пижама из атласа с элегантным блеском красный M</t>
  </si>
  <si>
    <t xml:space="preserve"> Однотонная пижама из атласа с элегантным блеском красный S</t>
  </si>
  <si>
    <t xml:space="preserve"> Однотонная пижама из атласа с элегантным блеском черный S</t>
  </si>
  <si>
    <t xml:space="preserve"> Однотонная пижама из атласа с элегантным блеском черный XL</t>
  </si>
  <si>
    <t xml:space="preserve"> Однотонная пижама из атласа с элегантным блеском красный XL</t>
  </si>
  <si>
    <t xml:space="preserve"> Однотонная пижама из атласа с элегантным блеском черный L</t>
  </si>
  <si>
    <t xml:space="preserve"> Однотонная пижама из атласа с элегантным блеском красный L</t>
  </si>
  <si>
    <t xml:space="preserve"> Костюм из короткого топа и облегающей юбки розовый One Size</t>
  </si>
  <si>
    <t xml:space="preserve"> Костюм из короткого топа и облегающей юбки черный One Size</t>
  </si>
  <si>
    <t xml:space="preserve"> Костюм из короткого топа и облегающей юбки красный One Size</t>
  </si>
  <si>
    <t xml:space="preserve"> Пушистое боа розовый БЕЗРАЗМЕРНЫЙ</t>
  </si>
  <si>
    <t xml:space="preserve"> Пушистое боа белый БЕЗРАЗМЕРНЫЙ</t>
  </si>
  <si>
    <t xml:space="preserve"> Пушистое боа черный с розовым БЕЗРАЗМЕРНЫЙ</t>
  </si>
  <si>
    <t xml:space="preserve"> Пушистое боа красный БЕЗРАЗМЕРНЫЙ</t>
  </si>
  <si>
    <t xml:space="preserve"> Пушистое боа разноцветный БЕЗРАЗМЕРНЫЙ</t>
  </si>
  <si>
    <t xml:space="preserve"> Струящийся халатик с кружевными вставками бирюзовый 1X-2X</t>
  </si>
  <si>
    <t xml:space="preserve"> Струящийся халатик с кружевными вставками фиолетовый 1X-2X</t>
  </si>
  <si>
    <t xml:space="preserve"> Легкий кружевной халатик черный 1X-2X</t>
  </si>
  <si>
    <t xml:space="preserve"> Легкий кружевной халатик белый 1X-2X</t>
  </si>
  <si>
    <t xml:space="preserve"> Струящийся халатик с атласным пояском фиолетовый One Size</t>
  </si>
  <si>
    <t xml:space="preserve"> Струящийся халатик с атласным пояском зеленый One Size</t>
  </si>
  <si>
    <t xml:space="preserve"> Легкий халатик из кружева белый One Size</t>
  </si>
  <si>
    <t xml:space="preserve"> Легкий халатик из кружева черный One Size</t>
  </si>
  <si>
    <t xml:space="preserve"> Черный халат с узором в виде ярких роз черный с красным 1X-2X</t>
  </si>
  <si>
    <t xml:space="preserve"> Маска «Satinia» с кружевной вставкой по центру серый S-M</t>
  </si>
  <si>
    <t xml:space="preserve"> Маска «Satinia» с кружевной вставкой по центру розовый S-M</t>
  </si>
  <si>
    <t xml:space="preserve"> Маска «Satinia» с кружевной вставкой по центру черный S-M</t>
  </si>
  <si>
    <t xml:space="preserve"> Халатик «Satinia» с кружевными вставками на рукавах ярко-розовый L-XL</t>
  </si>
  <si>
    <t xml:space="preserve"> Халатик «Satinia» с кружевными вставками на рукавах черный L-XL</t>
  </si>
  <si>
    <t xml:space="preserve"> Халатик «Satinia» с кружевными вставками на рукавах серый L-XL</t>
  </si>
  <si>
    <t xml:space="preserve"> Халатик «Satinia» с кружевными вставками на рукавах синий L-XL</t>
  </si>
  <si>
    <t xml:space="preserve"> Халатик «Satinia» с кружевными вставками на рукавах ярко-розовый S-M</t>
  </si>
  <si>
    <t xml:space="preserve"> Халатик «Satinia» с кружевными вставками на рукавах серый S-M</t>
  </si>
  <si>
    <t xml:space="preserve"> Халатик «Satinia» с кружевными вставками на рукавах синий S-M</t>
  </si>
  <si>
    <t xml:space="preserve"> Халатик «Satinia» с кружевными вставками на рукавах черный S-M</t>
  </si>
  <si>
    <t xml:space="preserve"> Комплект из кроп-топа и мини-юбки черный One Size</t>
  </si>
  <si>
    <t xml:space="preserve"> Гладкие топ-бандо и мини-юбка черный One Size</t>
  </si>
  <si>
    <t xml:space="preserve"> Кружевные топ-бандо и мини-юбка черный One Size</t>
  </si>
  <si>
    <t xml:space="preserve"> Леопардовые топ-бандо и мини-юбка черный One Size</t>
  </si>
  <si>
    <t xml:space="preserve"> Кружевные черные манжеты Desiderio черный S-M</t>
  </si>
  <si>
    <t xml:space="preserve"> Мешочек для бережной стирки нижнего белья в стиральной машине белый</t>
  </si>
  <si>
    <t xml:space="preserve"> Топ с длинными рукавами и пажами для чулок черный S</t>
  </si>
  <si>
    <t xml:space="preserve"> Пикантный комплект Veronna: удлиненный топ и трусики черный S-M</t>
  </si>
  <si>
    <t xml:space="preserve"> Пикантный комплект Veronna: удлиненный топ и трусики черный L-XL</t>
  </si>
  <si>
    <t xml:space="preserve"> Серая пижамка с кружевом серый M</t>
  </si>
  <si>
    <t xml:space="preserve"> Серая пижамка с кружевом серый L</t>
  </si>
  <si>
    <t xml:space="preserve"> Серая пижамка с кружевом серый S</t>
  </si>
  <si>
    <t xml:space="preserve"> Белый прозрачный халат с кружевной оторочкой белый S-M</t>
  </si>
  <si>
    <t xml:space="preserve"> Белый прозрачный халат с кружевной оторочкой белый M-L</t>
  </si>
  <si>
    <t xml:space="preserve"> Полупрозрачный халатик с кружевной оторочкой и поясом черный M-L</t>
  </si>
  <si>
    <t xml:space="preserve"> Полупрозрачный халатик с кружевной оторочкой и поясом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</si>
  <si>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Очаровательный халат с поясом и кружевной оторочкой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</si>
  <si>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Очаровательный халат с поясом и кружевной оторочкой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</si>
  <si>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Очаровательный халат с разрезами и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</si>
  <si>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Очаровательный халат с разрезами и поясом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</si>
  <si>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t xml:space="preserve"> Оригинальный прозрачный халатик с открытыми плечами черный S-M</t>
  </si>
  <si>
    <t xml:space="preserve"> Оригинальный прозрачный халатик с открытыми плечами черный M-L</t>
  </si>
  <si>
    <t xml:space="preserve"> Оригинальный халатик из сетки с кружевной отделкой белый M-L</t>
  </si>
  <si>
    <t xml:space="preserve"> Оригинальный халатик из сетки с кружевной отделкой белый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</si>
  <si>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Большая кепка из кожи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</si>
  <si>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t xml:space="preserve"> Оригинальный халатик из сетки с открытыми плечами белый S-M</t>
  </si>
  <si>
    <t xml:space="preserve"> Оригинальный халатик из сетки с открытыми плечами белый M-L</t>
  </si>
  <si>
    <t xml:space="preserve"> Нежный комплект для сна Marcia с кружевами по краю красный XL</t>
  </si>
  <si>
    <t xml:space="preserve"> Нежный комплект для сна Marcia с кружевами по краю красный M</t>
  </si>
  <si>
    <t xml:space="preserve"> Нежный комплект для сна Marcia с кружевами по краю красный S</t>
  </si>
  <si>
    <t xml:space="preserve"> Нежный комплект для сна Marcia с кружевами по краю красный L</t>
  </si>
  <si>
    <t xml:space="preserve"> Ночной комплект Petra Plus Size: маечка и шорты красный XXL</t>
  </si>
  <si>
    <t xml:space="preserve"> Ночной комплект Petra Plus Size: маечка и шорты красный XXXL</t>
  </si>
  <si>
    <t xml:space="preserve"> Игривый комплект Mellissa: топ и шорты с кружевом белый S-M</t>
  </si>
  <si>
    <t xml:space="preserve"> Игривый комплект Mellissa: топ и шорты с кружевом черный S-M</t>
  </si>
  <si>
    <t xml:space="preserve"> Игривый комплект Mellissa: топ и шорты с кружевом синий S-M</t>
  </si>
  <si>
    <t xml:space="preserve"> Игривый комплект Mellissa: топ и шорты с кружевом белый L-XL</t>
  </si>
  <si>
    <t xml:space="preserve"> Игривый комплект Mellissa: топ и шорты с кружевом черный L-XL</t>
  </si>
  <si>
    <t xml:space="preserve"> Игривый комплект Mellissa: топ и шорты с кружевом синий L-XL</t>
  </si>
  <si>
    <t xml:space="preserve"> Нежный комплект Federica: блузка и трусики белый L-XL</t>
  </si>
  <si>
    <t xml:space="preserve"> Нежный комплект Federica: блузка и трусики белый S-M</t>
  </si>
  <si>
    <t xml:space="preserve"> Игривый комплект Raquel: топ и шорты белый S-M</t>
  </si>
  <si>
    <t xml:space="preserve"> Игривый комплект Raquel: топ и шорты черный S-M</t>
  </si>
  <si>
    <t xml:space="preserve"> Игривый комплект Raquel: топ и шорты белый L-XL</t>
  </si>
  <si>
    <t xml:space="preserve"> Игривый комплект Raquel: топ и шорты черный L-XL</t>
  </si>
  <si>
    <t xml:space="preserve"> Набор пикантных аксессуаров Velma черный S-M</t>
  </si>
  <si>
    <t xml:space="preserve"> Набор пикантных аксессуаров Velma черный L-XL</t>
  </si>
  <si>
    <t xml:space="preserve"> Соблазнительный комплект для сна Shannon кремовый L-XL</t>
  </si>
  <si>
    <t xml:space="preserve"> Соблазнительный комплект для сна Shannon кремовый S-M</t>
  </si>
  <si>
    <t xml:space="preserve"> Соблазнительный комплект для сна Sheryl кремовый S-M</t>
  </si>
  <si>
    <t xml:space="preserve"> Соблазнительный комплект для сна Sheryl кремовый L-XL</t>
  </si>
  <si>
    <t xml:space="preserve"> Комплект для сна с кружевом Marceline белый L-XL</t>
  </si>
  <si>
    <t xml:space="preserve"> Комплект для сна с кружевом Marceline белый S-M</t>
  </si>
  <si>
    <t xml:space="preserve"> Нежный комплект для сна Miracle розовый S-M</t>
  </si>
  <si>
    <t xml:space="preserve"> Нежный комплект для сна Miracle розовый L-XL</t>
  </si>
  <si>
    <t xml:space="preserve"> Коротенькая пижамка Nessie синий L-XL</t>
  </si>
  <si>
    <t xml:space="preserve"> Коротенькая пижамка Nessie синий S-M</t>
  </si>
  <si>
    <t xml:space="preserve"> Нежный и приятный к телу комплект белья Marcy розовый S-M</t>
  </si>
  <si>
    <t xml:space="preserve"> Нежный и приятный к телу комплект белья Marcy черный S-M</t>
  </si>
  <si>
    <t xml:space="preserve"> Нежный и приятный к телу комплект белья Marcy розовый L-XL</t>
  </si>
  <si>
    <t xml:space="preserve"> Нежный и приятный к телу комплект белья Marcy черный L-XL</t>
  </si>
  <si>
    <t xml:space="preserve"> Сатиновые подвязки на ноги для защиты от натирания бежевый 5-6 РАЗМЕР</t>
  </si>
  <si>
    <t xml:space="preserve"> Сатиновые подвязки на ноги для защиты от натирания черный 5-6 РАЗМЕР</t>
  </si>
  <si>
    <t xml:space="preserve"> Сатиновые подвязки на ноги для защиты от натирания черный 7-8 РАЗМЕР</t>
  </si>
  <si>
    <t xml:space="preserve"> Сатиновые подвязки на ноги для защиты от натирания бежевый 7-8 РАЗМЕР</t>
  </si>
  <si>
    <t xml:space="preserve"> Ночной комплект Desiree: топ и шортики черный L-XL</t>
  </si>
  <si>
    <t xml:space="preserve"> Ночной комплект Desiree: топ и шортики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</si>
  <si>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Маска-сетка на глаза ERIKA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</si>
  <si>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Комплект для сна Marceline Plus Size с кружевом </d:t>
    </d:r>
    <d:r xmlns:d="http://schemas.openxmlformats.org/spreadsheetml/2006/main">
      <d:rPr>
        <d:sz val="11"/>
        <d:color rgb="FF000000"/>
        <d:rFont val="Calibri"/>
      </d:rPr>
      <d:t>белый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</si>
  <si>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Кружевные подвязки на бедро для защиты от натираний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</si>
  <si>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Кружевные подвязки на бедро для защиты от натираний </d:t>
    </d:r>
    <d:r xmlns:d="http://schemas.openxmlformats.org/spreadsheetml/2006/main">
      <d:rPr>
        <d:sz val="11"/>
        <d:color rgb="FF000000"/>
        <d:rFont val="Calibri"/>
      </d:rPr>
      <d:t>бежевый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</si>
  <si>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Сатиновые подвязки на бедра для защиты от натирания </d:t>
    </d:r>
    <d:r xmlns:d="http://schemas.openxmlformats.org/spreadsheetml/2006/main">
      <d:rPr>
        <d:sz val="11"/>
        <d:color rgb="FF000000"/>
        <d:rFont val="Calibri"/>
      </d:rPr>
      <d:t>бежевый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</si>
  <si>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Сатиновые подвязки на бедра для защиты от натирания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3-4 РАЗМЕР </d:t>
    </d:r>
  </si>
  <si>
    <t xml:space="preserve">  Мужская одежда и белье</t>
  </si>
  <si>
    <t xml:space="preserve">    Майки</t>
  </si>
  <si>
    <t xml:space="preserve"> Мужская борцовка с V-образным вырезом черный S-M</t>
  </si>
  <si>
    <t xml:space="preserve"> Мужская борцовка с V-образным вырезом черный с белым S-M</t>
  </si>
  <si>
    <t xml:space="preserve"> Мужская борцовка с V-образным вырезом черный L-XL</t>
  </si>
  <si>
    <t xml:space="preserve"> Мужская борцовка с V-образным вырезом черный с белым L-XL</t>
  </si>
  <si>
    <t xml:space="preserve"> Классическая футболка с V-образным вырезом из сетки черный L-XL</t>
  </si>
  <si>
    <t xml:space="preserve"> Классическая футболка с V-образным вырезом из сетки хаки L-XL</t>
  </si>
  <si>
    <t xml:space="preserve"> Классическая футболка с V-образным вырезом из сетки леопард L-XL</t>
  </si>
  <si>
    <t xml:space="preserve"> Классическая футболка с V-образным вырезом из сетки черный S-M</t>
  </si>
  <si>
    <t xml:space="preserve"> Классическая футболка с V-образным вырезом из сетки леопард S-M</t>
  </si>
  <si>
    <t xml:space="preserve"> Классическая футболка с V-образным вырезом из сетки хаки S-M</t>
  </si>
  <si>
    <t xml:space="preserve"> Мужская майка-борцовка в сетку леопард S-M</t>
  </si>
  <si>
    <t xml:space="preserve"> Мужская майка-борцовка в сетку черный S-M</t>
  </si>
  <si>
    <t xml:space="preserve"> Мужская майка-борцовка в сетку хаки S-M</t>
  </si>
  <si>
    <t xml:space="preserve"> Мужская майка-борцовка в сетку леопард L-XL</t>
  </si>
  <si>
    <t xml:space="preserve"> Мужская майка-борцовка в сетку хаки L-XL</t>
  </si>
  <si>
    <t xml:space="preserve"> Мужская майка-борцовка в сетку черный L-XL</t>
  </si>
  <si>
    <t xml:space="preserve"> Фиолетовая облегающая футболка с рисунком-ячейками фиолетовый M</t>
  </si>
  <si>
    <t xml:space="preserve"> Фиолетовая облегающая футболка с рисунком-ячейками фиолетовый S</t>
  </si>
  <si>
    <t xml:space="preserve"> Фиолетовая облегающая футболка с рисунком-ячейками фиолетовый L</t>
  </si>
  <si>
    <t xml:space="preserve"> Серая мужская футболка в облипку серый S</t>
  </si>
  <si>
    <t xml:space="preserve"> Серая мужская футболка в облипку серый L</t>
  </si>
  <si>
    <t xml:space="preserve"> Серая мужская футболка в облипку серый M</t>
  </si>
  <si>
    <t xml:space="preserve"> Эротическое мужское боди Bryan черный XXXL</t>
  </si>
  <si>
    <t xml:space="preserve"> Эротическое мужское боди Bryan черный XXL</t>
  </si>
  <si>
    <t xml:space="preserve"> Эротическое мужское боди Bryan черный L</t>
  </si>
  <si>
    <t xml:space="preserve"> Эротическое мужское боди Bryan черный XL</t>
  </si>
  <si>
    <t xml:space="preserve"> Мужское боди Derrick из ткани с wet-эффектом черный XL</t>
  </si>
  <si>
    <t xml:space="preserve"> Мужское боди Derrick из ткани с wet-эффектом черный L</t>
  </si>
  <si>
    <t xml:space="preserve"> Мужское боди Derrick из ткани с wet-эффектом черный XXL</t>
  </si>
  <si>
    <t xml:space="preserve"> Мужское боди Derrick из ткани с wet-эффектом черный XXXL</t>
  </si>
  <si>
    <t xml:space="preserve"> Чёрно-белое боди официанта черный с белым XXL-XXXL</t>
  </si>
  <si>
    <t xml:space="preserve"> Чёрно-белое боди официанта черный с белым S-M</t>
  </si>
  <si>
    <t xml:space="preserve"> Чёрно-белое боди официанта черный с белым L-XL</t>
  </si>
  <si>
    <t xml:space="preserve"> Облегающее мужское боди с открытыми ягодицами черный XXL-XXXL</t>
  </si>
  <si>
    <t xml:space="preserve"> Облегающее мужское боди с открытыми ягодицами черный S-M</t>
  </si>
  <si>
    <t xml:space="preserve"> Облегающее мужское боди с открытыми ягодицами черный L-XL</t>
  </si>
  <si>
    <t xml:space="preserve"> Мужское боди с открытыми ягодицами черный L-XL</t>
  </si>
  <si>
    <t xml:space="preserve"> Мужское боди с открытыми ягодицами черный S-M</t>
  </si>
  <si>
    <t xml:space="preserve"> Мужское боди с открытыми ягодицами черный XXL-XXXL</t>
  </si>
  <si>
    <t xml:space="preserve"> Хлопковая мужская майка черный M</t>
  </si>
  <si>
    <t xml:space="preserve"> Хлопковая мужская майка белый M</t>
  </si>
  <si>
    <t xml:space="preserve"> Хлопковая мужская майка белый L</t>
  </si>
  <si>
    <t xml:space="preserve"> Хлопковая мужская майка черный S</t>
  </si>
  <si>
    <t xml:space="preserve"> Хлопковая мужская майка белый S</t>
  </si>
  <si>
    <t xml:space="preserve"> Хлопковая мужская майка черный XXL</t>
  </si>
  <si>
    <t xml:space="preserve"> Хлопковая мужская майка белый XXL</t>
  </si>
  <si>
    <t xml:space="preserve"> Хлопковая мужская майка черный L</t>
  </si>
  <si>
    <t xml:space="preserve"> Хлопковая мужская майка белый XL</t>
  </si>
  <si>
    <t xml:space="preserve"> Хлопковая мужская майка черный XL</t>
  </si>
  <si>
    <t xml:space="preserve"> Мужское боди Gonzalo черный L-XL</t>
  </si>
  <si>
    <t xml:space="preserve"> Мужское боди Gonzalo белый XXL-XXXL</t>
  </si>
  <si>
    <t xml:space="preserve"> Мужское боди Gonzalo белый L-XL</t>
  </si>
  <si>
    <t xml:space="preserve"> Мужское боди Gonzalo черный S-M</t>
  </si>
  <si>
    <t xml:space="preserve"> Мужское боди Gonzalo белый S-M</t>
  </si>
  <si>
    <t xml:space="preserve"> Мужское боди Gonzalo черный XXL-XXXL</t>
  </si>
  <si>
    <t xml:space="preserve"> Соблазнительное мужское боди Sergio белый L-XL</t>
  </si>
  <si>
    <t xml:space="preserve"> Соблазнительное мужское боди Sergio черный XXL-XXXL</t>
  </si>
  <si>
    <t xml:space="preserve"> Соблазнительное мужское боди Sergio белый S-M</t>
  </si>
  <si>
    <t xml:space="preserve"> Соблазнительное мужское боди Sergio черный S-M</t>
  </si>
  <si>
    <t xml:space="preserve"> Соблазнительное мужское боди Sergio белый XXL-XXXL</t>
  </si>
  <si>
    <t xml:space="preserve"> Соблазнительное мужское боди Sergio черный L-XL</t>
  </si>
  <si>
    <t xml:space="preserve"> Оригинальная мужская портупея-подтяжки черный L-XL</t>
  </si>
  <si>
    <t xml:space="preserve"> Оригинальная мужская портупея-подтяжки черный S-M</t>
  </si>
  <si>
    <t xml:space="preserve"> Оригинальная мужская портупея-подтяжки черный XXL-XXXL</t>
  </si>
  <si>
    <t xml:space="preserve"> Портупея на одно плечо черный XXL-XXXL</t>
  </si>
  <si>
    <t xml:space="preserve"> Портупея на одно плечо черный S-M</t>
  </si>
  <si>
    <t xml:space="preserve"> Портупея на одно плечо черный L-XL</t>
  </si>
  <si>
    <t xml:space="preserve"> Мужская крестообразная портупея черный L-XL</t>
  </si>
  <si>
    <t xml:space="preserve"> Мужская крестообразная портупея черный S-M</t>
  </si>
  <si>
    <t xml:space="preserve"> Мужская крестообразная портупея черный XXL-XXXL</t>
  </si>
  <si>
    <t xml:space="preserve"> Мужская обтягивающая футболка в мелкий рубчик белый M</t>
  </si>
  <si>
    <t xml:space="preserve"> Мужская обтягивающая футболка в мелкий рубчик темно-синий M</t>
  </si>
  <si>
    <t xml:space="preserve"> Мужская обтягивающая футболка в мелкий рубчик темно-синий S</t>
  </si>
  <si>
    <t xml:space="preserve"> Мужская обтягивающая футболка в мелкий рубчик белый L</t>
  </si>
  <si>
    <t xml:space="preserve"> Мужская обтягивающая футболка в мелкий рубчик темно-синий L</t>
  </si>
  <si>
    <t xml:space="preserve"> Мужская обтягивающая футболка в мелкий рубчик белый S</t>
  </si>
  <si>
    <t xml:space="preserve"> Мужская обтягивающая футболка в мелкий рубчик белый XXL</t>
  </si>
  <si>
    <t xml:space="preserve"> Мужская обтягивающая футболка в мелкий рубчик темно-синий XL</t>
  </si>
  <si>
    <t xml:space="preserve"> Мужская обтягивающая футболка в мелкий рубчик темно-синий XXL</t>
  </si>
  <si>
    <t xml:space="preserve"> Мужская обтягивающая футболка в мелкий рубчик белый XL</t>
  </si>
  <si>
    <t xml:space="preserve"> Мужская майка с широкими лямками белый XL</t>
  </si>
  <si>
    <t xml:space="preserve"> Мужская майка с широкими лямками белый XXL</t>
  </si>
  <si>
    <t xml:space="preserve"> Мужская майка с широкими лямками белый L</t>
  </si>
  <si>
    <t xml:space="preserve"> Мужская майка с широкими лямками белый S</t>
  </si>
  <si>
    <t xml:space="preserve"> Мужская майка с широкими лямками белый M</t>
  </si>
  <si>
    <t xml:space="preserve"> Футболка по фигуре из модально-хлопковой ткани красный M</t>
  </si>
  <si>
    <t xml:space="preserve"> Футболка по фигуре из модально-хлопковой ткани красный S</t>
  </si>
  <si>
    <t xml:space="preserve"> Футболка по фигуре из модально-хлопковой ткани красный L</t>
  </si>
  <si>
    <t xml:space="preserve"> Футболка по фигуре из модально-хлопковой ткани красный XXL</t>
  </si>
  <si>
    <t xml:space="preserve"> Футболка по фигуре из модально-хлопковой ткани красный XL</t>
  </si>
  <si>
    <t xml:space="preserve"> Мужская полупрозрачная майка черный XL</t>
  </si>
  <si>
    <t xml:space="preserve"> Мужская полупрозрачная майка темно-синий L</t>
  </si>
  <si>
    <t xml:space="preserve"> Мужская полупрозрачная майка темно-синий XL</t>
  </si>
  <si>
    <t xml:space="preserve"> Мужская полупрозрачная майка черный L</t>
  </si>
  <si>
    <t xml:space="preserve"> Мужская полупрозрачная майка белый XL</t>
  </si>
  <si>
    <t xml:space="preserve"> Мужская полупрозрачная майка белый XXL</t>
  </si>
  <si>
    <t xml:space="preserve"> Мужская полупрозрачная майка черный XXL</t>
  </si>
  <si>
    <t xml:space="preserve"> Мужская полупрозрачная майка темно-синий XXL</t>
  </si>
  <si>
    <t xml:space="preserve"> Мужская полупрозрачная майка белый L</t>
  </si>
  <si>
    <t xml:space="preserve"> Мужская полупрозрачная майка белый S</t>
  </si>
  <si>
    <t xml:space="preserve"> Мужская полупрозрачная майка черный M</t>
  </si>
  <si>
    <t xml:space="preserve"> Мужская полупрозрачная майка черный S</t>
  </si>
  <si>
    <t xml:space="preserve"> Мужская полупрозрачная майка темно-синий M</t>
  </si>
  <si>
    <t xml:space="preserve"> Мужская полупрозрачная майка темно-синий S</t>
  </si>
  <si>
    <t xml:space="preserve"> Мужская полупрозрачная майка белый M</t>
  </si>
  <si>
    <t xml:space="preserve"> Мужская футболка с V-образным вырезом зеленый M</t>
  </si>
  <si>
    <t xml:space="preserve"> Мужская футболка с V-образным вырезом красный M</t>
  </si>
  <si>
    <t xml:space="preserve"> Мужская футболка с V-образным вырезом черный M</t>
  </si>
  <si>
    <t xml:space="preserve"> Мужская футболка с V-образным вырезом черный S</t>
  </si>
  <si>
    <t xml:space="preserve"> Мужская футболка с V-образным вырезом красный S</t>
  </si>
  <si>
    <t xml:space="preserve"> Мужская футболка с V-образным вырезом зеленый L</t>
  </si>
  <si>
    <t xml:space="preserve"> Мужская футболка с V-образным вырезом зеленый S</t>
  </si>
  <si>
    <t xml:space="preserve"> Мужская футболка с V-образным вырезом черный XXL</t>
  </si>
  <si>
    <t xml:space="preserve"> Мужская футболка с V-образным вырезом красный XXL</t>
  </si>
  <si>
    <t xml:space="preserve"> Мужская футболка с V-образным вырезом зеленый XL</t>
  </si>
  <si>
    <t xml:space="preserve"> Мужская футболка с V-образным вырезом зеленый XXL</t>
  </si>
  <si>
    <t xml:space="preserve"> Мужская футболка с V-образным вырезом красный XL</t>
  </si>
  <si>
    <t xml:space="preserve"> Мужская футболка с V-образным вырезом черный L</t>
  </si>
  <si>
    <t xml:space="preserve"> Мужская футболка с V-образным вырезом черный XL</t>
  </si>
  <si>
    <t xml:space="preserve"> Футболка из хлопково-модальной ткани черный XL</t>
  </si>
  <si>
    <t xml:space="preserve"> Футболка из хлопково-модальной ткани черный L</t>
  </si>
  <si>
    <t xml:space="preserve"> Футболка из хлопково-модальной ткани зеленый XL</t>
  </si>
  <si>
    <t xml:space="preserve"> Футболка из хлопково-модальной ткани зеленый XXL</t>
  </si>
  <si>
    <t xml:space="preserve"> Футболка из хлопково-модальной ткани черный XXL</t>
  </si>
  <si>
    <t xml:space="preserve"> Футболка из хлопково-модальной ткани зеленый S</t>
  </si>
  <si>
    <t xml:space="preserve"> Футболка из хлопково-модальной ткани зеленый L</t>
  </si>
  <si>
    <t xml:space="preserve"> Футболка из хлопково-модальной ткани черный S</t>
  </si>
  <si>
    <t xml:space="preserve"> Футболка из хлопково-модальной ткани черный M</t>
  </si>
  <si>
    <t xml:space="preserve"> Футболка из хлопково-модальной ткани зеленый M</t>
  </si>
  <si>
    <t xml:space="preserve"> Мужская обтягивающая майка белый M</t>
  </si>
  <si>
    <t xml:space="preserve"> Мужская обтягивающая майка черный M</t>
  </si>
  <si>
    <t xml:space="preserve"> Мужская обтягивающая майка черный S</t>
  </si>
  <si>
    <t xml:space="preserve"> Мужская обтягивающая майка белый S</t>
  </si>
  <si>
    <t xml:space="preserve"> Мужская обтягивающая майка белый L</t>
  </si>
  <si>
    <t xml:space="preserve"> Мужская обтягивающая майка белый XXL</t>
  </si>
  <si>
    <t xml:space="preserve"> Мужская обтягивающая майка черный XXL</t>
  </si>
  <si>
    <t xml:space="preserve"> Мужская обтягивающая майка белый XL</t>
  </si>
  <si>
    <t xml:space="preserve"> Мужская обтягивающая майка черный L</t>
  </si>
  <si>
    <t xml:space="preserve"> Мужская обтягивающая майка черный XL</t>
  </si>
  <si>
    <t xml:space="preserve"> Полупрозрачная майка из хлопка телесный XL</t>
  </si>
  <si>
    <t xml:space="preserve"> Полупрозрачная майка из хлопка телесный L</t>
  </si>
  <si>
    <t xml:space="preserve"> Полупрозрачная майка из хлопка белый XL</t>
  </si>
  <si>
    <t xml:space="preserve"> Полупрозрачная майка из хлопка белый XXL</t>
  </si>
  <si>
    <t xml:space="preserve"> Полупрозрачная майка из хлопка телесный XXL</t>
  </si>
  <si>
    <t xml:space="preserve"> Полупрозрачная майка из хлопка белый L</t>
  </si>
  <si>
    <t xml:space="preserve"> Полупрозрачная майка из хлопка телесный M</t>
  </si>
  <si>
    <t xml:space="preserve"> Полупрозрачная майка из хлопка телесный S</t>
  </si>
  <si>
    <t xml:space="preserve"> Полупрозрачная майка из хлопка белый S</t>
  </si>
  <si>
    <t xml:space="preserve"> Полупрозрачная майка из хлопка белый M</t>
  </si>
  <si>
    <t xml:space="preserve"> Стильная мужская портупея на одно плечо черный S-M</t>
  </si>
  <si>
    <t xml:space="preserve"> Стильная мужская портупея на одно плечо черный L-XL</t>
  </si>
  <si>
    <t xml:space="preserve"> Стильная мужская портупея на одно плечо черный XXL-XXXL</t>
  </si>
  <si>
    <t xml:space="preserve"> Эластичная мужская портупея на плечи черный XXL-XXXL</t>
  </si>
  <si>
    <t xml:space="preserve"> Эластичная мужская портупея на плечи черный L-XL</t>
  </si>
  <si>
    <t xml:space="preserve"> Эластичная мужская портупея на плечи черный S-M</t>
  </si>
  <si>
    <t xml:space="preserve">    Трусы</t>
  </si>
  <si>
    <t xml:space="preserve"> Мужские трусики-стринг красный One Size</t>
  </si>
  <si>
    <t xml:space="preserve"> Мужские трусики-стринг черный One Size</t>
  </si>
  <si>
    <t xml:space="preserve"> Мужские стринги с колечками черный One Size</t>
  </si>
  <si>
    <t xml:space="preserve"> Мужские стринги с колечками белый One Size</t>
  </si>
  <si>
    <t xml:space="preserve"> Мужские стринги с анималистическим принтом - зебра или змея серый с черным One Size</t>
  </si>
  <si>
    <t xml:space="preserve"> Мужские стринги с анималистическим принтом - зебра или змея зебра One Size</t>
  </si>
  <si>
    <t xml:space="preserve"> Мужские трусы с открытой попой красный M-L</t>
  </si>
  <si>
    <t xml:space="preserve"> Мужские трусы с открытой попой черный M-L</t>
  </si>
  <si>
    <t xml:space="preserve"> Мужские трусы с открытой попой черный XL</t>
  </si>
  <si>
    <t xml:space="preserve"> Мужские трусы с открытой попой красный XL</t>
  </si>
  <si>
    <t xml:space="preserve"> Радужные мужские стринги черный XL</t>
  </si>
  <si>
    <t xml:space="preserve"> Радужные мужские стринги розовый XL</t>
  </si>
  <si>
    <t xml:space="preserve"> Радужные мужские стринги желтый XL</t>
  </si>
  <si>
    <t xml:space="preserve"> Радужные мужские стринги черный M-L</t>
  </si>
  <si>
    <t xml:space="preserve"> Радужные мужские стринги желтый M-L</t>
  </si>
  <si>
    <t xml:space="preserve"> Радужные мужские стринги розовый M-L</t>
  </si>
  <si>
    <t xml:space="preserve"> Мужские стринги на замочке белый One Size</t>
  </si>
  <si>
    <t xml:space="preserve"> Мужские стринги на замочке черный One Size</t>
  </si>
  <si>
    <t xml:space="preserve"> Мужские стринги на замочке красный One Size</t>
  </si>
  <si>
    <t xml:space="preserve"> Мужские стринги на молнии черный One Size</t>
  </si>
  <si>
    <t xml:space="preserve"> Трусы-стринги со слоном черный One Size</t>
  </si>
  <si>
    <t xml:space="preserve"> Трусы-стринги со слоном красный One Size</t>
  </si>
  <si>
    <t xml:space="preserve"> Трусы-стринги со слоном розовый One Size</t>
  </si>
  <si>
    <t xml:space="preserve"> Трусы-стринги со слоном голубой One Size</t>
  </si>
  <si>
    <t xml:space="preserve"> Мужские стринги «Смокинг» красный с черным One Size</t>
  </si>
  <si>
    <t xml:space="preserve"> Мужские стринги «Смокинг» белый с черным One Size</t>
  </si>
  <si>
    <t xml:space="preserve"> Стринги с бретелями на кольцах белый One Size</t>
  </si>
  <si>
    <t xml:space="preserve"> Стринги с бретелями на кольцах красный One Size</t>
  </si>
  <si>
    <t xml:space="preserve"> Мужские стринги с контрастными бретелями</t>
  </si>
  <si>
    <t xml:space="preserve"> Мужские стринги на застёжке черный M</t>
  </si>
  <si>
    <t xml:space="preserve"> Мужские стринги на застёжке красный M</t>
  </si>
  <si>
    <t xml:space="preserve"> Мужские стринги на застёжке красный L</t>
  </si>
  <si>
    <t xml:space="preserve"> Мужские стринги на застёжке черный L</t>
  </si>
  <si>
    <t xml:space="preserve"> Мужские стринги на застёжке красный XL</t>
  </si>
  <si>
    <t xml:space="preserve"> Мужские стринги на застёжке черный XL</t>
  </si>
  <si>
    <t xml:space="preserve"> Трусики-стринг настоящего джентльмена черный с белым One Size</t>
  </si>
  <si>
    <t xml:space="preserve"> Мужские трусики-стринги «Подарок» красный с белым One Size</t>
  </si>
  <si>
    <t xml:space="preserve"> Мужские стринги со змеёй зебра One Size</t>
  </si>
  <si>
    <t xml:space="preserve"> Мужские стринги «Слоник» красный с розовым One Size</t>
  </si>
  <si>
    <t xml:space="preserve"> Мужские стринги «Слоник» черный с розовым One Size</t>
  </si>
  <si>
    <t xml:space="preserve"> Мужские стринги «Слоник» серый с розовым One Size</t>
  </si>
  <si>
    <t xml:space="preserve"> Мужские стринги с леопардовым принтом леопард One Size</t>
  </si>
  <si>
    <t xml:space="preserve"> Трусы с прозрачной задней частью черный с красным M-L</t>
  </si>
  <si>
    <t xml:space="preserve"> Трусы с прозрачной задней частью черный M-L</t>
  </si>
  <si>
    <t xml:space="preserve"> Трусы с прозрачной задней частью черный с красным XL</t>
  </si>
  <si>
    <t xml:space="preserve"> Трусы с прозрачной задней частью черный XL</t>
  </si>
  <si>
    <t xml:space="preserve"> Мужские трусы-стринги «Джентльмен» черный с белым XL</t>
  </si>
  <si>
    <t xml:space="preserve"> Мужские трусы-стринги «Джентльмен» черный с белым M-L</t>
  </si>
  <si>
    <t xml:space="preserve"> Мужские трусы с вырезом на попе черный M-L</t>
  </si>
  <si>
    <t xml:space="preserve"> Мужские трусы с вырезом на попе черный S-M</t>
  </si>
  <si>
    <t xml:space="preserve"> Мужские трусы с вырезом на попе черный XL</t>
  </si>
  <si>
    <t xml:space="preserve"> Мужские стринги в морском стиле белый One Size</t>
  </si>
  <si>
    <t xml:space="preserve"> Мужские стринги в морском стиле синий One Size</t>
  </si>
  <si>
    <t xml:space="preserve"> Мужские трусы-шорты с замками по бокам красный M</t>
  </si>
  <si>
    <t xml:space="preserve"> Мужские трусы-шорты с замками по бокам черный M</t>
  </si>
  <si>
    <t xml:space="preserve"> Мужские трусы-шорты с замками по бокам черный L</t>
  </si>
  <si>
    <t xml:space="preserve"> Мужские трусы-шорты с замками по бокам красный L</t>
  </si>
  <si>
    <t xml:space="preserve"> Мужские трусы-шорты с замками по бокам черный XL</t>
  </si>
  <si>
    <t xml:space="preserve"> Мужские трусы-шорты с замками по бокам красный XL</t>
  </si>
  <si>
    <t xml:space="preserve"> Мужские стринги на молнии спереди красный XL</t>
  </si>
  <si>
    <t xml:space="preserve"> Мужские стринги на молнии спереди черный XL</t>
  </si>
  <si>
    <t xml:space="preserve"> Мужские стринги на молнии спереди красный M-L</t>
  </si>
  <si>
    <t xml:space="preserve"> Мужские стринги на молнии спереди черный M-L</t>
  </si>
  <si>
    <t xml:space="preserve"> Мужские шорты официанта черный с белым M</t>
  </si>
  <si>
    <t xml:space="preserve"> Мужские шорты официанта черный с белым L</t>
  </si>
  <si>
    <t xml:space="preserve"> Мужские шорты официанта черный с белым XL</t>
  </si>
  <si>
    <t xml:space="preserve"> Пикантные мужские стринги со шнуровкой красный с черным One Size</t>
  </si>
  <si>
    <t xml:space="preserve"> Пикантные мужские стринги со шнуровкой черный One Size</t>
  </si>
  <si>
    <t xml:space="preserve"> Мужские стринги с пикантным треугольным вырезом черный One Size</t>
  </si>
  <si>
    <t xml:space="preserve"> Мужские стринги с быком красный One Size</t>
  </si>
  <si>
    <t xml:space="preserve"> Мужские стринги с быком черный One Size</t>
  </si>
  <si>
    <t xml:space="preserve"> Мужские трусы с открытой задней частью черный One Size</t>
  </si>
  <si>
    <t xml:space="preserve"> Мужские трусы с открытой задней частью белый One Size</t>
  </si>
  <si>
    <t xml:space="preserve"> Мужские трусы-стринги с надписью «Генерал» зеленый камуфляж M-L</t>
  </si>
  <si>
    <t xml:space="preserve"> Мужские трусы-стринги с надписью «Генерал» зеленый камуфляж L-XL</t>
  </si>
  <si>
    <t xml:space="preserve"> Полосатые стринги с декоративной подвеской-свистком черный One Size</t>
  </si>
  <si>
    <t xml:space="preserve"> Спортивные мужские боксеры черный M</t>
  </si>
  <si>
    <t xml:space="preserve"> Спортивные мужские боксеры белый M</t>
  </si>
  <si>
    <t xml:space="preserve"> Спортивные мужские боксеры белый L</t>
  </si>
  <si>
    <t xml:space="preserve"> Спортивные мужские боксеры белый XL</t>
  </si>
  <si>
    <t xml:space="preserve"> Спортивные мужские боксеры черный XL</t>
  </si>
  <si>
    <t xml:space="preserve"> Спортивные мужские боксеры черный L</t>
  </si>
  <si>
    <t xml:space="preserve"> Мужские боксеры на узкой резинке леопард XL</t>
  </si>
  <si>
    <t xml:space="preserve"> Мужские боксеры на узкой резинке серый камуфляж XL</t>
  </si>
  <si>
    <t xml:space="preserve"> Мужские боксеры на узкой резинке зеленый камуфляж XL</t>
  </si>
  <si>
    <t xml:space="preserve"> Мужские боксеры на узкой резинке леопард L</t>
  </si>
  <si>
    <t xml:space="preserve"> Мужские боксеры на узкой резинке зеленый камуфляж L</t>
  </si>
  <si>
    <t xml:space="preserve"> Мужские боксеры на узкой резинке серый камуфляж L</t>
  </si>
  <si>
    <t xml:space="preserve"> Мужские боксеры на узкой резинке зеленый камуфляж M</t>
  </si>
  <si>
    <t xml:space="preserve"> Мужские боксеры на узкой резинке серый камуфляж M</t>
  </si>
  <si>
    <t xml:space="preserve"> Мужские боксеры на узкой резинке леопард M</t>
  </si>
  <si>
    <t xml:space="preserve"> Мужские боксеры на широкой резинке черный M</t>
  </si>
  <si>
    <t xml:space="preserve"> Мужские боксеры на широкой резинке белый M</t>
  </si>
  <si>
    <t xml:space="preserve"> Мужские боксеры на широкой резинке белый L</t>
  </si>
  <si>
    <t xml:space="preserve"> Мужские боксеры на широкой резинке черный L</t>
  </si>
  <si>
    <t xml:space="preserve"> Мужские боксеры на широкой резинке черный XL</t>
  </si>
  <si>
    <t xml:space="preserve"> Мужские боксеры на широкой резинке белый XL</t>
  </si>
  <si>
    <t xml:space="preserve"> Комплект из 2 мужских трусов-шортов: чёрных и белых в полоску черный с белым XL</t>
  </si>
  <si>
    <t xml:space="preserve"> Комплект из 2 мужских трусов-шортов: чёрных и белых в полоску черный с белым L</t>
  </si>
  <si>
    <t xml:space="preserve"> Комплект из 2 мужских трусов-шортов: чёрных и белых в полоску черный с белым S</t>
  </si>
  <si>
    <t xml:space="preserve"> Комплект из 2 мужских трусов-шортов: чёрных и белых в полоску черный с белым M</t>
  </si>
  <si>
    <t xml:space="preserve"> Комплект из 2 мужских трусов-шортов: синие и белые в голубую полоску белый/синий васелек M</t>
  </si>
  <si>
    <t xml:space="preserve"> Комплект из 2 мужских трусов-шортов: синие и белые в голубую полоску белый/синий васелек S</t>
  </si>
  <si>
    <t xml:space="preserve"> Комплект из 2 мужских трусов-шортов: синие и белые в голубую полоску белый/синий васелек L</t>
  </si>
  <si>
    <t xml:space="preserve"> Комплект из 2 мужских трусов-шортов: синие и белые в голубую полоску белый/синий васелек XL</t>
  </si>
  <si>
    <t xml:space="preserve"> Комплект из 2 мужских трусов-шортов: розовые и белые с мелким рисунком розовый XL</t>
  </si>
  <si>
    <t xml:space="preserve"> Комплект из 2 мужских трусов-шортов: розовые и белые с мелким рисунком розовый L</t>
  </si>
  <si>
    <t xml:space="preserve"> Комплект из 2 мужских трусов-шортов: розовые и белые с мелким рисунком розовый S</t>
  </si>
  <si>
    <t xml:space="preserve"> Комплект из 2 мужских трусов-шортов: розовые и белые с мелким рисунком розовый M</t>
  </si>
  <si>
    <t xml:space="preserve"> Комплект из 2 мужских трусов-шортов: белые и с мелким рисунком белый M</t>
  </si>
  <si>
    <t xml:space="preserve"> Комплект из 2 мужских трусов-шортов: белые и с мелким рисунком белый S</t>
  </si>
  <si>
    <t xml:space="preserve"> Комплект из 2 мужских трусов-шортов: белые и с мелким рисунком белый L</t>
  </si>
  <si>
    <t xml:space="preserve"> Комплект из 2 мужских трусов-шортов: белые и с мелким рисунком белый XL</t>
  </si>
  <si>
    <t xml:space="preserve"> Комплект из 2 мужских трусов-шортов: голубые и белые с мелким рисунком аква/белый XL</t>
  </si>
  <si>
    <t xml:space="preserve"> Комплект из 2 мужских трусов-шортов: голубые и белые с мелким рисунком аква/белый S</t>
  </si>
  <si>
    <t xml:space="preserve"> Комплект из 2 мужских трусов-шортов: голубые и белые с мелким рисунком аква/белый L</t>
  </si>
  <si>
    <t xml:space="preserve"> Комплект из 2 мужских трусов-шортов: голубые и белые с мелким рисунком аква/белый M</t>
  </si>
  <si>
    <t xml:space="preserve"> Мужские хлопковые боксеры с забавным принтом белый с красным M</t>
  </si>
  <si>
    <t xml:space="preserve"> Мужские хлопковые боксеры с забавным принтом черный с белым M</t>
  </si>
  <si>
    <t xml:space="preserve"> Мужские хлопковые боксеры с забавным принтом черный с белым L</t>
  </si>
  <si>
    <t xml:space="preserve"> Мужские хлопковые боксеры с забавным принтом белый с красным L</t>
  </si>
  <si>
    <t xml:space="preserve"> Мужские хлопковые боксеры с забавным принтом белый с красным XL</t>
  </si>
  <si>
    <t xml:space="preserve"> Мужские хлопковые боксеры с забавным принтом черный с белым XL</t>
  </si>
  <si>
    <t xml:space="preserve"> Мужские брифы «HUSTLER» на широкой резинке из микрофибры белый XL</t>
  </si>
  <si>
    <t xml:space="preserve"> Мужские брифы «HUSTLER» на широкой резинке из микрофибры черный XL</t>
  </si>
  <si>
    <t xml:space="preserve"> Мужские брифы «HUSTLER» на широкой резинке из микрофибры черный L</t>
  </si>
  <si>
    <t xml:space="preserve"> Мужские брифы «HUSTLER» на широкой резинке из микрофибры белый L</t>
  </si>
  <si>
    <t xml:space="preserve"> Мужские брифы «HUSTLER» на широкой резинке из микрофибры белый M</t>
  </si>
  <si>
    <t xml:space="preserve"> Мужские брифы «HUSTLER» на широкой резинке из микрофибры черный M</t>
  </si>
  <si>
    <t xml:space="preserve"> Комплект из 2 мужских трусов-шортов (голубые и белые в полоску) белый/аква XL</t>
  </si>
  <si>
    <t xml:space="preserve"> Комплект из 2 мужских трусов-шортов (голубые и белые в полоску) белый/аква M</t>
  </si>
  <si>
    <t xml:space="preserve"> Комплект из 2 мужских трусов-шортов (голубые и белые в полоску) белый/аква L</t>
  </si>
  <si>
    <t xml:space="preserve"> Комплект из 2 мужских трусов-шортов (голубые и белые в полоску) белый/аква S</t>
  </si>
  <si>
    <t xml:space="preserve"> Мужские трусики pouch-бикини красный S-M</t>
  </si>
  <si>
    <t xml:space="preserve"> Мужские трусики pouch-бикини черный S-M</t>
  </si>
  <si>
    <t xml:space="preserve"> Мужские трусики pouch-бикини синий S-M</t>
  </si>
  <si>
    <t xml:space="preserve"> Мужские трусики pouch-бикини красный L-XL</t>
  </si>
  <si>
    <t xml:space="preserve"> Мужские трусики pouch-бикини черный L-XL</t>
  </si>
  <si>
    <t xml:space="preserve"> Мужские трусики pouch-бикини синий L-XL</t>
  </si>
  <si>
    <t xml:space="preserve"> Мужские V-стринги из микрофибры синий L-XL</t>
  </si>
  <si>
    <t xml:space="preserve"> Мужские V-стринги из микрофибры красный L-XL</t>
  </si>
  <si>
    <t xml:space="preserve"> Мужские V-стринги из микрофибры черный L-XL</t>
  </si>
  <si>
    <t xml:space="preserve"> Мужские V-стринги из микрофибры синий S-M</t>
  </si>
  <si>
    <t xml:space="preserve"> Мужские V-стринги из микрофибры черный S-M</t>
  </si>
  <si>
    <t xml:space="preserve"> Мужские V-стринги из микрофибры красный S-M</t>
  </si>
  <si>
    <t xml:space="preserve"> Мужские танга из микрофибры красный S-M</t>
  </si>
  <si>
    <t xml:space="preserve"> Мужские танга из микрофибры черный S-M</t>
  </si>
  <si>
    <t xml:space="preserve"> Мужские танга из микрофибры синий S-M</t>
  </si>
  <si>
    <t xml:space="preserve"> Мужские танга из микрофибры черный L-XL</t>
  </si>
  <si>
    <t xml:space="preserve"> Мужские танга из микрофибры красный L-XL</t>
  </si>
  <si>
    <t xml:space="preserve"> Мужские танга из микрофибры синий L-XL</t>
  </si>
  <si>
    <t xml:space="preserve"> Мужские V-стринги черный L-XL</t>
  </si>
  <si>
    <t xml:space="preserve"> Мужские V-стринги черный S-M</t>
  </si>
  <si>
    <t xml:space="preserve"> Мужские шорты-хипстеры черный S-M</t>
  </si>
  <si>
    <t xml:space="preserve"> Мужские шорты-хипстеры черный L-XL</t>
  </si>
  <si>
    <t xml:space="preserve"> Комфортные мужские трусы-джоки черный L-XL</t>
  </si>
  <si>
    <t xml:space="preserve"> Комфортные мужские трусы-джоки белый L-XL</t>
  </si>
  <si>
    <t xml:space="preserve"> Комфортные мужские трусы-джоки черный S-M</t>
  </si>
  <si>
    <t xml:space="preserve"> Комфортные мужские трусы-джоки белый S-M</t>
  </si>
  <si>
    <t xml:space="preserve"> Мужские танга из сетки хаки S-M</t>
  </si>
  <si>
    <t xml:space="preserve"> Мужские танга из сетки черный S-M</t>
  </si>
  <si>
    <t xml:space="preserve"> Мужские танга из сетки леопард S-M</t>
  </si>
  <si>
    <t xml:space="preserve"> Мужские танга из сетки хаки L-XL</t>
  </si>
  <si>
    <t xml:space="preserve"> Мужские танга из сетки черный L-XL</t>
  </si>
  <si>
    <t xml:space="preserve"> Мужские танга из сетки леопард L-XL</t>
  </si>
  <si>
    <t xml:space="preserve"> Мужские облегающие боксеры-транк из микрофибры синий S-M</t>
  </si>
  <si>
    <t xml:space="preserve"> Мужские облегающие боксеры-транк из микрофибры черный с белым S-M</t>
  </si>
  <si>
    <t xml:space="preserve"> Мужские облегающие боксеры-транк из микрофибры черный S-M</t>
  </si>
  <si>
    <t xml:space="preserve"> Мужские облегающие боксеры-транк из микрофибры черный с белым L-XL</t>
  </si>
  <si>
    <t xml:space="preserve"> Мужские облегающие боксеры-транк из микрофибры синий L-XL</t>
  </si>
  <si>
    <t xml:space="preserve"> Мужские облегающие боксеры-транк из микрофибры черный L-XL</t>
  </si>
  <si>
    <t xml:space="preserve"> Мужские side-tie бикини с низкой посадкой черный L-XL</t>
  </si>
  <si>
    <t xml:space="preserve"> Мужские side-tie бикини с низкой посадкой леопард L-XL</t>
  </si>
  <si>
    <t xml:space="preserve"> Мужские side-tie бикини с низкой посадкой хаки L-XL</t>
  </si>
  <si>
    <t xml:space="preserve"> Мужские side-tie бикини с низкой посадкой черный S-M</t>
  </si>
  <si>
    <t xml:space="preserve"> Мужские side-tie бикини с низкой посадкой хаки S-M</t>
  </si>
  <si>
    <t xml:space="preserve"> Трусы джок-страп из микрофибры черный S-M</t>
  </si>
  <si>
    <t xml:space="preserve"> Трусы джок-страп из микрофибры черный L-XL</t>
  </si>
  <si>
    <t xml:space="preserve"> Мужские трусы-боксеры на шнуровке черный L-XL</t>
  </si>
  <si>
    <t xml:space="preserve"> Мужские трусы-боксеры на шнуровке синий L-XL</t>
  </si>
  <si>
    <t xml:space="preserve"> Мужские трусы-боксеры на шнуровке белый L-XL</t>
  </si>
  <si>
    <t xml:space="preserve"> Мужские трусы-боксеры на шнуровке черный S-M</t>
  </si>
  <si>
    <t xml:space="preserve"> Мужские трусы-боксеры на шнуровке белый S-M</t>
  </si>
  <si>
    <t xml:space="preserve"> Мужские трусы-боксеры на шнуровке синий S-M</t>
  </si>
  <si>
    <t xml:space="preserve"> Мужские G-стринги из сетчатой ткани хаки S-M</t>
  </si>
  <si>
    <t xml:space="preserve"> Мужские G-стринги из сетчатой ткани леопард S-M</t>
  </si>
  <si>
    <t xml:space="preserve"> Мужские G-стринги из сетчатой ткани черный S-M</t>
  </si>
  <si>
    <t xml:space="preserve"> Мужские G-стринги из сетчатой ткани хаки L-XL</t>
  </si>
  <si>
    <t xml:space="preserve"> Мужские G-стринги из сетчатой ткани черный L-XL</t>
  </si>
  <si>
    <t xml:space="preserve"> Мужские G-стринги из сетчатой ткани леопард L-XL</t>
  </si>
  <si>
    <t xml:space="preserve"> Мужские бикини с молнией черный L-XL</t>
  </si>
  <si>
    <t xml:space="preserve"> Мужские бикини с молнией черный S-M</t>
  </si>
  <si>
    <t xml:space="preserve"> Мужские джоки с широкой резинкой леопард S-M</t>
  </si>
  <si>
    <t xml:space="preserve"> Мужские джоки с широкой резинкой черный S-M</t>
  </si>
  <si>
    <t xml:space="preserve"> Мужские джоки с широкой резинкой хаки S-M</t>
  </si>
  <si>
    <t xml:space="preserve"> Мужские джоки с широкой резинкой леопард L-XL</t>
  </si>
  <si>
    <t xml:space="preserve"> Мужские джоки с широкой резинкой черный L-XL</t>
  </si>
  <si>
    <t xml:space="preserve"> Мужские джоки с широкой резинкой хаки L-XL</t>
  </si>
  <si>
    <t xml:space="preserve"> Мужские POUCH V-стринги синий L-XL</t>
  </si>
  <si>
    <t xml:space="preserve"> Мужские POUCH V-стринги красный L-XL</t>
  </si>
  <si>
    <t xml:space="preserve"> Мужские POUCH V-стринги черный L-XL</t>
  </si>
  <si>
    <t xml:space="preserve"> Мужские POUCH V-стринги синий S-M</t>
  </si>
  <si>
    <t xml:space="preserve"> Мужские POUCH V-стринги черный S-M</t>
  </si>
  <si>
    <t xml:space="preserve"> Мужские POUCH V-стринги красный S-M</t>
  </si>
  <si>
    <t xml:space="preserve"> Мужские прозрачные шортики черный S-M</t>
  </si>
  <si>
    <t xml:space="preserve"> Мужские прозрачные шортики черный L-XL</t>
  </si>
  <si>
    <t xml:space="preserve"> Мужские прозрачные шортики черный XXL-XXXL</t>
  </si>
  <si>
    <t xml:space="preserve"> Трусы-стринги с широким поясом черный XXL</t>
  </si>
  <si>
    <t xml:space="preserve"> Трусы-стринги с широким поясом темно-синий XL</t>
  </si>
  <si>
    <t xml:space="preserve"> Трусы-стринги с широким поясом светло-серый XL</t>
  </si>
  <si>
    <t xml:space="preserve"> Трусы-стринги с широким поясом зеленый XL</t>
  </si>
  <si>
    <t xml:space="preserve"> Трусы-стринги с широким поясом сиреневый XL</t>
  </si>
  <si>
    <t xml:space="preserve"> Трусы-стринги с широким поясом серый XL</t>
  </si>
  <si>
    <t xml:space="preserve"> Трусы-стринги с широким поясом светло-серый XXL</t>
  </si>
  <si>
    <t xml:space="preserve"> Трусы-стринги с широким поясом зеленый XXL</t>
  </si>
  <si>
    <t xml:space="preserve"> Трусы-стринги с широким поясом серый XXL</t>
  </si>
  <si>
    <t xml:space="preserve"> Трусы-стринги с широким поясом сиреневый XXL</t>
  </si>
  <si>
    <t xml:space="preserve"> Трусы-стринги с широким поясом фиолетовый XXL</t>
  </si>
  <si>
    <t xml:space="preserve"> Трусы-стринги с широким поясом красный XXL</t>
  </si>
  <si>
    <t xml:space="preserve"> Трусы-стринги с широким поясом черный L</t>
  </si>
  <si>
    <t xml:space="preserve"> Трусы-стринги с широким поясом черный XL</t>
  </si>
  <si>
    <t xml:space="preserve"> Трусы-стринги с широким поясом красный XL</t>
  </si>
  <si>
    <t xml:space="preserve"> Трусы-стринги с широким поясом фиолетовый XL</t>
  </si>
  <si>
    <t xml:space="preserve"> Трусы-стринги с широким поясом белый XL</t>
  </si>
  <si>
    <t xml:space="preserve"> Трусы-стринги с широким поясом розовый XL</t>
  </si>
  <si>
    <t xml:space="preserve"> Трусы-стринги с широким поясом розовый S</t>
  </si>
  <si>
    <t xml:space="preserve"> Трусы-стринги с широким поясом красный S</t>
  </si>
  <si>
    <t xml:space="preserve"> Трусы-стринги с широким поясом фиолетовый S</t>
  </si>
  <si>
    <t xml:space="preserve"> Трусы-стринги с широким поясом голубой S</t>
  </si>
  <si>
    <t xml:space="preserve"> Трусы-стринги с широким поясом темно-синий S</t>
  </si>
  <si>
    <t xml:space="preserve"> Трусы-стринги с широким поясом светло-серый S</t>
  </si>
  <si>
    <t xml:space="preserve"> Трусы-стринги с широким поясом бирюзовый S</t>
  </si>
  <si>
    <t xml:space="preserve"> Трусы-стринги с широким поясом зеленый S</t>
  </si>
  <si>
    <t xml:space="preserve"> Трусы-стринги с широким поясом серый S</t>
  </si>
  <si>
    <t xml:space="preserve"> Трусы-стринги с широким поясом сиреневый S</t>
  </si>
  <si>
    <t xml:space="preserve"> Трусы-стринги с широким поясом темно-синий L</t>
  </si>
  <si>
    <t xml:space="preserve"> Трусы-стринги с широким поясом светло-серый L</t>
  </si>
  <si>
    <t xml:space="preserve"> Трусы-стринги с широким поясом бирюзовый L</t>
  </si>
  <si>
    <t xml:space="preserve"> Трусы-стринги с широким поясом розовый L</t>
  </si>
  <si>
    <t xml:space="preserve"> Трусы-стринги с широким поясом фиолетовый L</t>
  </si>
  <si>
    <t xml:space="preserve"> Трусы-стринги с широким поясом красный L</t>
  </si>
  <si>
    <t xml:space="preserve"> Трусы-стринги с широким поясом белый L</t>
  </si>
  <si>
    <t xml:space="preserve"> Трусы-стринги с широким поясом голубой L</t>
  </si>
  <si>
    <t xml:space="preserve"> Трусы-стринги с широким поясом сиреневый L</t>
  </si>
  <si>
    <t xml:space="preserve"> Трусы-стринги с широким поясом зеленый L</t>
  </si>
  <si>
    <t xml:space="preserve"> Трусы-стринги с широким поясом серый L</t>
  </si>
  <si>
    <t xml:space="preserve"> Трусы-стринги с широким поясом черный M</t>
  </si>
  <si>
    <t xml:space="preserve"> Трусы-стринги с широким поясом светло-серый M</t>
  </si>
  <si>
    <t xml:space="preserve"> Трусы-стринги с широким поясом зеленый M</t>
  </si>
  <si>
    <t xml:space="preserve"> Трусы-стринги с широким поясом серый M</t>
  </si>
  <si>
    <t xml:space="preserve"> Трусы-стринги с широким поясом сиреневый M</t>
  </si>
  <si>
    <t xml:space="preserve"> Трусы-стринги с широким поясом темно-синий M</t>
  </si>
  <si>
    <t xml:space="preserve"> Трусы-стринги с широким поясом бирюзовый M</t>
  </si>
  <si>
    <t xml:space="preserve"> Трусы-стринги с широким поясом белый M</t>
  </si>
  <si>
    <t xml:space="preserve"> Трусы-стринги с широким поясом розовый M</t>
  </si>
  <si>
    <t xml:space="preserve"> Трусы-стринги с широким поясом голубой M</t>
  </si>
  <si>
    <t xml:space="preserve"> Трусы-стринги с широким поясом красный M</t>
  </si>
  <si>
    <t xml:space="preserve"> Трусы-стринги с широким поясом фиолетовый M</t>
  </si>
  <si>
    <t xml:space="preserve"> Хлопковые трусы-стринги фиолетовый M</t>
  </si>
  <si>
    <t xml:space="preserve"> Хлопковые трусы-стринги красный M</t>
  </si>
  <si>
    <t xml:space="preserve"> Хлопковые трусы-стринги голубой M</t>
  </si>
  <si>
    <t xml:space="preserve"> Хлопковые трусы-стринги розовый M</t>
  </si>
  <si>
    <t xml:space="preserve"> Хлопковые трусы-стринги белый M</t>
  </si>
  <si>
    <t xml:space="preserve"> Хлопковые трусы-стринги синий M</t>
  </si>
  <si>
    <t xml:space="preserve"> Хлопковые трусы-стринги бирюзовый M</t>
  </si>
  <si>
    <t xml:space="preserve"> Хлопковые трусы-стринги сиреневый M</t>
  </si>
  <si>
    <t xml:space="preserve"> Хлопковые трусы-стринги зеленый M</t>
  </si>
  <si>
    <t xml:space="preserve"> Хлопковые трусы-стринги серый M</t>
  </si>
  <si>
    <t xml:space="preserve"> Хлопковые трусы-стринги светло-серый M</t>
  </si>
  <si>
    <t xml:space="preserve"> Хлопковые трусы-стринги черный M</t>
  </si>
  <si>
    <t xml:space="preserve"> Хлопковые трусы-стринги зеленый L</t>
  </si>
  <si>
    <t xml:space="preserve"> Хлопковые трусы-стринги серый L</t>
  </si>
  <si>
    <t xml:space="preserve"> Хлопковые трусы-стринги сиреневый L</t>
  </si>
  <si>
    <t xml:space="preserve"> Хлопковые трусы-стринги синий L</t>
  </si>
  <si>
    <t xml:space="preserve"> Хлопковые трусы-стринги голубой L</t>
  </si>
  <si>
    <t xml:space="preserve"> Хлопковые трусы-стринги красный L</t>
  </si>
  <si>
    <t xml:space="preserve"> Хлопковые трусы-стринги фиолетовый L</t>
  </si>
  <si>
    <t xml:space="preserve"> Хлопковые трусы-стринги розовый L</t>
  </si>
  <si>
    <t xml:space="preserve"> Хлопковые трусы-стринги белый L</t>
  </si>
  <si>
    <t xml:space="preserve"> Хлопковые трусы-стринги бирюзовый L</t>
  </si>
  <si>
    <t xml:space="preserve"> Хлопковые трусы-стринги светло-серый L</t>
  </si>
  <si>
    <t xml:space="preserve"> Хлопковые трусы-стринги сиреневый S</t>
  </si>
  <si>
    <t xml:space="preserve"> Хлопковые трусы-стринги серый S</t>
  </si>
  <si>
    <t xml:space="preserve"> Хлопковые трусы-стринги бирюзовый S</t>
  </si>
  <si>
    <t xml:space="preserve"> Хлопковые трусы-стринги светло-серый S</t>
  </si>
  <si>
    <t xml:space="preserve"> Хлопковые трусы-стринги синий S</t>
  </si>
  <si>
    <t xml:space="preserve"> Хлопковые трусы-стринги красный S</t>
  </si>
  <si>
    <t xml:space="preserve"> Хлопковые трусы-стринги фиолетовый S</t>
  </si>
  <si>
    <t xml:space="preserve"> Хлопковые трусы-стринги фиолетовый XL</t>
  </si>
  <si>
    <t xml:space="preserve"> Хлопковые трусы-стринги белый XL</t>
  </si>
  <si>
    <t xml:space="preserve"> Хлопковые трусы-стринги голубой XL</t>
  </si>
  <si>
    <t xml:space="preserve"> Хлопковые трусы-стринги синий XL</t>
  </si>
  <si>
    <t xml:space="preserve"> Хлопковые трусы-стринги сиреневый XL</t>
  </si>
  <si>
    <t xml:space="preserve"> Хлопковые трусы-стринги красный XL</t>
  </si>
  <si>
    <t xml:space="preserve"> Хлопковые трусы-стринги черный L</t>
  </si>
  <si>
    <t xml:space="preserve"> Хлопковые трусы-стринги черный XL</t>
  </si>
  <si>
    <t xml:space="preserve"> Хлопковые трусы-стринги фиолетовый XXL</t>
  </si>
  <si>
    <t xml:space="preserve"> Хлопковые трусы-стринги голубой XXL</t>
  </si>
  <si>
    <t xml:space="preserve"> Хлопковые трусы-стринги сиреневый XXL</t>
  </si>
  <si>
    <t xml:space="preserve"> Хлопковые трусы-стринги зеленый XXL</t>
  </si>
  <si>
    <t xml:space="preserve"> Хлопковые трусы-стринги синий XXL</t>
  </si>
  <si>
    <t xml:space="preserve"> Хлопковые трусы-стринги бирюзовый XXL</t>
  </si>
  <si>
    <t xml:space="preserve"> Хлопковые трусы-стринги светло-серый XXL</t>
  </si>
  <si>
    <t xml:space="preserve"> Хлопковые трусы-стринги бирюзовый XL</t>
  </si>
  <si>
    <t xml:space="preserve"> Хлопковые трусы-стринги коралловый XL</t>
  </si>
  <si>
    <t xml:space="preserve"> Хлопковые трусы-стринги зеленый XL</t>
  </si>
  <si>
    <t xml:space="preserve"> Хлопковые трусы-стринги серый XL</t>
  </si>
  <si>
    <t xml:space="preserve"> Хлопковые трусы-стринги светло-серый XL</t>
  </si>
  <si>
    <t xml:space="preserve"> Трусы-брифы с широкой резинкой светло-серый XL</t>
  </si>
  <si>
    <t xml:space="preserve"> Трусы-брифы с широкой резинкой зеленый XL</t>
  </si>
  <si>
    <t xml:space="preserve"> Трусы-брифы с широкой резинкой синий XL</t>
  </si>
  <si>
    <t xml:space="preserve"> Трусы-брифы с широкой резинкой сиреневый XL</t>
  </si>
  <si>
    <t xml:space="preserve"> Трусы-брифы с широкой резинкой серый XL</t>
  </si>
  <si>
    <t xml:space="preserve"> Трусы-брифы с широкой резинкой бирюзовый XL</t>
  </si>
  <si>
    <t xml:space="preserve"> Трусы-брифы с широкой резинкой светло-серый XXL</t>
  </si>
  <si>
    <t xml:space="preserve"> Трусы-брифы с широкой резинкой бирюзовый XXL</t>
  </si>
  <si>
    <t xml:space="preserve"> Трусы-брифы с широкой резинкой сиреневый XXL</t>
  </si>
  <si>
    <t xml:space="preserve"> Трусы-брифы с широкой резинкой серый XXL</t>
  </si>
  <si>
    <t xml:space="preserve"> Трусы-брифы с широкой резинкой зеленый XXL</t>
  </si>
  <si>
    <t xml:space="preserve"> Трусы-брифы с широкой резинкой голубой XXL</t>
  </si>
  <si>
    <t xml:space="preserve"> Трусы-брифы с широкой резинкой белый XXL</t>
  </si>
  <si>
    <t xml:space="preserve"> Трусы-брифы с широкой резинкой розовый XXL</t>
  </si>
  <si>
    <t xml:space="preserve"> Трусы-брифы с широкой резинкой красный XXL</t>
  </si>
  <si>
    <t xml:space="preserve"> Трусы-брифы с широкой резинкой фиолетовый XXL</t>
  </si>
  <si>
    <t xml:space="preserve"> Трусы-брифы с широкой резинкой черный L</t>
  </si>
  <si>
    <t xml:space="preserve"> Трусы-брифы с широкой резинкой черный XL</t>
  </si>
  <si>
    <t xml:space="preserve"> Трусы-брифы с широкой резинкой фиолетовый XL</t>
  </si>
  <si>
    <t xml:space="preserve"> Трусы-брифы с широкой резинкой красный XL</t>
  </si>
  <si>
    <t xml:space="preserve"> Трусы-брифы с широкой резинкой голубой XL</t>
  </si>
  <si>
    <t xml:space="preserve"> Трусы-брифы с широкой резинкой белый XL</t>
  </si>
  <si>
    <t xml:space="preserve"> Трусы-брифы с широкой резинкой розовый XL</t>
  </si>
  <si>
    <t xml:space="preserve"> Трусы-брифы с широкой резинкой черный XXL</t>
  </si>
  <si>
    <t xml:space="preserve"> Трусы-брифы с широкой резинкой светло-серый L</t>
  </si>
  <si>
    <t xml:space="preserve"> Трусы-брифы с широкой резинкой синий L</t>
  </si>
  <si>
    <t xml:space="preserve"> Трусы-брифы с широкой резинкой бирюзовый L</t>
  </si>
  <si>
    <t xml:space="preserve"> Трусы-брифы с широкой резинкой красный L</t>
  </si>
  <si>
    <t xml:space="preserve"> Трусы-брифы с широкой резинкой розовый L</t>
  </si>
  <si>
    <t xml:space="preserve"> Трусы-брифы с широкой резинкой фиолетовый L</t>
  </si>
  <si>
    <t xml:space="preserve"> Трусы-брифы с широкой резинкой голубой L</t>
  </si>
  <si>
    <t xml:space="preserve"> Трусы-брифы с широкой резинкой белый L</t>
  </si>
  <si>
    <t xml:space="preserve"> Трусы-брифы с широкой резинкой зеленый L</t>
  </si>
  <si>
    <t xml:space="preserve"> Трусы-брифы с широкой резинкой серый L</t>
  </si>
  <si>
    <t xml:space="preserve"> Трусы-брифы с широкой резинкой сиреневый L</t>
  </si>
  <si>
    <t xml:space="preserve"> Трусы-брифы с широкой резинкой светло-серый M</t>
  </si>
  <si>
    <t xml:space="preserve"> Трусы-брифы с широкой резинкой сиреневый M</t>
  </si>
  <si>
    <t xml:space="preserve"> Трусы-брифы с широкой резинкой зеленый M</t>
  </si>
  <si>
    <t xml:space="preserve"> Трусы-брифы с широкой резинкой серый M</t>
  </si>
  <si>
    <t xml:space="preserve"> Трусы-брифы с широкой резинкой бирюзовый M</t>
  </si>
  <si>
    <t xml:space="preserve"> Трусы-брифы с широкой резинкой синий M</t>
  </si>
  <si>
    <t xml:space="preserve"> Трусы-брифы с широкой резинкой белый M</t>
  </si>
  <si>
    <t xml:space="preserve"> Трусы-брифы с широкой резинкой розовый M</t>
  </si>
  <si>
    <t xml:space="preserve"> Трусы-брифы с широкой резинкой красный M</t>
  </si>
  <si>
    <t xml:space="preserve"> Трусы-брифы с широкой резинкой голубой M</t>
  </si>
  <si>
    <t xml:space="preserve"> Трусы-брифы с широкой резинкой черный M</t>
  </si>
  <si>
    <t xml:space="preserve"> Трусы-брифы с широкой резинкой фиолетовый M</t>
  </si>
  <si>
    <t xml:space="preserve"> Мужские трусы-хипсы с широким поясом черный M</t>
  </si>
  <si>
    <t xml:space="preserve"> Мужские трусы-хипсы с широким поясом черный L</t>
  </si>
  <si>
    <t xml:space="preserve"> Мужские трусы-хипсы с широким поясом черный XXL</t>
  </si>
  <si>
    <t xml:space="preserve"> Мужские трусы-хипсы с широким поясом черный XXXL</t>
  </si>
  <si>
    <t xml:space="preserve"> Мужские трусы-хипсы с широким поясом черный 4X</t>
  </si>
  <si>
    <t xml:space="preserve"> Мужские трусы-хипсы с широким поясом черный XL</t>
  </si>
  <si>
    <t xml:space="preserve"> Удлинённые трусы-боксеры черный XL</t>
  </si>
  <si>
    <t xml:space="preserve"> Удлинённые трусы-боксеры фиолетовый XL</t>
  </si>
  <si>
    <t xml:space="preserve"> Удлинённые трусы-боксеры красный XL</t>
  </si>
  <si>
    <t xml:space="preserve"> Удлинённые трусы-боксеры розовый XL</t>
  </si>
  <si>
    <t xml:space="preserve"> Удлинённые трусы-боксеры белый XL</t>
  </si>
  <si>
    <t xml:space="preserve"> Удлинённые трусы-боксеры голубой XL</t>
  </si>
  <si>
    <t xml:space="preserve"> Удлинённые трусы-боксеры сиреневый XL</t>
  </si>
  <si>
    <t xml:space="preserve"> Удлинённые трусы-боксеры розовый XXL</t>
  </si>
  <si>
    <t xml:space="preserve"> Удлинённые трусы-боксеры красный XXL</t>
  </si>
  <si>
    <t xml:space="preserve"> Удлинённые трусы-боксеры белый XXL</t>
  </si>
  <si>
    <t xml:space="preserve"> Удлинённые трусы-боксеры голубой XXL</t>
  </si>
  <si>
    <t xml:space="preserve"> Удлинённые трусы-боксеры серый XXL</t>
  </si>
  <si>
    <t xml:space="preserve"> Удлинённые трусы-боксеры сиреневый XXL</t>
  </si>
  <si>
    <t xml:space="preserve"> Удлинённые трусы-боксеры бирюзовый XXL</t>
  </si>
  <si>
    <t xml:space="preserve"> Удлинённые трусы-боксеры светло-серый XXL</t>
  </si>
  <si>
    <t xml:space="preserve"> Удлинённые трусы-боксеры темно-синий XXL</t>
  </si>
  <si>
    <t xml:space="preserve"> Удлинённые трусы-боксеры зеленый XXL</t>
  </si>
  <si>
    <t xml:space="preserve"> Удлинённые трусы-боксеры бирюзовый XL</t>
  </si>
  <si>
    <t xml:space="preserve"> Удлинённые трусы-боксеры серый XL</t>
  </si>
  <si>
    <t xml:space="preserve"> Удлинённые трусы-боксеры светло-серый XL</t>
  </si>
  <si>
    <t xml:space="preserve"> Удлинённые трусы-боксеры темно-синий XL</t>
  </si>
  <si>
    <t xml:space="preserve"> Удлинённые трусы-боксеры зеленый XL</t>
  </si>
  <si>
    <t xml:space="preserve"> Удлинённые трусы-боксеры черный L</t>
  </si>
  <si>
    <t xml:space="preserve"> Удлинённые трусы-боксеры фиолетовый L</t>
  </si>
  <si>
    <t xml:space="preserve"> Удлинённые трусы-боксеры красный L</t>
  </si>
  <si>
    <t xml:space="preserve"> Удлинённые трусы-боксеры розовый L</t>
  </si>
  <si>
    <t xml:space="preserve"> Удлинённые трусы-боксеры серый L</t>
  </si>
  <si>
    <t xml:space="preserve"> Удлинённые трусы-боксеры зеленый L</t>
  </si>
  <si>
    <t xml:space="preserve"> Удлинённые трусы-боксеры сиреневый L</t>
  </si>
  <si>
    <t xml:space="preserve"> Удлинённые трусы-боксеры белый L</t>
  </si>
  <si>
    <t xml:space="preserve"> Удлинённые трусы-боксеры голубой L</t>
  </si>
  <si>
    <t xml:space="preserve"> Удлинённые трусы-боксеры бирюзовый L</t>
  </si>
  <si>
    <t xml:space="preserve"> Удлинённые трусы-боксеры светло-серый L</t>
  </si>
  <si>
    <t xml:space="preserve"> Удлинённые трусы-боксеры темно-синий L</t>
  </si>
  <si>
    <t xml:space="preserve"> Удлинённые трусы-боксеры светло-серый S</t>
  </si>
  <si>
    <t xml:space="preserve"> Удлинённые трусы-боксеры темно-синий S</t>
  </si>
  <si>
    <t xml:space="preserve"> Удлинённые трусы-боксеры бирюзовый S</t>
  </si>
  <si>
    <t xml:space="preserve"> Удлинённые трусы-боксеры серый S</t>
  </si>
  <si>
    <t xml:space="preserve"> Удлинённые трусы-боксеры зеленый S</t>
  </si>
  <si>
    <t xml:space="preserve"> Удлинённые трусы-боксеры сиреневый S</t>
  </si>
  <si>
    <t xml:space="preserve"> Удлинённые трусы-боксеры фиолетовый S</t>
  </si>
  <si>
    <t xml:space="preserve"> Удлинённые трусы-боксеры розовый S</t>
  </si>
  <si>
    <t xml:space="preserve"> Удлинённые трусы-боксеры красный S</t>
  </si>
  <si>
    <t xml:space="preserve"> Удлинённые трусы-боксеры белый S</t>
  </si>
  <si>
    <t xml:space="preserve"> Удлинённые трусы-боксеры голубой S</t>
  </si>
  <si>
    <t xml:space="preserve"> Удлинённые трусы-боксеры черный M</t>
  </si>
  <si>
    <t xml:space="preserve"> Удлинённые трусы-боксеры розовый M</t>
  </si>
  <si>
    <t xml:space="preserve"> Удлинённые трусы-боксеры фиолетовый M</t>
  </si>
  <si>
    <t xml:space="preserve"> Удлинённые трусы-боксеры голубой M</t>
  </si>
  <si>
    <t xml:space="preserve"> Удлинённые трусы-боксеры красный M</t>
  </si>
  <si>
    <t xml:space="preserve"> Удлинённые трусы-боксеры белый M</t>
  </si>
  <si>
    <t xml:space="preserve"> Удлинённые трусы-боксеры бирюзовый M</t>
  </si>
  <si>
    <t xml:space="preserve"> Удлинённые трусы-боксеры черный S</t>
  </si>
  <si>
    <t xml:space="preserve"> Удлинённые трусы-боксеры серый M</t>
  </si>
  <si>
    <t xml:space="preserve"> Удлинённые трусы-боксеры зеленый M</t>
  </si>
  <si>
    <t xml:space="preserve"> Удлинённые трусы-боксеры сиреневый M</t>
  </si>
  <si>
    <t xml:space="preserve"> Удлинённые трусы-боксеры темно-синий M</t>
  </si>
  <si>
    <t xml:space="preserve"> Удлинённые трусы-боксеры светло-серый M</t>
  </si>
  <si>
    <t xml:space="preserve"> Хлопковые трусы-боксеры светло-серый M</t>
  </si>
  <si>
    <t xml:space="preserve"> Хлопковые трусы-боксеры серый M</t>
  </si>
  <si>
    <t xml:space="preserve"> Хлопковые трусы-боксеры зеленый M</t>
  </si>
  <si>
    <t xml:space="preserve"> Хлопковые трусы-боксеры сиреневый M</t>
  </si>
  <si>
    <t xml:space="preserve"> Хлопковые трусы-боксеры бирюзовый M</t>
  </si>
  <si>
    <t xml:space="preserve"> Хлопковые трусы-боксеры белый M</t>
  </si>
  <si>
    <t xml:space="preserve"> Хлопковые трусы-боксеры голубой M</t>
  </si>
  <si>
    <t xml:space="preserve"> Хлопковые трусы-боксеры синий M</t>
  </si>
  <si>
    <t xml:space="preserve"> Хлопковые трусы-боксеры красный M</t>
  </si>
  <si>
    <t xml:space="preserve"> Хлопковые трусы-боксеры фиолетовый M</t>
  </si>
  <si>
    <t xml:space="preserve"> Хлопковые трусы-боксеры розовый M</t>
  </si>
  <si>
    <t xml:space="preserve"> Хлопковые трусы-боксеры черный M</t>
  </si>
  <si>
    <t xml:space="preserve"> Хлопковые трусы-боксеры белый S</t>
  </si>
  <si>
    <t xml:space="preserve"> Хлопковые трусы-боксеры голубой S</t>
  </si>
  <si>
    <t xml:space="preserve"> Хлопковые трусы-боксеры красный S</t>
  </si>
  <si>
    <t xml:space="preserve"> Хлопковые трусы-боксеры фиолетовый S</t>
  </si>
  <si>
    <t xml:space="preserve"> Хлопковые трусы-боксеры сиреневый S</t>
  </si>
  <si>
    <t xml:space="preserve"> Хлопковые трусы-боксеры зеленый S</t>
  </si>
  <si>
    <t xml:space="preserve"> Хлопковые трусы-боксеры синий S</t>
  </si>
  <si>
    <t xml:space="preserve"> Хлопковые трусы-боксеры бирюзовый S</t>
  </si>
  <si>
    <t xml:space="preserve"> Хлопковые трусы-боксеры светло-серый S</t>
  </si>
  <si>
    <t xml:space="preserve"> Хлопковые трусы-боксеры светло-серый L</t>
  </si>
  <si>
    <t xml:space="preserve"> Хлопковые трусы-боксеры зеленый L</t>
  </si>
  <si>
    <t xml:space="preserve"> Хлопковые трусы-боксеры синий L</t>
  </si>
  <si>
    <t xml:space="preserve"> Хлопковые трусы-боксеры бирюзовый L</t>
  </si>
  <si>
    <t xml:space="preserve"> Хлопковые трусы-боксеры коралловый S</t>
  </si>
  <si>
    <t xml:space="preserve"> Хлопковые трусы-боксеры голубой L</t>
  </si>
  <si>
    <t xml:space="preserve"> Хлопковые трусы-боксеры белый L</t>
  </si>
  <si>
    <t xml:space="preserve"> Хлопковые трусы-боксеры сиреневый L</t>
  </si>
  <si>
    <t xml:space="preserve"> Хлопковые трусы-боксеры серый L</t>
  </si>
  <si>
    <t xml:space="preserve"> Хлопковые трусы-боксеры розовый L</t>
  </si>
  <si>
    <t xml:space="preserve"> Хлопковые трусы-боксеры красный L</t>
  </si>
  <si>
    <t xml:space="preserve"> Хлопковые трусы-боксеры фиолетовый L</t>
  </si>
  <si>
    <t xml:space="preserve"> Хлопковые трусы-боксеры черный L</t>
  </si>
  <si>
    <t xml:space="preserve"> Хлопковые трусы-боксеры синий XL</t>
  </si>
  <si>
    <t xml:space="preserve"> Хлопковые трусы-боксеры светло-серый XL</t>
  </si>
  <si>
    <t xml:space="preserve"> Хлопковые трусы-боксеры зеленый XL</t>
  </si>
  <si>
    <t xml:space="preserve"> Хлопковые трусы-боксеры бирюзовый XL</t>
  </si>
  <si>
    <t xml:space="preserve"> Хлопковые трусы-боксеры зеленый XXL</t>
  </si>
  <si>
    <t xml:space="preserve"> Хлопковые трусы-боксеры светло-серый XXL</t>
  </si>
  <si>
    <t xml:space="preserve"> Хлопковые трусы-боксеры бирюзовый XXL</t>
  </si>
  <si>
    <t xml:space="preserve"> Хлопковые трусы-боксеры сиреневый XXL</t>
  </si>
  <si>
    <t xml:space="preserve"> Хлопковые трусы-боксеры серый XXL</t>
  </si>
  <si>
    <t xml:space="preserve"> Хлопковые трусы-боксеры синий XXL</t>
  </si>
  <si>
    <t xml:space="preserve"> Хлопковые трусы-боксеры белый XXL</t>
  </si>
  <si>
    <t xml:space="preserve"> Хлопковые трусы-боксеры розовый XXL</t>
  </si>
  <si>
    <t xml:space="preserve"> Хлопковые трусы-боксеры красный XXL</t>
  </si>
  <si>
    <t xml:space="preserve"> Хлопковые трусы-боксеры голубой XXL</t>
  </si>
  <si>
    <t xml:space="preserve"> Хлопковые трусы-боксеры фиолетовый XXL</t>
  </si>
  <si>
    <t xml:space="preserve"> Хлопковые трусы-боксеры сиреневый XL</t>
  </si>
  <si>
    <t xml:space="preserve"> Хлопковые трусы-боксеры серый XL</t>
  </si>
  <si>
    <t xml:space="preserve"> Хлопковые трусы-боксеры голубой XL</t>
  </si>
  <si>
    <t xml:space="preserve"> Хлопковые трусы-боксеры белый XL</t>
  </si>
  <si>
    <t xml:space="preserve"> Хлопковые трусы-боксеры розовый XL</t>
  </si>
  <si>
    <t xml:space="preserve"> Хлопковые трусы-боксеры красный XL</t>
  </si>
  <si>
    <t xml:space="preserve"> Хлопковые трусы-боксеры черный XL</t>
  </si>
  <si>
    <t xml:space="preserve"> Хлопковые трусы-боксеры фиолетовый XL</t>
  </si>
  <si>
    <t xml:space="preserve"> Хлопковые трусы-боксеры черный XXL</t>
  </si>
  <si>
    <t xml:space="preserve"> Хлопковые трусы-хипсы светло-серый XXXL</t>
  </si>
  <si>
    <t xml:space="preserve"> Хлопковые трусы-хипсы голубой XXXL</t>
  </si>
  <si>
    <t xml:space="preserve"> Хлопковые трусы-хипсы черный XXXL</t>
  </si>
  <si>
    <t xml:space="preserve"> Хлопковые трусы-хипсы фиолетовый XXXL</t>
  </si>
  <si>
    <t xml:space="preserve"> Хлопковые трусы-хипсы черный XXL</t>
  </si>
  <si>
    <t xml:space="preserve"> Хлопковые трусы-хипсы фиолетовый XXL</t>
  </si>
  <si>
    <t xml:space="preserve"> Хлопковые трусы-хипсы голубой 4X</t>
  </si>
  <si>
    <t xml:space="preserve"> Хлопковые трусы-хипсы светло-серый 4X</t>
  </si>
  <si>
    <t xml:space="preserve"> Хлопковые трусы-хипсы черный 4X</t>
  </si>
  <si>
    <t xml:space="preserve"> Хлопковые трусы-хипсы фиолетовый 4X</t>
  </si>
  <si>
    <t xml:space="preserve"> Хлопковые трусы-хипсы фиолетовый XL</t>
  </si>
  <si>
    <t xml:space="preserve"> Хлопковые трусы-хипсы черный XL</t>
  </si>
  <si>
    <t xml:space="preserve"> Хлопковые трусы-хипсы голубой XL</t>
  </si>
  <si>
    <t xml:space="preserve"> Хлопковые трусы-хипсы голубой XXL</t>
  </si>
  <si>
    <t xml:space="preserve"> Хлопковые трусы-хипсы светло-серый XL</t>
  </si>
  <si>
    <t xml:space="preserve"> Хлопковые трусы-хипсы фиолетовый L</t>
  </si>
  <si>
    <t xml:space="preserve"> Хлопковые трусы-хипсы черный L</t>
  </si>
  <si>
    <t xml:space="preserve"> Хлопковые трусы-хипсы голубой L</t>
  </si>
  <si>
    <t xml:space="preserve"> Хлопковые трусы-хипсы светло-серый L</t>
  </si>
  <si>
    <t xml:space="preserve"> Хлопковые трусы-хипсы черный M</t>
  </si>
  <si>
    <t xml:space="preserve"> Хлопковые трусы-хипсы фиолетовый M</t>
  </si>
  <si>
    <t xml:space="preserve"> Хлопковые трусы-хипсы голубой M</t>
  </si>
  <si>
    <t xml:space="preserve"> Хлопковые трусы-хипсы светло-серый M</t>
  </si>
  <si>
    <t xml:space="preserve"> Мужские трусы-хипсы с логотипом по кругу салатовый M</t>
  </si>
  <si>
    <t xml:space="preserve"> Мужские трусы-хипсы с логотипом по кругу коричневый M</t>
  </si>
  <si>
    <t xml:space="preserve"> Мужские трусы-хипсы с логотипом по кругу светло-серый M</t>
  </si>
  <si>
    <t xml:space="preserve"> Мужские трусы-хипсы с логотипом по кругу белый M</t>
  </si>
  <si>
    <t xml:space="preserve"> Мужские трусы-хипсы с логотипом по кругу розовый M</t>
  </si>
  <si>
    <t xml:space="preserve"> Мужские трусы-хипсы с логотипом по кругу красный M</t>
  </si>
  <si>
    <t xml:space="preserve"> Мужские трусы-хипсы с логотипом по кругу голубой M</t>
  </si>
  <si>
    <t xml:space="preserve"> Мужские трусы-хипсы с логотипом по кругу фиолетовый M</t>
  </si>
  <si>
    <t xml:space="preserve"> Мужские трусы-хипсы с логотипом по кругу черный M</t>
  </si>
  <si>
    <t xml:space="preserve"> Мужские трусы-хипсы с логотипом по кругу светло-серый L</t>
  </si>
  <si>
    <t xml:space="preserve"> Мужские трусы-хипсы с логотипом по кругу салатовый L</t>
  </si>
  <si>
    <t xml:space="preserve"> Мужские трусы-хипсы с логотипом по кругу голубой L</t>
  </si>
  <si>
    <t xml:space="preserve"> Мужские трусы-хипсы с логотипом по кругу белый L</t>
  </si>
  <si>
    <t xml:space="preserve"> Мужские трусы-хипсы с логотипом по кругу коричневый L</t>
  </si>
  <si>
    <t xml:space="preserve"> Мужские трусы-хипсы с логотипом по кругу черный L</t>
  </si>
  <si>
    <t xml:space="preserve"> Мужские трусы-хипсы с логотипом по кругу фиолетовый L</t>
  </si>
  <si>
    <t xml:space="preserve"> Мужские трусы-хипсы с логотипом по кругу розовый L</t>
  </si>
  <si>
    <t xml:space="preserve"> Мужские трусы-хипсы с логотипом по кругу светло-серый XL</t>
  </si>
  <si>
    <t xml:space="preserve"> Мужские трусы-хипсы с логотипом по кругу коричневый XL</t>
  </si>
  <si>
    <t xml:space="preserve"> Мужские трусы-хипсы с логотипом по кругу салатовый XL</t>
  </si>
  <si>
    <t xml:space="preserve"> Мужские трусы-хипсы с логотипом по кругу белый XL</t>
  </si>
  <si>
    <t xml:space="preserve"> Мужские трусы-хипсы с логотипом по кругу голубой XL</t>
  </si>
  <si>
    <t xml:space="preserve"> Мужские трусы-хипсы с логотипом по кругу розовый XL</t>
  </si>
  <si>
    <t xml:space="preserve"> Мужские трусы-хипсы с логотипом по кругу фиолетовый XL</t>
  </si>
  <si>
    <t xml:space="preserve"> Мужские трусы-хипсы с логотипом по кругу черный XL</t>
  </si>
  <si>
    <t xml:space="preserve"> Мужские трусы-хипсы с логотипом по кругу красный XL</t>
  </si>
  <si>
    <t xml:space="preserve"> Голубые трусы-хипсы с серебристым поясом голубой XL</t>
  </si>
  <si>
    <t xml:space="preserve"> Голубые трусы-хипсы с серебристым поясом голубой XXL</t>
  </si>
  <si>
    <t xml:space="preserve"> Голубые трусы-хипсы с серебристым поясом голубой 4X</t>
  </si>
  <si>
    <t xml:space="preserve"> Голубые трусы-хипсы с серебристым поясом голубой XXXL</t>
  </si>
  <si>
    <t xml:space="preserve"> Голубые трусы-хипсы с серебристым поясом голубой L</t>
  </si>
  <si>
    <t xml:space="preserve"> Голубые трусы-хипсы с серебристым поясом голубой M</t>
  </si>
  <si>
    <t xml:space="preserve"> Мужские трусы-брифы с низкой посадкой голубой M</t>
  </si>
  <si>
    <t xml:space="preserve"> Мужские трусы-брифы с низкой посадкой светло-серый M</t>
  </si>
  <si>
    <t xml:space="preserve"> Мужские трусы-брифы с низкой посадкой фиолетовый M</t>
  </si>
  <si>
    <t xml:space="preserve"> Мужские трусы-брифы с низкой посадкой черный M</t>
  </si>
  <si>
    <t xml:space="preserve"> Мужские трусы-брифы с низкой посадкой голубой L</t>
  </si>
  <si>
    <t xml:space="preserve"> Мужские трусы-брифы с низкой посадкой фиолетовый L</t>
  </si>
  <si>
    <t xml:space="preserve"> Мужские трусы-брифы с низкой посадкой черный L</t>
  </si>
  <si>
    <t xml:space="preserve"> Мужские трусы-брифы с низкой посадкой светло-серый L</t>
  </si>
  <si>
    <t xml:space="preserve"> Мужские трусы-брифы с низкой посадкой голубой XXXL</t>
  </si>
  <si>
    <t xml:space="preserve"> Мужские трусы-брифы с низкой посадкой фиолетовый XXXL</t>
  </si>
  <si>
    <t xml:space="preserve"> Мужские трусы-брифы с низкой посадкой черный XXXL</t>
  </si>
  <si>
    <t xml:space="preserve"> Мужские трусы-брифы с низкой посадкой черный XXL</t>
  </si>
  <si>
    <t xml:space="preserve"> Мужские трусы-брифы с низкой посадкой фиолетовый XXL</t>
  </si>
  <si>
    <t xml:space="preserve"> Мужские трусы-брифы с низкой посадкой светло-серый XXXL</t>
  </si>
  <si>
    <t xml:space="preserve"> Мужские трусы-брифы с низкой посадкой фиолетовый 4X</t>
  </si>
  <si>
    <t xml:space="preserve"> Мужские трусы-брифы с низкой посадкой черный 4X</t>
  </si>
  <si>
    <t xml:space="preserve"> Мужские трусы-брифы с низкой посадкой светло-серый 4X</t>
  </si>
  <si>
    <t xml:space="preserve"> Мужские трусы-брифы с низкой посадкой голубой 4X</t>
  </si>
  <si>
    <t xml:space="preserve"> Мужские трусы-брифы с низкой посадкой голубой XXL</t>
  </si>
  <si>
    <t xml:space="preserve"> Мужские трусы-брифы с низкой посадкой светло-серый XL</t>
  </si>
  <si>
    <t xml:space="preserve"> Мужские трусы-брифы с низкой посадкой светло-серый XXL</t>
  </si>
  <si>
    <t xml:space="preserve"> Мужские трусы-брифы с низкой посадкой голубой XL</t>
  </si>
  <si>
    <t xml:space="preserve"> Мужские трусы-брифы с низкой посадкой фиолетовый XL</t>
  </si>
  <si>
    <t xml:space="preserve"> Мужские трусы-брифы с низкой посадкой черный XL</t>
  </si>
  <si>
    <t xml:space="preserve"> Хлопковые мужские трусы-хипсы фиолетовый XL</t>
  </si>
  <si>
    <t xml:space="preserve"> Хлопковые мужские трусы-хипсы фиолетовый 4X</t>
  </si>
  <si>
    <t xml:space="preserve"> Хлопковые мужские трусы-хипсы фиолетовый XXL</t>
  </si>
  <si>
    <t xml:space="preserve"> Хлопковые мужские трусы-хипсы фиолетовый L</t>
  </si>
  <si>
    <t xml:space="preserve"> Хлопковые мужские трусы-хипсы фиолетовый M</t>
  </si>
  <si>
    <t xml:space="preserve"> Хлопковые трусы-боксеры с надписью на резинке светло-серый M</t>
  </si>
  <si>
    <t xml:space="preserve"> Хлопковые трусы-боксеры с надписью на резинке светло-серый L</t>
  </si>
  <si>
    <t xml:space="preserve"> Хлопковые трусы-боксеры с надписью на резинке светло-серый XXXL</t>
  </si>
  <si>
    <t xml:space="preserve"> Хлопковые трусы-боксеры с надписью на резинке светло-серый 4X</t>
  </si>
  <si>
    <t xml:space="preserve"> Хлопковые трусы-боксеры с надписью на резинке светло-серый XXL</t>
  </si>
  <si>
    <t xml:space="preserve"> Хлопковые трусы-боксеры с надписью на резинке светло-серый XL</t>
  </si>
  <si>
    <t xml:space="preserve"> Мужские хипсы с рисунком серый S</t>
  </si>
  <si>
    <t xml:space="preserve"> Мужские хипсы с рисунком серый L</t>
  </si>
  <si>
    <t xml:space="preserve"> Мужские хипсы с рисунком серый M</t>
  </si>
  <si>
    <t xml:space="preserve"> Мужские трусы хипсы с рисунком фиолетовый S</t>
  </si>
  <si>
    <t xml:space="preserve"> Мужские трусы хипсы с рисунком фиолетовый M</t>
  </si>
  <si>
    <t xml:space="preserve"> Мужские трусы хипсы с рисунком фиолетовый L</t>
  </si>
  <si>
    <t xml:space="preserve"> Мужские трусы-хипсы в рубчик черный L</t>
  </si>
  <si>
    <t xml:space="preserve"> Мужские трусы-хипсы в рубчик черный S</t>
  </si>
  <si>
    <t xml:space="preserve"> Семейные мужские трусы с бабочками оранжевый M</t>
  </si>
  <si>
    <t xml:space="preserve"> Семейные мужские трусы с бабочками оранжевый L</t>
  </si>
  <si>
    <t xml:space="preserve"> Семейные мужские трусы с бабочками оранжевый XL</t>
  </si>
  <si>
    <t xml:space="preserve"> Мужские трусы Bastien с открытой задней частью черный с красным XXL-XXXL</t>
  </si>
  <si>
    <t xml:space="preserve"> Мужские трусы Bastien с открытой задней частью черный с красным L-XL</t>
  </si>
  <si>
    <t xml:space="preserve"> Мужские трусы Bastien с открытой задней частью черный с красным S-M</t>
  </si>
  <si>
    <t xml:space="preserve"> Мужские трусы-стринги Remi красный с черным S-M</t>
  </si>
  <si>
    <t xml:space="preserve"> Мужские трусы-стринги Remi черный S-M</t>
  </si>
  <si>
    <t xml:space="preserve"> Мужские трусы-стринги Remi черный L-XL</t>
  </si>
  <si>
    <t xml:space="preserve"> Мужские трусы-стринги Remi красный с черным XXL-XXXL</t>
  </si>
  <si>
    <t xml:space="preserve"> Мужские трусы-стринги Remi красный с черным L-XL</t>
  </si>
  <si>
    <t xml:space="preserve"> Мужские трусы-стринги Remi черный XXL-XXXL</t>
  </si>
  <si>
    <t xml:space="preserve"> Полупрозрачные мужские трусы-стринги Yves красный с черным L-XL</t>
  </si>
  <si>
    <t xml:space="preserve"> Полупрозрачные мужские трусы-стринги Yves красный с черным XXL-XXXL</t>
  </si>
  <si>
    <t xml:space="preserve"> Полупрозрачные мужские трусы-стринги Yves черный с красным XXL-XXXL</t>
  </si>
  <si>
    <t xml:space="preserve"> Полупрозрачные мужские трусы-стринги Yves черный с красным L-XL</t>
  </si>
  <si>
    <t xml:space="preserve"> Полупрозрачные мужские трусы-стринги Yves черный с красным S-M</t>
  </si>
  <si>
    <t xml:space="preserve"> Полупрозрачные мужские трусы-стринги Yves красный с черным S-M</t>
  </si>
  <si>
    <t xml:space="preserve"> Мужские трусы Danny с открытой задней частью черный с красным S-M</t>
  </si>
  <si>
    <t xml:space="preserve"> Мужские трусы Danny с открытой задней частью черный с красным L-XL</t>
  </si>
  <si>
    <t xml:space="preserve"> Мужские трусы Danny с открытой задней частью черный с красным XXL-XXXL</t>
  </si>
  <si>
    <t xml:space="preserve"> Мужские полупрозрачные трусы Pascal белый XXL-XXXL</t>
  </si>
  <si>
    <t xml:space="preserve"> Мужские полупрозрачные трусы Pascal красный XXL-XXXL</t>
  </si>
  <si>
    <t xml:space="preserve"> Мужские полупрозрачные трусы Pascal красный L-XL</t>
  </si>
  <si>
    <t xml:space="preserve"> Мужские полупрозрачные трусы Pascal черный L-XL</t>
  </si>
  <si>
    <t xml:space="preserve"> Мужские полупрозрачные трусы Pascal белый L-XL</t>
  </si>
  <si>
    <t xml:space="preserve"> Мужские полупрозрачные трусы Pascal черный XXL-XXXL</t>
  </si>
  <si>
    <t xml:space="preserve"> Мужские полупрозрачные трусы Pascal белый S-M</t>
  </si>
  <si>
    <t xml:space="preserve"> Мужские полупрозрачные трусы Pascal черный S-M</t>
  </si>
  <si>
    <t xml:space="preserve"> Мужские полупрозрачные трусы Pascal красный S-M</t>
  </si>
  <si>
    <t xml:space="preserve"> Мужские трусы Xavier со шнуровкой черный S-M</t>
  </si>
  <si>
    <t xml:space="preserve"> Мужские трусы Xavier со шнуровкой белый с черным S-M</t>
  </si>
  <si>
    <t xml:space="preserve"> Мужские трусы Xavier со шнуровкой красный с черным S-M</t>
  </si>
  <si>
    <t xml:space="preserve"> Мужские трусы Xavier со шнуровкой черный XXL-XXXL</t>
  </si>
  <si>
    <t xml:space="preserve"> Мужские трусы Xavier со шнуровкой красный с черным L-XL</t>
  </si>
  <si>
    <t xml:space="preserve"> Мужские трусы Xavier со шнуровкой белый с черным L-XL</t>
  </si>
  <si>
    <t xml:space="preserve"> Мужские трусы Xavier со шнуровкой черный L-XL</t>
  </si>
  <si>
    <t xml:space="preserve"> Мужские трусы Xavier со шнуровкой красный с черным XXL-XXXL</t>
  </si>
  <si>
    <t xml:space="preserve"> Мужские трусы Xavier со шнуровкой белый с черным XXL-XXXL</t>
  </si>
  <si>
    <t xml:space="preserve"> Кружевые мужские трусы Etienne черный L-XL</t>
  </si>
  <si>
    <t xml:space="preserve"> Кружевые мужские трусы Etienne черный XXL-XXXL</t>
  </si>
  <si>
    <t xml:space="preserve"> Кружевые мужские трусы Etienne черный S-M</t>
  </si>
  <si>
    <t xml:space="preserve"> Мужские трусы-сетка Jerome черный с красным S-M</t>
  </si>
  <si>
    <t xml:space="preserve"> Мужские трусы-сетка Jerome черный с красным L-XL</t>
  </si>
  <si>
    <t xml:space="preserve"> Мужские трусы-сетка Jerome черный с красным XXL-XXXL</t>
  </si>
  <si>
    <t xml:space="preserve"> Мужские трусы Manuel с прозрачной задней частью белый XXL-XXXL</t>
  </si>
  <si>
    <t xml:space="preserve"> Мужские трусы Manuel с прозрачной задней частью черный L-XL</t>
  </si>
  <si>
    <t xml:space="preserve"> Мужские трусы Manuel с прозрачной задней частью красный L-XL</t>
  </si>
  <si>
    <t xml:space="preserve"> Мужские трусы Manuel с прозрачной задней частью белый L-XL</t>
  </si>
  <si>
    <t xml:space="preserve"> Мужские трусы Manuel с прозрачной задней частью черный XXL-XXXL</t>
  </si>
  <si>
    <t xml:space="preserve"> Мужские трусы Manuel с прозрачной задней частью красный XXL-XXXL</t>
  </si>
  <si>
    <t xml:space="preserve"> Мужские трусы Manuel с прозрачной задней частью белый S-M</t>
  </si>
  <si>
    <t xml:space="preserve"> Мужские трусы Manuel с прозрачной задней частью черный S-M</t>
  </si>
  <si>
    <t xml:space="preserve"> Мужские трусы Manuel с прозрачной задней частью красный S-M</t>
  </si>
  <si>
    <t xml:space="preserve"> Серые тонкие мужские трусы-хипсы серый M</t>
  </si>
  <si>
    <t xml:space="preserve"> Серые тонкие мужские трусы-хипсы серый S</t>
  </si>
  <si>
    <t xml:space="preserve"> Серые тонкие мужские трусы-хипсы серый L</t>
  </si>
  <si>
    <t xml:space="preserve"> Кружевные мужские трусы-хипсы с цветочным узором черный L</t>
  </si>
  <si>
    <t xml:space="preserve"> Кружевные мужские трусы-хипсы с цветочным узором черный S</t>
  </si>
  <si>
    <t xml:space="preserve"> Кружевные мужские трусы-хипсы с цветочным узором черный M</t>
  </si>
  <si>
    <t xml:space="preserve"> Мужские трусы-хипсы с крупным цветочным принтом розовый с черным M</t>
  </si>
  <si>
    <t xml:space="preserve"> Мужские трусы-хипсы с крупным цветочным принтом розовый с черным S</t>
  </si>
  <si>
    <t xml:space="preserve"> Мужские трусы-хипсы с крупным цветочным принтом розовый с черным L</t>
  </si>
  <si>
    <t xml:space="preserve"> Семейные мужские трусы с цветами и бабочками персиковый L</t>
  </si>
  <si>
    <t xml:space="preserve"> Семейные мужские трусы с цветами и бабочками персиковый M</t>
  </si>
  <si>
    <t xml:space="preserve"> Семейные мужские трусы с цветами и бабочками персиковый XL</t>
  </si>
  <si>
    <t xml:space="preserve"> Бежевые семейные трусы в цветочек бежевый XL</t>
  </si>
  <si>
    <t xml:space="preserve"> Бежевые семейные трусы в цветочек бежевый M</t>
  </si>
  <si>
    <t xml:space="preserve"> Бежевые семейные трусы в цветочек бежевый L</t>
  </si>
  <si>
    <t xml:space="preserve"> Семейные трусы в цветочек с вышивкой голубой L</t>
  </si>
  <si>
    <t xml:space="preserve"> Семейные трусы в цветочек с вышивкой голубой M</t>
  </si>
  <si>
    <t xml:space="preserve"> Семейные трусы в цветочек с вышивкой голубой XL</t>
  </si>
  <si>
    <t xml:space="preserve"> Чёрные мужские стринги из материала под кожу черный XL</t>
  </si>
  <si>
    <t xml:space="preserve"> Чёрные мужские стринги из материала под кожу черный M</t>
  </si>
  <si>
    <t xml:space="preserve"> Чёрные мужские стринги из материала под кожу черный L</t>
  </si>
  <si>
    <t xml:space="preserve"> Мужские трусы-стринги Gerry зебра L</t>
  </si>
  <si>
    <t xml:space="preserve"> Мужские трусы-стринги Gerry зебра XL</t>
  </si>
  <si>
    <t xml:space="preserve"> Мужские трусы-стринги Gerry зебра XXL</t>
  </si>
  <si>
    <t xml:space="preserve"> Мужские трусы-стринги Gerry зебра XXXL</t>
  </si>
  <si>
    <t xml:space="preserve"> Трусы-стринги Dexter с эффектом мокрой ткани черный XXXL</t>
  </si>
  <si>
    <t xml:space="preserve"> Трусы-стринги Dexter с эффектом мокрой ткани черный XXL</t>
  </si>
  <si>
    <t xml:space="preserve"> Трусы-стринги Dexter с эффектом мокрой ткани черный XL</t>
  </si>
  <si>
    <t xml:space="preserve"> Трусы-стринги Dexter с эффектом мокрой ткани черный L</t>
  </si>
  <si>
    <t xml:space="preserve"> Трусики-стринги официанта Justin в комплекте с бабочкой на шею черный с белым L</t>
  </si>
  <si>
    <t xml:space="preserve"> Трусики-стринги официанта Justin в комплекте с бабочкой на шею черный с белым XL</t>
  </si>
  <si>
    <t xml:space="preserve"> Трусики-стринги официанта Justin в комплекте с бабочкой на шею черный с белым XXL</t>
  </si>
  <si>
    <t xml:space="preserve"> Трусики-стринги официанта Justin в комплекте с бабочкой на шею черный с белым XXXL</t>
  </si>
  <si>
    <t xml:space="preserve"> Фиолетовые мужские трусы-слипы фиолетовый с черным L-XL</t>
  </si>
  <si>
    <t xml:space="preserve"> Фиолетовые мужские трусы-слипы фиолетовый с черным XXL-XXXL</t>
  </si>
  <si>
    <t xml:space="preserve"> Фиолетовые мужские трусы-слипы фиолетовый с черным S-M</t>
  </si>
  <si>
    <t xml:space="preserve"> Мужские трусы Laurent красный с черным S-M</t>
  </si>
  <si>
    <t xml:space="preserve"> Мужские трусы Laurent черный S-M</t>
  </si>
  <si>
    <t xml:space="preserve"> Мужские трусы Laurent красный с черным XXL-XXXL</t>
  </si>
  <si>
    <t xml:space="preserve"> Мужские трусы Laurent черный L-XL</t>
  </si>
  <si>
    <t xml:space="preserve"> Мужские трусы Laurent красный с черным L-XL</t>
  </si>
  <si>
    <t xml:space="preserve"> Мужские трусы Laurent черный XXL-XXXL</t>
  </si>
  <si>
    <t xml:space="preserve"> Трусы-шорты официанта красный с белым L-XL</t>
  </si>
  <si>
    <t xml:space="preserve"> Трусы-шорты официанта красный с белым XXL-XXXL</t>
  </si>
  <si>
    <t xml:space="preserve"> Трусы-шорты официанта красный с белым S-M</t>
  </si>
  <si>
    <t xml:space="preserve"> Трусики официанта с аксессуарами черный с белым S-M</t>
  </si>
  <si>
    <t xml:space="preserve"> Трусики официанта с аксессуарами черный с белым XXL-XXXL</t>
  </si>
  <si>
    <t xml:space="preserve"> Трусики официанта с аксессуарами черный с белым L-XL</t>
  </si>
  <si>
    <t xml:space="preserve"> Прозрачные по бокам трусы-шорты с wet-эффектом черный L-XL</t>
  </si>
  <si>
    <t xml:space="preserve"> Прозрачные по бокам трусы-шорты с wet-эффектом черный XXL-XXXL</t>
  </si>
  <si>
    <t xml:space="preserve"> Прозрачные по бокам трусы-шорты с wet-эффектом черный S-M</t>
  </si>
  <si>
    <t xml:space="preserve"> Мужские трусы-боксеры с алым бантом черный с красным S-M</t>
  </si>
  <si>
    <t xml:space="preserve"> Мужские трусы-боксеры с алым бантом черный с красным L-XL</t>
  </si>
  <si>
    <t xml:space="preserve"> Мужские трусы-боксеры с алым бантом черный с красным XXL-XXXL</t>
  </si>
  <si>
    <t xml:space="preserve"> Боксеры с серебристой вставкой под змеиную кожу черный с серебристым L-XL</t>
  </si>
  <si>
    <t xml:space="preserve"> Боксеры с серебристой вставкой под змеиную кожу черный с серебристым S-M</t>
  </si>
  <si>
    <t xml:space="preserve"> Ажурные мужские трусы-стринги черный M</t>
  </si>
  <si>
    <t xml:space="preserve"> Ажурные мужские трусы-стринги черный L</t>
  </si>
  <si>
    <t xml:space="preserve"> Ажурные мужские трусы-стринги черный S</t>
  </si>
  <si>
    <t xml:space="preserve"> Ажурные мужские трусы-стринги черный XXL</t>
  </si>
  <si>
    <t xml:space="preserve"> Ажурные мужские трусы-стринги черный XL</t>
  </si>
  <si>
    <t xml:space="preserve"> Экстравагантные мужские трусы-слипы розовый XL</t>
  </si>
  <si>
    <t xml:space="preserve"> Экстравагантные мужские трусы-слипы розовый XXL</t>
  </si>
  <si>
    <t xml:space="preserve"> Экстравагантные мужские трусы-слипы розовый S</t>
  </si>
  <si>
    <t xml:space="preserve"> Экстравагантные мужские трусы-слипы розовый L</t>
  </si>
  <si>
    <t xml:space="preserve"> Экстравагантные мужские трусы-слипы розовый M</t>
  </si>
  <si>
    <t xml:space="preserve"> Хлопковые трусы-боксеры свободного покроя фиолетовый M</t>
  </si>
  <si>
    <t xml:space="preserve"> Хлопковые трусы-боксеры свободного покроя бордовый M</t>
  </si>
  <si>
    <t xml:space="preserve"> Хлопковые трусы-боксеры свободного покроя черный M</t>
  </si>
  <si>
    <t xml:space="preserve"> Хлопковые трусы-боксеры свободного покроя черный L</t>
  </si>
  <si>
    <t xml:space="preserve"> Хлопковые трусы-боксеры свободного покроя фиолетовый L</t>
  </si>
  <si>
    <t xml:space="preserve"> Хлопковые трусы-боксеры свободного покроя черный S</t>
  </si>
  <si>
    <t xml:space="preserve"> Хлопковые трусы-боксеры свободного покроя фиолетовый S</t>
  </si>
  <si>
    <t xml:space="preserve"> Хлопковые трусы-боксеры свободного покроя бордовый L</t>
  </si>
  <si>
    <t xml:space="preserve"> Хлопковые трусы-боксеры свободного покроя серый S</t>
  </si>
  <si>
    <t xml:space="preserve"> Хлопковые трусы-боксеры свободного покроя бордовый S</t>
  </si>
  <si>
    <t xml:space="preserve"> Хлопковые трусы-боксеры свободного покроя фиолетовый XXL</t>
  </si>
  <si>
    <t xml:space="preserve"> Хлопковые трусы-боксеры свободного покроя бордовый XL</t>
  </si>
  <si>
    <t xml:space="preserve"> Хлопковые трусы-боксеры свободного покроя бордовый XXL</t>
  </si>
  <si>
    <t xml:space="preserve"> Хлопковые трусы-боксеры свободного покроя черный XL</t>
  </si>
  <si>
    <t xml:space="preserve"> Хлопковые трусы-боксеры свободного покроя фиолетовый XL</t>
  </si>
  <si>
    <t xml:space="preserve"> Хлопковые трусы-боксеры свободного покроя черный XXL</t>
  </si>
  <si>
    <t xml:space="preserve"> Боксеры с открытыми ягодицами черный с фиолетовым L-XL</t>
  </si>
  <si>
    <t xml:space="preserve"> Боксеры с открытыми ягодицами черный с фиолетовым S-M</t>
  </si>
  <si>
    <t xml:space="preserve"> Оригинальные боксеры с яркой отделкой по краю черный с красным S-M</t>
  </si>
  <si>
    <t xml:space="preserve"> Оригинальные боксеры с яркой отделкой по краю черный с красным L-XL</t>
  </si>
  <si>
    <t xml:space="preserve"> Полупрозрачные трусики-шорты Mateo черный L-XL</t>
  </si>
  <si>
    <t xml:space="preserve"> Полупрозрачные трусики-шорты Mateo белый XXL-XXXL</t>
  </si>
  <si>
    <t xml:space="preserve"> Полупрозрачные трусики-шорты Mateo красный L-XL</t>
  </si>
  <si>
    <t xml:space="preserve"> Полупрозрачные трусики-шорты Mateo белый L-XL</t>
  </si>
  <si>
    <t xml:space="preserve"> Полупрозрачные трусики-шорты Mateo красный XXL-XXXL</t>
  </si>
  <si>
    <t xml:space="preserve"> Полупрозрачные трусики-шорты Mateo черный XXL-XXXL</t>
  </si>
  <si>
    <t xml:space="preserve"> Полупрозрачные трусики-шорты Mateo белый S-M</t>
  </si>
  <si>
    <t xml:space="preserve"> Полупрозрачные трусики-шорты Mateo красный S-M</t>
  </si>
  <si>
    <t xml:space="preserve"> Полупрозрачные трусики-шорты Mateo черный S-M</t>
  </si>
  <si>
    <t xml:space="preserve"> Мужские трусы-слипы с контрастной резинкой бежевый M</t>
  </si>
  <si>
    <t xml:space="preserve"> Мужские трусы-слипы с контрастной резинкой белый M</t>
  </si>
  <si>
    <t xml:space="preserve"> Мужские трусы-слипы с контрастной резинкой бежевый S</t>
  </si>
  <si>
    <t xml:space="preserve"> Мужские трусы-слипы с контрастной резинкой белый S</t>
  </si>
  <si>
    <t xml:space="preserve"> Мужские трусы-слипы с контрастной резинкой белый L</t>
  </si>
  <si>
    <t xml:space="preserve"> Мужские трусы-слипы с контрастной резинкой бежевый L</t>
  </si>
  <si>
    <t xml:space="preserve"> Мужские трусы-слипы с контрастной резинкой белый XL</t>
  </si>
  <si>
    <t xml:space="preserve"> Мужские трусы-слипы с контрастной резинкой бежевый XL</t>
  </si>
  <si>
    <t xml:space="preserve"> Мужские трусы-слипы с контрастной резинкой белый XXL</t>
  </si>
  <si>
    <t xml:space="preserve"> Мужские трусы-слипы с контрастной резинкой бежевый XXL</t>
  </si>
  <si>
    <t xml:space="preserve"> Трусы-боксеры с низкой посадкой белый XXL</t>
  </si>
  <si>
    <t xml:space="preserve"> Трусы-боксеры с низкой посадкой синий XXL</t>
  </si>
  <si>
    <t xml:space="preserve"> Трусы-боксеры с низкой посадкой белый XL</t>
  </si>
  <si>
    <t xml:space="preserve"> Трусы-боксеры с низкой посадкой синий XL</t>
  </si>
  <si>
    <t xml:space="preserve"> Трусы-боксеры с низкой посадкой синий L</t>
  </si>
  <si>
    <t xml:space="preserve"> Трусы-боксеры с низкой посадкой белый L</t>
  </si>
  <si>
    <t xml:space="preserve"> Трусы-боксеры с низкой посадкой синий S</t>
  </si>
  <si>
    <t xml:space="preserve"> Трусы-боксеры с низкой посадкой белый S</t>
  </si>
  <si>
    <t xml:space="preserve"> Трусы-боксеры с низкой посадкой белый M</t>
  </si>
  <si>
    <t xml:space="preserve"> Трусы-боксеры с низкой посадкой синий M</t>
  </si>
  <si>
    <t xml:space="preserve"> Трусы-боксеры с клетчатым пояском бирюзовый M</t>
  </si>
  <si>
    <t xml:space="preserve"> Трусы-боксеры с клетчатым пояском бирюзовый S</t>
  </si>
  <si>
    <t xml:space="preserve"> Трусы-боксеры с клетчатым пояском бирюзовый L</t>
  </si>
  <si>
    <t xml:space="preserve"> Трусы-боксеры с клетчатым пояском бирюзовый XXL</t>
  </si>
  <si>
    <t xml:space="preserve"> Трусы-боксеры с клетчатым пояском бирюзовый XL</t>
  </si>
  <si>
    <t xml:space="preserve"> Мужские боксеры Rokoko с завитками черный с белым XXL</t>
  </si>
  <si>
    <t xml:space="preserve"> Мужские боксеры Rokoko с завитками черный с белым XL</t>
  </si>
  <si>
    <t xml:space="preserve"> Мужские боксеры Rokoko с завитками черный с белым S</t>
  </si>
  <si>
    <t xml:space="preserve"> Мужские боксеры Rokoko с завитками черный с белым L</t>
  </si>
  <si>
    <t xml:space="preserve"> Мужские боксеры Rokoko с завитками черный с белым 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</si>
  <si>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Мужские трусы-стринги на широкой резинке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</si>
  <si>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Мужские трусы-стринги на широкой резинке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</si>
  <si>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Мужские трусы-стринги на широкой резинке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</si>
  <si>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Мужские трусы-стринги на широкой резинке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</si>
  <si>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t xml:space="preserve"> Трусики-стринги из микромодала в рубчик черный XL</t>
  </si>
  <si>
    <t xml:space="preserve"> Трусики-стринги из микромодала в рубчик белый с черным XL</t>
  </si>
  <si>
    <t xml:space="preserve"> Трусики-стринги из микромодала в рубчик черный L</t>
  </si>
  <si>
    <t xml:space="preserve"> Трусики-стринги из микромодала в рубчик белый с черным L</t>
  </si>
  <si>
    <t xml:space="preserve"> Трусики-стринги из микромодала в рубчик белый с черным S</t>
  </si>
  <si>
    <t xml:space="preserve"> Трусики-стринги из микромодала в рубчик черный M</t>
  </si>
  <si>
    <t xml:space="preserve"> Трусики-стринги из микромодала в рубчик черный S</t>
  </si>
  <si>
    <t xml:space="preserve"> Трусики-стринги из микромодала в рубчик белый с черным M</t>
  </si>
  <si>
    <t xml:space="preserve"> Боксеры из полупрозрачной хлопково-модальной ткани темно-синий M</t>
  </si>
  <si>
    <t xml:space="preserve"> Боксеры из полупрозрачной хлопково-модальной ткани белый M</t>
  </si>
  <si>
    <t xml:space="preserve"> Боксеры из полупрозрачной хлопково-модальной ткани белый S</t>
  </si>
  <si>
    <t xml:space="preserve"> Боксеры из полупрозрачной хлопково-модальной ткани темно-синий L</t>
  </si>
  <si>
    <t xml:space="preserve"> Боксеры из полупрозрачной хлопково-модальной ткани темно-синий S</t>
  </si>
  <si>
    <t xml:space="preserve"> Боксеры из полупрозрачной хлопково-модальной ткани белый L</t>
  </si>
  <si>
    <t xml:space="preserve"> Боксеры из полупрозрачной хлопково-модальной ткани белый XL</t>
  </si>
  <si>
    <t xml:space="preserve"> Боксеры из полупрозрачной хлопково-модальной ткани белый XXL</t>
  </si>
  <si>
    <t xml:space="preserve"> Боксеры из полупрозрачной хлопково-модальной ткани темно-синий XXL</t>
  </si>
  <si>
    <t xml:space="preserve"> Боксеры из полупрозрачной хлопково-модальной ткани темно-синий XL</t>
  </si>
  <si>
    <t xml:space="preserve"> Боксеры с узором в африканском стиле разноцветный XXL</t>
  </si>
  <si>
    <t xml:space="preserve"> Боксеры с узором в африканском стиле разноцветный XL</t>
  </si>
  <si>
    <t xml:space="preserve"> Боксеры с узором в африканском стиле разноцветный L</t>
  </si>
  <si>
    <t xml:space="preserve"> Боксеры с узором в африканском стиле разноцветный S</t>
  </si>
  <si>
    <t xml:space="preserve"> Боксеры с узором в африканском стиле разноцветный M</t>
  </si>
  <si>
    <t xml:space="preserve"> Удлиненные боксеры из хлопково-модальной ткани бирюзовый M</t>
  </si>
  <si>
    <t xml:space="preserve"> Удлиненные боксеры из хлопково-модальной ткани бирюзовый S</t>
  </si>
  <si>
    <t xml:space="preserve"> Удлиненные боксеры из хлопково-модальной ткани бирюзовый L</t>
  </si>
  <si>
    <t xml:space="preserve"> Удлиненные боксеры из хлопково-модальной ткани бирюзовый XXL</t>
  </si>
  <si>
    <t xml:space="preserve"> Удлиненные боксеры из хлопково-модальной ткани бирюзовый XL</t>
  </si>
  <si>
    <t xml:space="preserve"> Укороченные боксеры из хлопково-модальной ткани белый XXL</t>
  </si>
  <si>
    <t xml:space="preserve"> Укороченные боксеры из хлопково-модальной ткани серый XXL</t>
  </si>
  <si>
    <t xml:space="preserve"> Укороченные боксеры из хлопково-модальной ткани голубой XXL</t>
  </si>
  <si>
    <t xml:space="preserve"> Укороченные боксеры из хлопково-модальной ткани черный XXL</t>
  </si>
  <si>
    <t xml:space="preserve"> Укороченные боксеры из хлопково-модальной ткани белый XL</t>
  </si>
  <si>
    <t xml:space="preserve"> Укороченные боксеры из хлопково-модальной ткани голубой XL</t>
  </si>
  <si>
    <t xml:space="preserve"> Укороченные боксеры из хлопково-модальной ткани серый XL</t>
  </si>
  <si>
    <t xml:space="preserve"> Укороченные боксеры из хлопково-модальной ткани черный XL</t>
  </si>
  <si>
    <t xml:space="preserve"> Укороченные боксеры из хлопково-модальной ткани белый S</t>
  </si>
  <si>
    <t xml:space="preserve"> Укороченные боксеры из хлопково-модальной ткани серый S</t>
  </si>
  <si>
    <t xml:space="preserve"> Укороченные боксеры из хлопково-модальной ткани голубой S</t>
  </si>
  <si>
    <t xml:space="preserve"> Укороченные боксеры из хлопково-модальной ткани черный S</t>
  </si>
  <si>
    <t xml:space="preserve"> Укороченные боксеры из хлопково-модальной ткани голубой L</t>
  </si>
  <si>
    <t xml:space="preserve"> Укороченные боксеры из хлопково-модальной ткани серый L</t>
  </si>
  <si>
    <t xml:space="preserve"> Укороченные боксеры из хлопково-модальной ткани белый L</t>
  </si>
  <si>
    <t xml:space="preserve"> Укороченные боксеры из хлопково-модальной ткани черный L</t>
  </si>
  <si>
    <t xml:space="preserve"> Укороченные боксеры из хлопково-модальной ткани серый M</t>
  </si>
  <si>
    <t xml:space="preserve"> Укороченные боксеры из хлопково-модальной ткани белый M</t>
  </si>
  <si>
    <t xml:space="preserve"> Укороченные боксеры из хлопково-модальной ткани голубой M</t>
  </si>
  <si>
    <t xml:space="preserve"> Укороченные боксеры из хлопково-модальной ткани черный M</t>
  </si>
  <si>
    <t xml:space="preserve"> Боксеры с узорами из хлопково-модальной ткани голубой M</t>
  </si>
  <si>
    <t xml:space="preserve"> Боксеры с узорами из хлопково-модальной ткани голубой L</t>
  </si>
  <si>
    <t xml:space="preserve"> Боксеры с узорами из хлопково-модальной ткани голубой S</t>
  </si>
  <si>
    <t xml:space="preserve"> Боксеры с узорами из хлопково-модальной ткани голубой XL</t>
  </si>
  <si>
    <t xml:space="preserve"> Боксеры с узорами из хлопково-модальной ткани голубой XXL</t>
  </si>
  <si>
    <t xml:space="preserve"> Хлопковые боксеры с удобной посадкой черный XXL</t>
  </si>
  <si>
    <t xml:space="preserve"> Хлопковые боксеры с удобной посадкой черный XL</t>
  </si>
  <si>
    <t xml:space="preserve"> Хлопковые боксеры с удобной посадкой черный S</t>
  </si>
  <si>
    <t xml:space="preserve"> Хлопковые боксеры с удобной посадкой черный L</t>
  </si>
  <si>
    <t xml:space="preserve"> Хлопковые боксеры с удобной посадкой черный M</t>
  </si>
  <si>
    <t xml:space="preserve"> Мужские трусы-слипы на замочке белый M</t>
  </si>
  <si>
    <t xml:space="preserve"> Мужские трусы-слипы на замочке белый L</t>
  </si>
  <si>
    <t xml:space="preserve"> Мужские трусы-слипы на замочке белый S</t>
  </si>
  <si>
    <t xml:space="preserve"> Мужские трусы-слипы на замочке белый XL</t>
  </si>
  <si>
    <t xml:space="preserve"> Мужские трусы-слипы на замочке белый XXL</t>
  </si>
  <si>
    <t xml:space="preserve"> Боксеры с золотистыми контурными линиями хаки XL</t>
  </si>
  <si>
    <t xml:space="preserve"> Боксеры с золотистыми контурными линиями хаки XXL</t>
  </si>
  <si>
    <t xml:space="preserve"> Боксеры с золотистыми контурными линиями хаки S</t>
  </si>
  <si>
    <t xml:space="preserve"> Боксеры с золотистыми контурными линиями хаки L</t>
  </si>
  <si>
    <t xml:space="preserve"> Боксеры с золотистыми контурными линиями хаки M</t>
  </si>
  <si>
    <t xml:space="preserve"> Классические боксеры с надписью DOREANSE на поясе темно-синий M</t>
  </si>
  <si>
    <t xml:space="preserve"> Классические боксеры с надписью DOREANSE на поясе черный M</t>
  </si>
  <si>
    <t xml:space="preserve"> Классические боксеры с надписью DOREANSE на поясе темно-синий S</t>
  </si>
  <si>
    <t xml:space="preserve"> Классические боксеры с надписью DOREANSE на поясе черный S</t>
  </si>
  <si>
    <t xml:space="preserve"> Классические боксеры с надписью DOREANSE на поясе фиолетовый S</t>
  </si>
  <si>
    <t xml:space="preserve"> Классические боксеры с надписью DOREANSE на поясе черный L</t>
  </si>
  <si>
    <t xml:space="preserve"> Классические боксеры с надписью DOREANSE на поясе темно-синий XXL</t>
  </si>
  <si>
    <t xml:space="preserve"> Классические боксеры с надписью DOREANSE на поясе черный XL</t>
  </si>
  <si>
    <t xml:space="preserve"> Классические боксеры с надписью DOREANSE на поясе черный XXL</t>
  </si>
  <si>
    <t xml:space="preserve"> Однотонные трусы-слипы черный XL</t>
  </si>
  <si>
    <t xml:space="preserve"> Однотонные трусы-слипы белый XL</t>
  </si>
  <si>
    <t xml:space="preserve"> Однотонные трусы-слипы белый XXL</t>
  </si>
  <si>
    <t xml:space="preserve"> Однотонные трусы-слипы черный XXL</t>
  </si>
  <si>
    <t xml:space="preserve"> Однотонные трусы-слипы черный L</t>
  </si>
  <si>
    <t xml:space="preserve"> Однотонные трусы-слипы белый L</t>
  </si>
  <si>
    <t xml:space="preserve"> Однотонные трусы-слипы черный S</t>
  </si>
  <si>
    <t xml:space="preserve"> Однотонные трусы-слипы белый S</t>
  </si>
  <si>
    <t xml:space="preserve"> Однотонные трусы-слипы черный M</t>
  </si>
  <si>
    <t xml:space="preserve"> Однотонные трусы-слипы белый M</t>
  </si>
  <si>
    <t xml:space="preserve"> Боксеры средней длины из хлопково-модальной ткани серый M</t>
  </si>
  <si>
    <t xml:space="preserve"> Боксеры средней длины из хлопково-модальной ткани серый S</t>
  </si>
  <si>
    <t xml:space="preserve"> Боксеры средней длины из хлопково-модальной ткани серый L</t>
  </si>
  <si>
    <t xml:space="preserve"> Боксеры средней длины из хлопково-модальной ткани серый XXL</t>
  </si>
  <si>
    <t xml:space="preserve"> Боксеры средней длины из хлопково-модальной ткани серый XL</t>
  </si>
  <si>
    <t xml:space="preserve"> Мужские стринги из хлопково-модальной ткани белый XL</t>
  </si>
  <si>
    <t xml:space="preserve"> Мужские стринги из хлопково-модальной ткани желтый XL</t>
  </si>
  <si>
    <t xml:space="preserve"> Мужские стринги из хлопково-модальной ткани черный XL</t>
  </si>
  <si>
    <t xml:space="preserve"> Мужские стринги из хлопково-модальной ткани черный XXL</t>
  </si>
  <si>
    <t xml:space="preserve"> Мужские стринги из хлопково-модальной ткани белый L</t>
  </si>
  <si>
    <t xml:space="preserve"> Мужские стринги из хлопково-модальной ткани желтый L</t>
  </si>
  <si>
    <t xml:space="preserve"> Мужские стринги из хлопково-модальной ткани черный L</t>
  </si>
  <si>
    <t xml:space="preserve"> Мужские стринги из хлопково-модальной ткани белый S</t>
  </si>
  <si>
    <t xml:space="preserve"> Мужские стринги из хлопково-модальной ткани желтый S</t>
  </si>
  <si>
    <t xml:space="preserve"> Мужские стринги из хлопково-модальной ткани черный S</t>
  </si>
  <si>
    <t xml:space="preserve"> Мужские стринги из хлопково-модальной ткани белый M</t>
  </si>
  <si>
    <t xml:space="preserve"> Мужские стринги из хлопково-модальной ткани желтый M</t>
  </si>
  <si>
    <t xml:space="preserve"> Мужские стринги из хлопково-модальной ткани черный M</t>
  </si>
  <si>
    <t xml:space="preserve"> Укороченные полупрозрачные боксеры черный M</t>
  </si>
  <si>
    <t xml:space="preserve"> Укороченные полупрозрачные боксеры желтый M</t>
  </si>
  <si>
    <t xml:space="preserve"> Укороченные полупрозрачные боксеры белый M</t>
  </si>
  <si>
    <t xml:space="preserve"> Укороченные полупрозрачные боксеры голубой M</t>
  </si>
  <si>
    <t xml:space="preserve"> Укороченные полупрозрачные боксеры красный M</t>
  </si>
  <si>
    <t xml:space="preserve"> Укороченные полупрозрачные боксеры серый M</t>
  </si>
  <si>
    <t xml:space="preserve"> Укороченные полупрозрачные боксеры черный S</t>
  </si>
  <si>
    <t xml:space="preserve"> Укороченные полупрозрачные боксеры красный S</t>
  </si>
  <si>
    <t xml:space="preserve"> Укороченные полупрозрачные боксеры желтый S</t>
  </si>
  <si>
    <t xml:space="preserve"> Укороченные полупрозрачные боксеры голубой S</t>
  </si>
  <si>
    <t xml:space="preserve"> Укороченные полупрозрачные боксеры белый S</t>
  </si>
  <si>
    <t xml:space="preserve"> Укороченные полупрозрачные боксеры серый S</t>
  </si>
  <si>
    <t xml:space="preserve"> Укороченные полупрозрачные боксеры красный L</t>
  </si>
  <si>
    <t xml:space="preserve"> Укороченные полупрозрачные боксеры черный L</t>
  </si>
  <si>
    <t xml:space="preserve"> Укороченные полупрозрачные боксеры голубой L</t>
  </si>
  <si>
    <t xml:space="preserve"> Укороченные полупрозрачные боксеры желтый L</t>
  </si>
  <si>
    <t xml:space="preserve"> Укороченные полупрозрачные боксеры белый L</t>
  </si>
  <si>
    <t xml:space="preserve"> Укороченные полупрозрачные боксеры серый L</t>
  </si>
  <si>
    <t xml:space="preserve"> Укороченные полупрозрачные боксеры голубой XXL</t>
  </si>
  <si>
    <t xml:space="preserve"> Укороченные полупрозрачные боксеры серый XXL</t>
  </si>
  <si>
    <t xml:space="preserve"> Укороченные полупрозрачные боксеры желтый XXL</t>
  </si>
  <si>
    <t xml:space="preserve"> Укороченные полупрозрачные боксеры белый XXL</t>
  </si>
  <si>
    <t xml:space="preserve"> Укороченные полупрозрачные боксеры черный XL</t>
  </si>
  <si>
    <t xml:space="preserve"> Укороченные полупрозрачные боксеры красный XL</t>
  </si>
  <si>
    <t xml:space="preserve"> Укороченные полупрозрачные боксеры желтый XL</t>
  </si>
  <si>
    <t xml:space="preserve"> Укороченные полупрозрачные боксеры белый XL</t>
  </si>
  <si>
    <t xml:space="preserve"> Укороченные полупрозрачные боксеры серый XL</t>
  </si>
  <si>
    <t xml:space="preserve"> Укороченные полупрозрачные боксеры голубой XL</t>
  </si>
  <si>
    <t xml:space="preserve"> Укороченные полупрозрачные боксеры черный XXL</t>
  </si>
  <si>
    <t xml:space="preserve"> Укороченные полупрозрачные боксеры красный XXL</t>
  </si>
  <si>
    <t xml:space="preserve"> Хлопковые трусы-стринги DOREANSE белый XL</t>
  </si>
  <si>
    <t xml:space="preserve"> Хлопковые трусы-стринги DOREANSE черный XL</t>
  </si>
  <si>
    <t xml:space="preserve"> Хлопковые трусы-стринги DOREANSE белый L</t>
  </si>
  <si>
    <t xml:space="preserve"> Хлопковые трусы-стринги DOREANSE черный L</t>
  </si>
  <si>
    <t xml:space="preserve"> Хлопковые трусы-стринги DOREANSE белый S</t>
  </si>
  <si>
    <t xml:space="preserve"> Хлопковые трусы-стринги DOREANSE черный S</t>
  </si>
  <si>
    <t xml:space="preserve"> Хлопковые трусы-стринги DOREANSE белый M</t>
  </si>
  <si>
    <t xml:space="preserve"> Хлопковые трусы-стринги DOREANSE черный M</t>
  </si>
  <si>
    <t xml:space="preserve"> Укороченные боксеры с надписью DOREANSE на поясе голубой M</t>
  </si>
  <si>
    <t xml:space="preserve"> Укороченные боксеры с надписью DOREANSE на поясе серый M</t>
  </si>
  <si>
    <t xml:space="preserve"> Укороченные боксеры с надписью DOREANSE на поясе черный S</t>
  </si>
  <si>
    <t xml:space="preserve"> Укороченные боксеры с надписью DOREANSE на поясе красный S</t>
  </si>
  <si>
    <t xml:space="preserve"> Укороченные боксеры с надписью DOREANSE на поясе голубой S</t>
  </si>
  <si>
    <t xml:space="preserve"> Укороченные боксеры с надписью DOREANSE на поясе серый S</t>
  </si>
  <si>
    <t xml:space="preserve"> Укороченные боксеры с надписью DOREANSE на поясе красный L</t>
  </si>
  <si>
    <t xml:space="preserve"> Укороченные боксеры с надписью DOREANSE на поясе серый L</t>
  </si>
  <si>
    <t xml:space="preserve"> Укороченные боксеры с надписью DOREANSE на поясе голубой L</t>
  </si>
  <si>
    <t xml:space="preserve"> Укороченные боксеры с надписью DOREANSE на поясе черный XL</t>
  </si>
  <si>
    <t xml:space="preserve"> Укороченные боксеры с надписью DOREANSE на поясе красный XL</t>
  </si>
  <si>
    <t xml:space="preserve"> Укороченные боксеры с надписью DOREANSE на поясе голубой XL</t>
  </si>
  <si>
    <t xml:space="preserve"> Укороченные боксеры с надписью DOREANSE на поясе голубой XXL</t>
  </si>
  <si>
    <t xml:space="preserve"> Укороченные боксеры с надписью DOREANSE на поясе серый XXL</t>
  </si>
  <si>
    <t xml:space="preserve"> Укороченные боксеры с надписью DOREANSE на поясе красный XXL</t>
  </si>
  <si>
    <t xml:space="preserve"> Укороченные боксеры с надписью DOREANSE на поясе серый XL</t>
  </si>
  <si>
    <t xml:space="preserve"> Укороченные боксеры с надписью DOREANSE на поясе черный XXL</t>
  </si>
  <si>
    <t xml:space="preserve"> Мужские трусы-слипы на узкой резинке черный XXL</t>
  </si>
  <si>
    <t xml:space="preserve"> Мужские трусы-слипы на узкой резинке черный XL</t>
  </si>
  <si>
    <t xml:space="preserve"> Мужские трусы-слипы на узкой резинке телесный L</t>
  </si>
  <si>
    <t xml:space="preserve"> Мужские трусы-слипы на узкой резинке телесный S</t>
  </si>
  <si>
    <t xml:space="preserve"> Мужские трусы-слипы на узкой резинке черный M</t>
  </si>
  <si>
    <t xml:space="preserve"> Мужские трусы-слипы на узкой резинке телесный M</t>
  </si>
  <si>
    <t xml:space="preserve"> Мужские трусы-слипы с надписью DOREANSE черный M</t>
  </si>
  <si>
    <t xml:space="preserve"> Мужские трусы-слипы с надписью DOREANSE белый M</t>
  </si>
  <si>
    <t xml:space="preserve"> Мужские трусы-слипы с надписью DOREANSE черный S</t>
  </si>
  <si>
    <t xml:space="preserve"> Мужские трусы-слипы с надписью DOREANSE белый S</t>
  </si>
  <si>
    <t xml:space="preserve"> Мужские трусы-слипы с надписью DOREANSE черный L</t>
  </si>
  <si>
    <t xml:space="preserve"> Мужские трусы-слипы с надписью DOREANSE белый L</t>
  </si>
  <si>
    <t xml:space="preserve"> Мужские трусы-слипы с надписью DOREANSE черный XL</t>
  </si>
  <si>
    <t xml:space="preserve"> Мужские трусы-слипы с надписью DOREANSE белый XL</t>
  </si>
  <si>
    <t xml:space="preserve"> Мужские трусы-слипы с надписью DOREANSE белый XXL</t>
  </si>
  <si>
    <t xml:space="preserve"> Мужские трусы-слипы с надписью DOREANSE черный XXL</t>
  </si>
  <si>
    <t xml:space="preserve"> Трусики-стринги на узкой резинке телесный XL</t>
  </si>
  <si>
    <t xml:space="preserve"> Трусики-стринги на узкой резинке телесный L</t>
  </si>
  <si>
    <t xml:space="preserve"> Трусики-стринги на узкой резинке телесный S</t>
  </si>
  <si>
    <t xml:space="preserve"> Трусики-стринги на узкой резинке телесный M</t>
  </si>
  <si>
    <t xml:space="preserve"> Боксеры из хлопково-модальной ткани синий с красным M</t>
  </si>
  <si>
    <t xml:space="preserve"> Боксеры из хлопково-модальной ткани синий с красным S</t>
  </si>
  <si>
    <t xml:space="preserve"> Боксеры из хлопково-модальной ткани синий с красным L</t>
  </si>
  <si>
    <t xml:space="preserve"> Боксеры из хлопково-модальной ткани синий с красным XL</t>
  </si>
  <si>
    <t xml:space="preserve"> Боксеры из хлопково-модальной ткани синий с красным XXL</t>
  </si>
  <si>
    <t xml:space="preserve"> Укороченные боксеры на узкой резинке телесный XL</t>
  </si>
  <si>
    <t xml:space="preserve"> Укороченные боксеры на узкой резинке черный XL</t>
  </si>
  <si>
    <t xml:space="preserve"> Укороченные боксеры на узкой резинке черный XXL</t>
  </si>
  <si>
    <t xml:space="preserve"> Укороченные боксеры на узкой резинке телесный XXL</t>
  </si>
  <si>
    <t xml:space="preserve"> Укороченные боксеры на узкой резинке телесный L</t>
  </si>
  <si>
    <t xml:space="preserve"> Укороченные боксеры на узкой резинке телесный S</t>
  </si>
  <si>
    <t xml:space="preserve"> Укороченные боксеры на узкой резинке черный S</t>
  </si>
  <si>
    <t xml:space="preserve"> Укороченные боксеры на узкой резинке телесный M</t>
  </si>
  <si>
    <t xml:space="preserve"> Хлопковые боксеры с надписью DOREANSE черный M</t>
  </si>
  <si>
    <t xml:space="preserve"> Хлопковые боксеры с надписью DOREANSE желтый M</t>
  </si>
  <si>
    <t xml:space="preserve"> Хлопковые боксеры с надписью DOREANSE черный L</t>
  </si>
  <si>
    <t xml:space="preserve"> Хлопковые боксеры с надписью DOREANSE желтый L</t>
  </si>
  <si>
    <t xml:space="preserve"> Хлопковые боксеры с надписью DOREANSE желтый S</t>
  </si>
  <si>
    <t xml:space="preserve"> Хлопковые боксеры с надписью DOREANSE черный S</t>
  </si>
  <si>
    <t xml:space="preserve"> Хлопковые боксеры с надписью DOREANSE черный XXL</t>
  </si>
  <si>
    <t xml:space="preserve"> Хлопковые боксеры с надписью DOREANSE черный XL</t>
  </si>
  <si>
    <t xml:space="preserve"> Хлопковые боксеры с надписью DOREANSE желтый XL</t>
  </si>
  <si>
    <t xml:space="preserve"> Хлопковые боксеры с надписью DOREANSE желтый XXL</t>
  </si>
  <si>
    <t xml:space="preserve"> Удлиненные полупрозрачные боксеры белый XXL</t>
  </si>
  <si>
    <t xml:space="preserve"> Удлиненные полупрозрачные боксеры белый XL</t>
  </si>
  <si>
    <t xml:space="preserve"> Удлиненные полупрозрачные боксеры белый S</t>
  </si>
  <si>
    <t xml:space="preserve"> Удлиненные полупрозрачные боксеры белый L</t>
  </si>
  <si>
    <t xml:space="preserve"> Удлиненные полупрозрачные боксеры белый M</t>
  </si>
  <si>
    <t xml:space="preserve"> Удлинённые боксеры с ярким поясом и вставками по бокам серый M</t>
  </si>
  <si>
    <t xml:space="preserve"> Удлинённые боксеры с ярким поясом и вставками по бокам черный M</t>
  </si>
  <si>
    <t xml:space="preserve"> Удлинённые боксеры с ярким поясом и вставками по бокам серый L</t>
  </si>
  <si>
    <t xml:space="preserve"> Удлинённые боксеры с ярким поясом и вставками по бокам черный L</t>
  </si>
  <si>
    <t xml:space="preserve"> Удлинённые боксеры с ярким поясом и вставками по бокам черный S</t>
  </si>
  <si>
    <t xml:space="preserve"> Удлинённые боксеры с ярким поясом и вставками по бокам серый S</t>
  </si>
  <si>
    <t xml:space="preserve"> Удлинённые боксеры с ярким поясом и вставками по бокам серый XL</t>
  </si>
  <si>
    <t xml:space="preserve"> Удлинённые боксеры с ярким поясом и вставками по бокам черный XL</t>
  </si>
  <si>
    <t xml:space="preserve"> Удлинённые боксеры с ярким поясом и вставками по бокам черный XXL</t>
  </si>
  <si>
    <t xml:space="preserve"> Боксеры из хлопково-модальной ткани с надписью на поясе черный XXL</t>
  </si>
  <si>
    <t xml:space="preserve"> Боксеры из хлопково-модальной ткани с надписью на поясе черный XL</t>
  </si>
  <si>
    <t xml:space="preserve"> Боксеры из хлопково-модальной ткани с надписью на поясе желтый XL</t>
  </si>
  <si>
    <t xml:space="preserve"> Боксеры из хлопково-модальной ткани с надписью на поясе желтый XXL</t>
  </si>
  <si>
    <t xml:space="preserve"> Боксеры из хлопково-модальной ткани с надписью на поясе черный S</t>
  </si>
  <si>
    <t xml:space="preserve"> Боксеры из хлопково-модальной ткани с надписью на поясе желтый S</t>
  </si>
  <si>
    <t xml:space="preserve"> Боксеры из хлопково-модальной ткани с надписью на поясе черный L</t>
  </si>
  <si>
    <t xml:space="preserve"> Боксеры из хлопково-модальной ткани с надписью на поясе желтый L</t>
  </si>
  <si>
    <t xml:space="preserve"> Боксеры из хлопково-модальной ткани с надписью на поясе черный M</t>
  </si>
  <si>
    <t xml:space="preserve"> Боксеры из хлопково-модальной ткани с надписью на поясе желтый M</t>
  </si>
  <si>
    <t xml:space="preserve"> Удлинённые мужские трусы-боксеры с клетчатым поясом зеленый M</t>
  </si>
  <si>
    <t xml:space="preserve"> Удлинённые мужские трусы-боксеры с клетчатым поясом зеленый L</t>
  </si>
  <si>
    <t xml:space="preserve"> Удлинённые мужские трусы-боксеры с клетчатым поясом зеленый S</t>
  </si>
  <si>
    <t xml:space="preserve"> Удлинённые мужские трусы-боксеры с клетчатым поясом зеленый XXL</t>
  </si>
  <si>
    <t xml:space="preserve"> Удлинённые мужские трусы-боксеры с клетчатым поясом зеленый XL</t>
  </si>
  <si>
    <t xml:space="preserve"> Укороченные боксеры с пёстрым узором разноцветный XXL</t>
  </si>
  <si>
    <t xml:space="preserve"> Укороченные боксеры с пёстрым узором разноцветный XL</t>
  </si>
  <si>
    <t xml:space="preserve"> Укороченные боксеры с пёстрым узором разноцветный S</t>
  </si>
  <si>
    <t xml:space="preserve"> Укороченные боксеры с пёстрым узором разноцветный L</t>
  </si>
  <si>
    <t xml:space="preserve"> Укороченные боксеры с пёстрым узором разноцветный M</t>
  </si>
  <si>
    <t xml:space="preserve"> Трусики-слипы с полупрозрачной тканью на боках белый M</t>
  </si>
  <si>
    <t xml:space="preserve"> Трусики-слипы с полупрозрачной тканью на боках белый L</t>
  </si>
  <si>
    <t xml:space="preserve"> Трусики-слипы с полупрозрачной тканью на боках белый S</t>
  </si>
  <si>
    <t xml:space="preserve"> Трусики-слипы с полупрозрачной тканью на боках белый XL</t>
  </si>
  <si>
    <t xml:space="preserve"> Трусики-слипы с полупрозрачной тканью на боках белый XXL</t>
  </si>
  <si>
    <t xml:space="preserve"> Обтягивающие боксеры с надписью на поясе черный XL</t>
  </si>
  <si>
    <t xml:space="preserve"> Обтягивающие боксеры с надписью на поясе черный XXL</t>
  </si>
  <si>
    <t xml:space="preserve"> Обтягивающие боксеры с надписью на поясе черный L</t>
  </si>
  <si>
    <t xml:space="preserve"> Обтягивающие боксеры с надписью на поясе черный S</t>
  </si>
  <si>
    <t xml:space="preserve"> Обтягивающие боксеры с надписью на поясе черный M</t>
  </si>
  <si>
    <t xml:space="preserve"> Трусы с надписями на резинке черный M</t>
  </si>
  <si>
    <t xml:space="preserve"> Трусы с надписями на резинке черный L</t>
  </si>
  <si>
    <t xml:space="preserve"> Трусы с надписями на резинке черный S</t>
  </si>
  <si>
    <t xml:space="preserve"> Трусы с надписями на резинке черный XXL</t>
  </si>
  <si>
    <t xml:space="preserve"> Трусы с надписями на резинке черный XL</t>
  </si>
  <si>
    <t xml:space="preserve"> Черные укороченные ажурные боксеры черный XL</t>
  </si>
  <si>
    <t xml:space="preserve"> Черные укороченные ажурные боксеры черный S</t>
  </si>
  <si>
    <t xml:space="preserve"> Черные укороченные ажурные боксеры черный L</t>
  </si>
  <si>
    <t xml:space="preserve"> Черные укороченные ажурные боксеры черный M</t>
  </si>
  <si>
    <t xml:space="preserve"> Мужские трусы-стринги с леопардовой вставкой спереди черный с леопардовым M</t>
  </si>
  <si>
    <t xml:space="preserve"> Мужские трусы-стринги с леопардовой вставкой спереди черный L</t>
  </si>
  <si>
    <t xml:space="preserve"> Трусы Aron с несколькими бретелями черный S-M</t>
  </si>
  <si>
    <t xml:space="preserve"> Трусы Aron с несколькими бретелями красный с черным S-M</t>
  </si>
  <si>
    <t xml:space="preserve"> Трусы Aron с несколькими бретелями белый с черным S-M</t>
  </si>
  <si>
    <t xml:space="preserve"> Трусы Aron с несколькими бретелями белый с черным L-XL</t>
  </si>
  <si>
    <t xml:space="preserve"> Трусы Aron с несколькими бретелями красный с черным L-XL</t>
  </si>
  <si>
    <t xml:space="preserve"> Трусы Aron с несколькими бретелями красный с черным XXL-XXXL</t>
  </si>
  <si>
    <t xml:space="preserve"> Трусы Aron с несколькими бретелями белый с черным XXL-XXXL</t>
  </si>
  <si>
    <t xml:space="preserve"> Трусы Aron с несколькими бретелями черный L-XL</t>
  </si>
  <si>
    <t xml:space="preserve"> Трусы Aron с несколькими бретелями черный XXL-XXXL</t>
  </si>
  <si>
    <t xml:space="preserve"> Мужские трусы-шорты с цепями по бокам Doro черный XXL-XXXL</t>
  </si>
  <si>
    <t xml:space="preserve"> Мужские трусы-шорты с цепями по бокам Doro черный L-XL</t>
  </si>
  <si>
    <t xml:space="preserve"> Мужские трусы-шорты с цепями по бокам Doro черный S-M</t>
  </si>
  <si>
    <t xml:space="preserve">  Женская обувь</t>
  </si>
  <si>
    <t xml:space="preserve">    Туфли</t>
  </si>
  <si>
    <t xml:space="preserve"> Черно-розовые туфли «Magnolia» розовый с черным 40</t>
  </si>
  <si>
    <t xml:space="preserve"> Черно-розовые туфли «Magnolia» розовый с черным 36</t>
  </si>
  <si>
    <t xml:space="preserve"> Черно-розовые туфли «Magnolia» розовый с черным 37</t>
  </si>
  <si>
    <t xml:space="preserve"> Черно-розовые туфли «Magnolia» розовый с черным 38</t>
  </si>
  <si>
    <t xml:space="preserve"> Черно-розовые туфли «Magnolia» розовый с черным 39</t>
  </si>
  <si>
    <t xml:space="preserve"> Черно-розовые туфли «Magnolia» розовый с черным 41</t>
  </si>
  <si>
    <t xml:space="preserve"> Сабо с блестками «Raspberry» розовый 41</t>
  </si>
  <si>
    <t xml:space="preserve"> Сабо с блестками «Raspberry» розовый 38</t>
  </si>
  <si>
    <t xml:space="preserve"> Сабо с блестками «Raspberry» розовый 39</t>
  </si>
  <si>
    <t xml:space="preserve"> Сабо с блестками «Raspberry» розовый 40</t>
  </si>
  <si>
    <t xml:space="preserve"> Сабо с блестками «Raspberry» розовый 37</t>
  </si>
  <si>
    <t xml:space="preserve"> Золотые лаковые босоножки со стразами золото 37</t>
  </si>
  <si>
    <t xml:space="preserve"> Золотые лаковые босоножки со стразами золото 38</t>
  </si>
  <si>
    <t xml:space="preserve"> Золотые лаковые босоножки со стразами золото 36</t>
  </si>
  <si>
    <t xml:space="preserve"> Золотые лаковые босоножки со стразами золото 40</t>
  </si>
  <si>
    <t xml:space="preserve"> Золотые лаковые босоножки со стразами золото 39</t>
  </si>
  <si>
    <t xml:space="preserve">    Сапоги</t>
  </si>
  <si>
    <t xml:space="preserve"> Высокие сапоги на устойчивом каблуке и шнуровке белый 36</t>
  </si>
  <si>
    <t xml:space="preserve"> Высокие сапоги на устойчивом каблуке и шнуровке белый 40</t>
  </si>
  <si>
    <t xml:space="preserve"> Высокие сапоги на устойчивом каблуке и шнуровке черный 40</t>
  </si>
  <si>
    <t xml:space="preserve"> Высокие сапоги на устойчивом каблуке и шнуровке черный 37</t>
  </si>
  <si>
    <t xml:space="preserve"> Высокие сапоги на устойчивом каблуке и шнуровке черный 38</t>
  </si>
  <si>
    <t xml:space="preserve"> Высокие сапоги на устойчивом каблуке и шнуровке белый 38</t>
  </si>
  <si>
    <t xml:space="preserve"> Высокие сапоги на устойчивом каблуке и шнуровке белый 39</t>
  </si>
  <si>
    <t xml:space="preserve"> Высокие сапоги на устойчивом каблуке и шнуровке черный 39</t>
  </si>
  <si>
    <t xml:space="preserve"> Высокие сапоги на устойчивом каблуке и шнуровке белый 37</t>
  </si>
  <si>
    <t xml:space="preserve"> Высокие сапоги на устойчивом каблуке и шнуровке черный 41</t>
  </si>
  <si>
    <t xml:space="preserve"> Высокие сапоги на устойчивом каблуке и шнуровке белый 41</t>
  </si>
  <si>
    <t xml:space="preserve"> Сапоги со шнуровкой с красными языками пламени белый 35</t>
  </si>
  <si>
    <t xml:space="preserve"> Сапоги со шнуровкой с красными языками пламени белый 38</t>
  </si>
  <si>
    <t xml:space="preserve"> Сапоги со шнуровкой с красными языками пламени черный 38</t>
  </si>
  <si>
    <t xml:space="preserve"> Сапоги со шнуровкой с красными языками пламени белый 36</t>
  </si>
  <si>
    <t xml:space="preserve"> Сапоги со шнуровкой с красными языками пламени черный 39</t>
  </si>
  <si>
    <t xml:space="preserve"> Сапоги со шнуровкой с красными языками пламени белый 39</t>
  </si>
  <si>
    <t xml:space="preserve"> Сапоги со шнуровкой с красными языками пламени белый 41</t>
  </si>
  <si>
    <t xml:space="preserve"> Сапоги со шнуровкой с красными языками пламени черный 41</t>
  </si>
  <si>
    <t xml:space="preserve"> Сапоги со шнуровкой с красными языками пламени черный 37</t>
  </si>
  <si>
    <t xml:space="preserve"> Сапоги со шнуровкой с красными языками пламени белый 37</t>
  </si>
  <si>
    <t xml:space="preserve"> Сапоги со шнуровкой с красными языками пламени черный 40</t>
  </si>
  <si>
    <t xml:space="preserve"> Сапоги со шнуровкой с красными языками пламени белый 40</t>
  </si>
  <si>
    <t xml:space="preserve">  Игровые костюмы</t>
  </si>
  <si>
    <t xml:space="preserve">    Горничные, официантки</t>
  </si>
  <si>
    <t xml:space="preserve"> Комплект официантки «Паола» белый с черным M</t>
  </si>
  <si>
    <t xml:space="preserve"> Комплект официантки «Паола» белый с черным S</t>
  </si>
  <si>
    <t xml:space="preserve"> Комплект официантки «Паола» белый с черным L</t>
  </si>
  <si>
    <t xml:space="preserve"> Костюм служанки черный S-M</t>
  </si>
  <si>
    <t xml:space="preserve"> Костюм служанки черный M-L</t>
  </si>
  <si>
    <t xml:space="preserve"> Костюм домработницы черный M-L</t>
  </si>
  <si>
    <t xml:space="preserve"> Костюм домработницы черный с белым L-XL</t>
  </si>
  <si>
    <t xml:space="preserve"> Костюм домработницы черный S-M</t>
  </si>
  <si>
    <t xml:space="preserve"> Костюм горничной черный S-M</t>
  </si>
  <si>
    <t xml:space="preserve"> Костюм служанки черный L-XL</t>
  </si>
  <si>
    <t xml:space="preserve"> Костюм горничной отеля черный M-L</t>
  </si>
  <si>
    <t xml:space="preserve"> Костюм горничной отеля черный L-XL</t>
  </si>
  <si>
    <t xml:space="preserve"> Костюм горничной отеля черный S-M</t>
  </si>
  <si>
    <t xml:space="preserve"> Щеточка горничной белый 35 СМ.</t>
  </si>
  <si>
    <t xml:space="preserve"> Костюм горничной черный с белым L-XL</t>
  </si>
  <si>
    <t xml:space="preserve"> Костюм горничной S-M</t>
  </si>
  <si>
    <t xml:space="preserve"> Костюм горничной черный с белым M-L</t>
  </si>
  <si>
    <t xml:space="preserve"> Униформа служанки черный S-M</t>
  </si>
  <si>
    <t xml:space="preserve"> Униформа служанки черный M-L</t>
  </si>
  <si>
    <t xml:space="preserve"> Костюм горничной черный с белым S-M</t>
  </si>
  <si>
    <t xml:space="preserve"> Розовая щеточка горничной (35 см) розовый 35 СМ.</t>
  </si>
  <si>
    <t xml:space="preserve"> Чёрно-розовый костюм горничной черный S-M</t>
  </si>
  <si>
    <t xml:space="preserve"> Чёрно-розовый костюм горничной черный M-L</t>
  </si>
  <si>
    <t xml:space="preserve"> Чёрно-розовый костюм горничной черный L-XL</t>
  </si>
  <si>
    <t xml:space="preserve"> Костюм горничной «Шарлотт» черный XL</t>
  </si>
  <si>
    <t xml:space="preserve"> Костюм горничной «Шарлотт» черный XXL</t>
  </si>
  <si>
    <t xml:space="preserve"> Костюм горничной «Шарлотт» черный XXXL</t>
  </si>
  <si>
    <t xml:space="preserve"> Костюм смелой горничной белый с черным S-M</t>
  </si>
  <si>
    <t xml:space="preserve"> Костюм смелой горничной черный с белым L-XL</t>
  </si>
  <si>
    <t xml:space="preserve"> Костюм смелой горничной белый с черным M-L</t>
  </si>
  <si>
    <t xml:space="preserve"> Игровой костюм официантки «Alexa» белый M-L</t>
  </si>
  <si>
    <t xml:space="preserve"> Игровой костюм официантки «Alexa» белый S-M</t>
  </si>
  <si>
    <t xml:space="preserve"> Откровенный костюм горничной S</t>
  </si>
  <si>
    <t xml:space="preserve"> Откровенный костюм горничной L</t>
  </si>
  <si>
    <t xml:space="preserve"> Женский костюм официантки M-L</t>
  </si>
  <si>
    <t xml:space="preserve"> Женский костюм официантки S-M</t>
  </si>
  <si>
    <t xml:space="preserve"> Игровой костюм прислуги черный S-M</t>
  </si>
  <si>
    <t xml:space="preserve"> Игровой костюм прислуги черный M-L</t>
  </si>
  <si>
    <t xml:space="preserve"> Игровой костюм домработницы черный S-M</t>
  </si>
  <si>
    <t xml:space="preserve"> Игровой костюм горничной «MAID» черный с белым One Size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</si>
  <si>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Перьевая щеточка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</si>
  <si>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t xml:space="preserve"> Костюм горничной черный с белым One Size</t>
  </si>
  <si>
    <t xml:space="preserve"> Костюм официантки: боди, воротник и манжеты черный с белым One Size</t>
  </si>
  <si>
    <t xml:space="preserve"> Костюм официантки: боди, воротник и манжеты черный с белым XL</t>
  </si>
  <si>
    <t xml:space="preserve"> Костюм горничной Shamika черный с белым L-XL</t>
  </si>
  <si>
    <t xml:space="preserve"> Костюм горничной Shamika черный с белым S-M</t>
  </si>
  <si>
    <t xml:space="preserve"> Костюм горничной Maid из 5 предметов черный с белым S-M</t>
  </si>
  <si>
    <t xml:space="preserve"> Костюм горничной Maid из 5 предметов черный с белым L-XL</t>
  </si>
  <si>
    <t xml:space="preserve"> Комплект горничной Nathella черный с белым M</t>
  </si>
  <si>
    <t xml:space="preserve"> Комплект горничной Nathella черный с белым XL</t>
  </si>
  <si>
    <t xml:space="preserve"> Комплект горничной Nathella черный с белым S</t>
  </si>
  <si>
    <t xml:space="preserve"> Комплект горничной Nathella черный с белым L</t>
  </si>
  <si>
    <t xml:space="preserve"> Игровой костюм горничной Cantrea черный с белым 1X-2X</t>
  </si>
  <si>
    <t xml:space="preserve"> Игровой костюм горничной Cantrea черный с белым 3X-4X</t>
  </si>
  <si>
    <t xml:space="preserve"> Игровой костюм горничной Cantrea черный с белым 5X-6X</t>
  </si>
  <si>
    <t xml:space="preserve"> Игровой костюм служанки Flavia черный с белым L-XL</t>
  </si>
  <si>
    <t xml:space="preserve"> Игровой костюм служанки Flavia черный с белым S-M</t>
  </si>
  <si>
    <t xml:space="preserve"> Костюм горничной, отделанный контрастным кружевом черный с белым One Size</t>
  </si>
  <si>
    <t xml:space="preserve"> Игровой костюм горничной, отделанный контрастным кружевом черный с белым One Size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</si>
  <si>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горничной из 4 предметов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</si>
  <si>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горничной из 4 предметов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</si>
  <si>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горничной из 4 предметов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</si>
  <si>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горничной из 4 предметов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</si>
  <si>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Чёрно-белый костюм горничной Plus Size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</si>
  <si>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горничной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</si>
  <si>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горничной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</si>
  <si>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горничной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</si>
  <si>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горничной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</si>
  <si>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t xml:space="preserve">    Зайки</t>
  </si>
  <si>
    <t xml:space="preserve"> Костюм пушистой зайки S-M</t>
  </si>
  <si>
    <t xml:space="preserve"> Костюм черного кролика S-M</t>
  </si>
  <si>
    <t xml:space="preserve"> Костюм черного кролика M-L</t>
  </si>
  <si>
    <t xml:space="preserve"> Костюм зайки черный с белым M-L</t>
  </si>
  <si>
    <t xml:space="preserve"> Костюм зайки черный с белым L-XL</t>
  </si>
  <si>
    <t xml:space="preserve"> Костюм зайки S-M</t>
  </si>
  <si>
    <t xml:space="preserve"> Ушки зайчика с сердечком розовый One Size</t>
  </si>
  <si>
    <t xml:space="preserve"> Костюм «Pretty Bunny» черный с розовым S-M</t>
  </si>
  <si>
    <t xml:space="preserve"> Костюм «Pretty Bunny» черный с розовым M-L</t>
  </si>
  <si>
    <t xml:space="preserve"> Костюм чёрного зайчика «Playboy» черный с белым One Size</t>
  </si>
  <si>
    <t xml:space="preserve"> Костюм зайчика из 5 предметов черный с белым S-M</t>
  </si>
  <si>
    <t xml:space="preserve"> Костюм зайчика из 5 предметов черный с белым L-XL</t>
  </si>
  <si>
    <t xml:space="preserve"> Костюм очаровательной зайки белый с розовым One Size</t>
  </si>
  <si>
    <t xml:space="preserve"> Игривое боди зайки с аксессуарами черный One Size</t>
  </si>
  <si>
    <t xml:space="preserve"> Белый костюм зайки белый One Size</t>
  </si>
  <si>
    <t xml:space="preserve"> Костюм зайки Malloy: шорты с подтяжками, топ и ушки черный с белым S-M</t>
  </si>
  <si>
    <t xml:space="preserve"> Костюм зайки Malloy: шорты с подтяжками, топ и ушки черный с белым L-XL</t>
  </si>
  <si>
    <t xml:space="preserve"> Костюм зайки Magnetica черный L-XL</t>
  </si>
  <si>
    <t xml:space="preserve"> Костюм зайки Magnetica черный S-M</t>
  </si>
  <si>
    <t xml:space="preserve"> Костюм черной зайки черный S-M</t>
  </si>
  <si>
    <t xml:space="preserve"> Костюм черной зайки черный M-L</t>
  </si>
  <si>
    <t xml:space="preserve"> Игривый костюм зайки черный L-XL</t>
  </si>
  <si>
    <t xml:space="preserve"> Игривый костюм зайки черный S-M</t>
  </si>
  <si>
    <t xml:space="preserve"> Костюм зайки Malloy Plus Size: шорты с подтяжками, топ и заячьи ушки черный с белым XXL-XXXL</t>
  </si>
  <si>
    <t xml:space="preserve"> Костюм милой зайки Magnetica Plus Size черный XXL-XXXL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</si>
  <si>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Чёрно-белый костюм зайки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</si>
  <si>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Чёрно-белый костюм зайки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</si>
  <si>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Чёрно-белый костюм зайки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</si>
  <si>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Чёрно-белый костюм зайки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</si>
  <si>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чёрного зайчика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</si>
  <si>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t xml:space="preserve">    Кошечки</t>
  </si>
  <si>
    <t xml:space="preserve"> Костюм кисы S-M</t>
  </si>
  <si>
    <t xml:space="preserve"> Костюм кисы M-L</t>
  </si>
  <si>
    <t xml:space="preserve"> Костюм кисы черный L-XL</t>
  </si>
  <si>
    <t xml:space="preserve"> Костюм чёрной кошки черный M-L</t>
  </si>
  <si>
    <t xml:space="preserve"> Костюм чёрной кошки черный S-M</t>
  </si>
  <si>
    <t xml:space="preserve"> Чёрные ушки кошки с розовыми вставками черный One Size</t>
  </si>
  <si>
    <t xml:space="preserve"> Черно-розовый костюм «Pretty Kitty» черный с розовым S-M</t>
  </si>
  <si>
    <t xml:space="preserve"> Черно-розовый костюм «Pretty Kitty» черный с розовым M-L</t>
  </si>
  <si>
    <t xml:space="preserve"> Костюм кошечки черный S</t>
  </si>
  <si>
    <t xml:space="preserve"> Костюм кошечки черный L</t>
  </si>
  <si>
    <t xml:space="preserve"> Костюм кошечки черный M</t>
  </si>
  <si>
    <t xml:space="preserve"> Костюм кошки черный One Size</t>
  </si>
  <si>
    <t xml:space="preserve"> Костюм леопардовой кошки леопард One Size</t>
  </si>
  <si>
    <t xml:space="preserve"> Игровой костюм кошечки «Sweet Kiki» белый с черным M-L</t>
  </si>
  <si>
    <t xml:space="preserve"> Игровой костюм кошечки «Sweet Kiki» белый с черным S-M</t>
  </si>
  <si>
    <t xml:space="preserve"> Черно-белый комплект кошечки «Pretty Kitty» черный с белым M-L</t>
  </si>
  <si>
    <t xml:space="preserve"> Черно-белый комплект кошечки «Pretty Kitty» черный с белым S-M</t>
  </si>
  <si>
    <t xml:space="preserve"> Платье тигрицы леопард One Size</t>
  </si>
  <si>
    <t xml:space="preserve"> Маска с кошачьими ушками из стреп-лент черный</t>
  </si>
  <si>
    <t xml:space="preserve"> Маска с кошачьими ушками из стреп-лент красный</t>
  </si>
  <si>
    <t xml:space="preserve"> Маска с кошачьими ушками из стреп-лент белый</t>
  </si>
  <si>
    <t xml:space="preserve"> Чёрная маска кошечки с ушками и сеткой черный 2 РАЗМЕР</t>
  </si>
  <si>
    <t xml:space="preserve"> Чёрная маска кошечки с ушками и сеткой черный 1 РАЗМЕР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</si>
  <si>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Чёрная маска с ушками и большими прорезями для глаз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2 РАЗМЕР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</si>
  <si>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Чёрная маска с ушками и большими прорезями для глаз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1 РАЗМЕР </d:t>
    </d:r>
  </si>
  <si>
    <t xml:space="preserve"> Маска с ушками и прорезями для глаз, отделанными кружевом черный 2 РАЗМЕР</t>
  </si>
  <si>
    <t xml:space="preserve"> Маска с ушками и прорезями для глаз, отделанными кружевом черный 1 РАЗМЕР</t>
  </si>
  <si>
    <t xml:space="preserve"> Костюм дикой кошки Gepardina черный L-XL</t>
  </si>
  <si>
    <t xml:space="preserve"> Костюм дикой кошки Gepardina черный S-M</t>
  </si>
  <si>
    <t xml:space="preserve"> Игровой костюм кисули черный S-M</t>
  </si>
  <si>
    <t xml:space="preserve"> Игровой костюм кисули черный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</si>
  <si>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Маска на голову с ушками </d:t>
    </d:r>
    <d:r xmlns:d="http://schemas.openxmlformats.org/spreadsheetml/2006/main">
      <d:rPr>
        <d:sz val="11"/>
        <d:color rgb="FF000000"/>
        <d:rFont val="Calibri"/>
      </d:rPr>
      <d:t xml:space="preserve">бежевый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</si>
  <si>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кошки Kitty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</si>
  <si>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t xml:space="preserve">    Медперсонал</t>
  </si>
  <si>
    <t xml:space="preserve"> Костюм медсестры «Тина» белый M</t>
  </si>
  <si>
    <t xml:space="preserve"> Костюм медсестры «Тина» белый S</t>
  </si>
  <si>
    <t xml:space="preserve"> Костюм медсестры «Тина» белый L</t>
  </si>
  <si>
    <t xml:space="preserve"> Костюм доктора белый M-L</t>
  </si>
  <si>
    <t xml:space="preserve"> Костюм доктора белый S-M</t>
  </si>
  <si>
    <t xml:space="preserve"> Костюм доктора белый L-XL</t>
  </si>
  <si>
    <t xml:space="preserve"> Костюм медсестры белый L-XL</t>
  </si>
  <si>
    <t xml:space="preserve"> Костюм медсестры белый S-M</t>
  </si>
  <si>
    <t xml:space="preserve"> Костюм медсестры белый M-L</t>
  </si>
  <si>
    <t xml:space="preserve"> Костюм медсестры M-L</t>
  </si>
  <si>
    <t xml:space="preserve"> Костюм медсестры S-M</t>
  </si>
  <si>
    <t xml:space="preserve"> Костюм медсестры белый с красным L-XL</t>
  </si>
  <si>
    <t xml:space="preserve"> Костюм медсестры белый с красным M-L</t>
  </si>
  <si>
    <t xml:space="preserve"> Розовый костюм медсестры розовый L-XL</t>
  </si>
  <si>
    <t xml:space="preserve"> Розовый костюм медсестры S-M</t>
  </si>
  <si>
    <t xml:space="preserve"> Розовый костюм медсестры M-L</t>
  </si>
  <si>
    <t xml:space="preserve"> Костюм старшей медсестры S-M</t>
  </si>
  <si>
    <t xml:space="preserve"> Костюм старшей медсестры белый с красным M-L</t>
  </si>
  <si>
    <t xml:space="preserve"> Костюм старшей медсестры белый с красным L-XL</t>
  </si>
  <si>
    <t xml:space="preserve"> Подвязка медсестры со шприцом белый One Size</t>
  </si>
  <si>
    <t xml:space="preserve"> Стетоскоп красного цвета красный One Size</t>
  </si>
  <si>
    <t xml:space="preserve"> Стетоскоп черного цвета черный One Size</t>
  </si>
  <si>
    <t xml:space="preserve"> Костюм доктора S-M</t>
  </si>
  <si>
    <t xml:space="preserve"> Костюм доктора белый с красным M-L</t>
  </si>
  <si>
    <t xml:space="preserve"> Костюм снегурочки M-L</t>
  </si>
  <si>
    <t xml:space="preserve"> Костюм снегурочки S-M</t>
  </si>
  <si>
    <t xml:space="preserve"> Костюм снегурочки красный L-XL</t>
  </si>
  <si>
    <t xml:space="preserve"> Комплект медсестры черный M-L</t>
  </si>
  <si>
    <t xml:space="preserve"> Комплект медсестры белый S-M</t>
  </si>
  <si>
    <t xml:space="preserve"> Комплект медсестры черный S-M</t>
  </si>
  <si>
    <t xml:space="preserve"> Комплект медсестры белый M-L</t>
  </si>
  <si>
    <t xml:space="preserve"> Платье медсестры белый S-M</t>
  </si>
  <si>
    <t xml:space="preserve"> Платье медсестры белый M-L</t>
  </si>
  <si>
    <t xml:space="preserve"> Костюм доктора белый с красным S-M</t>
  </si>
  <si>
    <t xml:space="preserve"> Костюм доктора белый с красным L-XL</t>
  </si>
  <si>
    <t xml:space="preserve"> Кружевной костюм медсестры белый L-XL</t>
  </si>
  <si>
    <t xml:space="preserve"> Кружевной костюм медсестры белый S-M</t>
  </si>
  <si>
    <t xml:space="preserve"> Кружевной костюм медсестры белый M-L</t>
  </si>
  <si>
    <t xml:space="preserve"> Игровой костюм медсестры One Size</t>
  </si>
  <si>
    <t xml:space="preserve"> Ажурный костюм медсестры белый S-M</t>
  </si>
  <si>
    <t xml:space="preserve"> Ажурный костюм медсестры белый M-L</t>
  </si>
  <si>
    <t xml:space="preserve"> Черный костюм медсестры черный One Size</t>
  </si>
  <si>
    <t xml:space="preserve"> Костюм медсестры белый с красным One Size</t>
  </si>
  <si>
    <t xml:space="preserve"> Костюм медсестры белый с красным XL</t>
  </si>
  <si>
    <t xml:space="preserve"> Игровой костюм медсестры из двух предметов белый S-M</t>
  </si>
  <si>
    <t xml:space="preserve"> Игровой костюм медсестры из двух предметов белый M-L</t>
  </si>
  <si>
    <t xml:space="preserve"> Игровой костюм медсестры из двух предметов белый L-XL</t>
  </si>
  <si>
    <t xml:space="preserve"> Игровой костюм медсестры белый One Size</t>
  </si>
  <si>
    <t xml:space="preserve"> Бюстье с кружевом «Медсестра» черный с красным One Size</t>
  </si>
  <si>
    <t xml:space="preserve"> Соблазнительный игровой костюм медсестры белый с красным S-M</t>
  </si>
  <si>
    <t xml:space="preserve"> Соблазнительный игровой костюм медсестры белый с красным M-L</t>
  </si>
  <si>
    <t xml:space="preserve"> Платье медсестры из тянущегося материала белый One Size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</si>
  <si>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Игривый костюм медсестры </d:t>
    </d:r>
    <d:r xmlns:d="http://schemas.openxmlformats.org/spreadsheetml/2006/main">
      <d:rPr>
        <d:sz val="11"/>
        <d:color rgb="FF000000"/>
        <d:rFont val="Calibri"/>
      </d:rPr>
      <d:t>белый с красным </d:t>
    </d:r>
    <d:r xmlns:d="http://schemas.openxmlformats.org/spreadsheetml/2006/main">
      <d:rPr>
        <d:sz val="11"/>
        <d:color rgb="FF000000"/>
        <d:rFont val="Calibri"/>
      </d:rPr>
      <d:t xml:space="preserve">M-L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</si>
  <si>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Игривый костюм медсестры </d:t>
    </d:r>
    <d:r xmlns:d="http://schemas.openxmlformats.org/spreadsheetml/2006/main">
      <d:rPr>
        <d:sz val="11"/>
        <d:color rgb="FF000000"/>
        <d:rFont val="Calibri"/>
      </d:rPr>
      <d:t>белый с красным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</si>
  <si>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Игривый костюм медсестры </d:t>
    </d:r>
    <d:r xmlns:d="http://schemas.openxmlformats.org/spreadsheetml/2006/main">
      <d:rPr>
        <d:sz val="11"/>
        <d:color rgb="FF000000"/>
        <d:rFont val="Calibri"/>
      </d:rPr>
      <d:t>белый с красным </d:t>
    </d:r>
    <d:r xmlns:d="http://schemas.openxmlformats.org/spreadsheetml/2006/main">
      <d:rPr>
        <d:sz val="11"/>
        <d:color rgb="FF000000"/>
        <d:rFont val="Calibri"/>
      </d:rPr>
      <d:t xml:space="preserve">L-XL </d:t>
    </d:r>
  </si>
  <si>
    <t xml:space="preserve"> Игровой костюм доктора скорой помощи «Emergency» белый с красным S-M</t>
  </si>
  <si>
    <t xml:space="preserve"> Игровой костюм доктора скорой помощи «Emergency» белый с красным L-XL</t>
  </si>
  <si>
    <t xml:space="preserve"> Откровенное боди медсестры белый One Size</t>
  </si>
  <si>
    <t xml:space="preserve"> Костюм сексапильной медсестры белый с красным One Size</t>
  </si>
  <si>
    <t xml:space="preserve"> Костюм медсестры Caregirl белый S-M</t>
  </si>
  <si>
    <t xml:space="preserve"> Костюм медсестры Caregirl белый с красным L-XL</t>
  </si>
  <si>
    <t xml:space="preserve"> Костюм медсестры Siena черный с красным L-XL</t>
  </si>
  <si>
    <t xml:space="preserve"> Костюм медсестры Siena черный с красным S-M</t>
  </si>
  <si>
    <t xml:space="preserve"> Комплект медсестры Persea белый с красным M</t>
  </si>
  <si>
    <t xml:space="preserve"> Комплект медсестры Persea белый с красным XL</t>
  </si>
  <si>
    <t xml:space="preserve"> Комплект медсестры Persea белый с красным S</t>
  </si>
  <si>
    <t xml:space="preserve"> Комплект медсестры Persea белый с красным L</t>
  </si>
  <si>
    <t xml:space="preserve"> Комплект медсестры Shane белый с красным 1X-2X</t>
  </si>
  <si>
    <t xml:space="preserve"> Комплект медсестры Shane белый с красным 3X-4X</t>
  </si>
  <si>
    <t xml:space="preserve"> Комплект медсестры Shane белый с красным 5X-6X</t>
  </si>
  <si>
    <t xml:space="preserve"> Комплект медсестры Persea Plus Size белый с красным XXL</t>
  </si>
  <si>
    <t xml:space="preserve"> Комплект медсестры Persea Plus Size белый с красным XXXL</t>
  </si>
  <si>
    <t xml:space="preserve"> Костюм игривой медсестры Siena Plus Size черный с красным XXL-XXXL</t>
  </si>
  <si>
    <t xml:space="preserve"> Костюм соблазнительницы-медсестры Akkie белый L-XL</t>
  </si>
  <si>
    <t xml:space="preserve"> Костюм соблазнительницы-медсестры Akkie белый S-M</t>
  </si>
  <si>
    <t xml:space="preserve"> Костюм медсестры: боди и головной убор белый с красным One Size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</si>
  <si>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костюм медсестры </d:t>
    </d:r>
    <d:r xmlns:d="http://schemas.openxmlformats.org/spreadsheetml/2006/main">
      <d:rPr>
        <d:sz val="11"/>
        <d:color rgb="FF000000"/>
        <d:rFont val="Calibri"/>
      </d:rPr>
      <d:t>белый с красным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</si>
  <si>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костюм медсестры </d:t>
    </d:r>
    <d:r xmlns:d="http://schemas.openxmlformats.org/spreadsheetml/2006/main">
      <d:rPr>
        <d:sz val="11"/>
        <d:color rgb="FF000000"/>
        <d:rFont val="Calibri"/>
      </d:rPr>
      <d:t>белый с красным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</si>
  <si>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костюм медсестры </d:t>
    </d:r>
    <d:r xmlns:d="http://schemas.openxmlformats.org/spreadsheetml/2006/main">
      <d:rPr>
        <d:sz val="11"/>
        <d:color rgb="FF000000"/>
        <d:rFont val="Calibri"/>
      </d:rPr>
      <d:t>белый с красным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</si>
  <si>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костюм медсестры </d:t>
    </d:r>
    <d:r xmlns:d="http://schemas.openxmlformats.org/spreadsheetml/2006/main">
      <d:rPr>
        <d:sz val="11"/>
        <d:color rgb="FF000000"/>
        <d:rFont val="Calibri"/>
      </d:rPr>
      <d:t>белый с красным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</si>
  <si>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t xml:space="preserve">    Морячки</t>
  </si>
  <si>
    <t xml:space="preserve"> Костюм пиратки «Мисс Флинт» красный S-M</t>
  </si>
  <si>
    <t xml:space="preserve"> Костюм пиратки «Мисс Флинт» красный M-L</t>
  </si>
  <si>
    <t xml:space="preserve"> Платье «Джекки Воробей» красный M-L</t>
  </si>
  <si>
    <t xml:space="preserve"> Платье «Джекки Воробей» красный S-M</t>
  </si>
  <si>
    <t xml:space="preserve"> Платье «Джекки Воробей» красный XL</t>
  </si>
  <si>
    <t xml:space="preserve"> Платье «Джекки Воробей» красный L-XL</t>
  </si>
  <si>
    <t xml:space="preserve"> Заколка морячки One Size</t>
  </si>
  <si>
    <t xml:space="preserve"> Маскарадный костюм морячки синий S-M</t>
  </si>
  <si>
    <t xml:space="preserve"> Маскарадный костюм морячки синий M-L</t>
  </si>
  <si>
    <t xml:space="preserve"> Женский костюм матроса белый S-M</t>
  </si>
  <si>
    <t xml:space="preserve"> Костюм строгой пиратки черный с красным L</t>
  </si>
  <si>
    <t xml:space="preserve"> Костюм морячки серый S</t>
  </si>
  <si>
    <t xml:space="preserve"> Костюм морячки белый M-L</t>
  </si>
  <si>
    <t xml:space="preserve"> Костюм морячки белый S-M</t>
  </si>
  <si>
    <t xml:space="preserve"> Костюм пиратки «Pirate» черный с желтым S-M</t>
  </si>
  <si>
    <t xml:space="preserve"> Костюм пиратки «Pirate» черный с желтым L-XL</t>
  </si>
  <si>
    <t xml:space="preserve"> Головной убор пиратки черный с белым</t>
  </si>
  <si>
    <t xml:space="preserve"> Откровенный костюм морячки белый с синим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</si>
  <si>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костюм морячки Plus Size </d:t>
    </d:r>
    <d:r xmlns:d="http://schemas.openxmlformats.org/spreadsheetml/2006/main">
      <d:rPr>
        <d:sz val="11"/>
        <d:color rgb="FF000000"/>
        <d:rFont val="Calibri"/>
      </d:rPr>
      <d:t>белый с синим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</si>
  <si>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морячки </d:t>
    </d:r>
    <d:r xmlns:d="http://schemas.openxmlformats.org/spreadsheetml/2006/main">
      <d:rPr>
        <d:sz val="11"/>
        <d:color rgb="FF000000"/>
        <d:rFont val="Calibri"/>
      </d:rPr>
      <d:t>белый с синим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</si>
  <si>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морячки </d:t>
    </d:r>
    <d:r xmlns:d="http://schemas.openxmlformats.org/spreadsheetml/2006/main">
      <d:rPr>
        <d:sz val="11"/>
        <d:color rgb="FF000000"/>
        <d:rFont val="Calibri"/>
      </d:rPr>
      <d:t>белый с синим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</si>
  <si>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морячки </d:t>
    </d:r>
    <d:r xmlns:d="http://schemas.openxmlformats.org/spreadsheetml/2006/main">
      <d:rPr>
        <d:sz val="11"/>
        <d:color rgb="FF000000"/>
        <d:rFont val="Calibri"/>
      </d:rPr>
      <d:t>белый с синим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</si>
  <si>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морячки </d:t>
    </d:r>
    <d:r xmlns:d="http://schemas.openxmlformats.org/spreadsheetml/2006/main">
      <d:rPr>
        <d:sz val="11"/>
        <d:color rgb="FF000000"/>
        <d:rFont val="Calibri"/>
      </d:rPr>
      <d:t>белый с синим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</si>
  <si>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морячки Plus Size: корсет, юбка, трусики-стринги, пилотка и гольфы </d:t>
    </d:r>
    <d:r xmlns:d="http://schemas.openxmlformats.org/spreadsheetml/2006/main">
      <d:rPr>
        <d:sz val="11"/>
        <d:color rgb="FF000000"/>
        <d:rFont val="Calibri"/>
      </d:rPr>
      <d:t>синий с белым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</si>
  <si>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соблазнительной морячки </d:t>
    </d:r>
    <d:r xmlns:d="http://schemas.openxmlformats.org/spreadsheetml/2006/main">
      <d:rPr>
        <d:sz val="11"/>
        <d:color rgb="FF000000"/>
        <d:rFont val="Calibri"/>
      </d:rPr>
      <d:t>синий с белым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</si>
  <si>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соблазнительной морячки </d:t>
    </d:r>
    <d:r xmlns:d="http://schemas.openxmlformats.org/spreadsheetml/2006/main">
      <d:rPr>
        <d:sz val="11"/>
        <d:color rgb="FF000000"/>
        <d:rFont val="Calibri"/>
      </d:rPr>
      <d:t>синий с белым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</si>
  <si>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соблазнительной морячки </d:t>
    </d:r>
    <d:r xmlns:d="http://schemas.openxmlformats.org/spreadsheetml/2006/main">
      <d:rPr>
        <d:sz val="11"/>
        <d:color rgb="FF000000"/>
        <d:rFont val="Calibri"/>
      </d:rPr>
      <d:t>синий с белым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</si>
  <si>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соблазнительной морячки </d:t>
    </d:r>
    <d:r xmlns:d="http://schemas.openxmlformats.org/spreadsheetml/2006/main">
      <d:rPr>
        <d:sz val="11"/>
        <d:color rgb="FF000000"/>
        <d:rFont val="Calibri"/>
      </d:rPr>
      <d:t>синий с белым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</si>
  <si>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t xml:space="preserve">    Новый год</t>
  </si>
  <si>
    <t xml:space="preserve"> Новогодняя шапочка-колпак красный One Size</t>
  </si>
  <si>
    <t xml:space="preserve"> Короткий новогодний топ красный с белым M</t>
  </si>
  <si>
    <t xml:space="preserve"> Короткий новогодний топ красный с белым S</t>
  </si>
  <si>
    <t xml:space="preserve"> Короткий новогодний топ красный с белым L</t>
  </si>
  <si>
    <t xml:space="preserve"> Короткий новогодний топ красный с белым XL</t>
  </si>
  <si>
    <t xml:space="preserve"> Новогодний костюм снегурки S-M</t>
  </si>
  <si>
    <t xml:space="preserve"> Новогодний костюм снегурки M-L</t>
  </si>
  <si>
    <t xml:space="preserve"> Новогодний костюм снегурки красный L-XL</t>
  </si>
  <si>
    <t xml:space="preserve"> Синий новогодний костюм Деда Мороза синий One Size</t>
  </si>
  <si>
    <t xml:space="preserve"> Костюм подружки Санты красный с белым S-M</t>
  </si>
  <si>
    <t xml:space="preserve"> Костюм подружки Санты красный с белым M-L</t>
  </si>
  <si>
    <t xml:space="preserve"> Костюм помощницы Санты красный One Size</t>
  </si>
  <si>
    <t xml:space="preserve">    Пилоты, стюардессы</t>
  </si>
  <si>
    <t xml:space="preserve"> Игровой костюм стюардессы синий S-M</t>
  </si>
  <si>
    <t xml:space="preserve"> Игровой костюм стюардессы синий M-L</t>
  </si>
  <si>
    <t xml:space="preserve"> Женское платье авиапилота M-L</t>
  </si>
  <si>
    <t xml:space="preserve"> Женское платье авиапилота S-M</t>
  </si>
  <si>
    <t xml:space="preserve"> Женское платье авиапилота черный L-XL</t>
  </si>
  <si>
    <t xml:space="preserve"> Костюм стюардессы S-M</t>
  </si>
  <si>
    <t xml:space="preserve"> Костюм бортпроводницы синий One Size</t>
  </si>
  <si>
    <t xml:space="preserve"> Костюм бортпроводницы синий XL</t>
  </si>
  <si>
    <t xml:space="preserve"> Костюм стюардессы премиум-класса синий L-XL</t>
  </si>
  <si>
    <t xml:space="preserve"> Костюм стюардессы премиум-класса синий S-M</t>
  </si>
  <si>
    <t xml:space="preserve"> Костюм стюардессы премиум-класса синий M-L</t>
  </si>
  <si>
    <t xml:space="preserve"> Костюм стюардессы Pacifica фиолетовый S-M</t>
  </si>
  <si>
    <t xml:space="preserve"> Костюм стюардессы Pacifica фиолетовый L-XL</t>
  </si>
  <si>
    <t xml:space="preserve"> Костюм соблазнительной стюардессы из 5 предметов синий L-XL</t>
  </si>
  <si>
    <t xml:space="preserve"> Костюм соблазнительной стюардессы из 5 предметов синий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</si>
  <si>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Пилотка стюардессы из искусственной кожи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</si>
  <si>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t xml:space="preserve"> Костюм стюардессы Air hostess синий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</si>
  <si>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стюардессы размером Plus Size </d:t>
    </d:r>
    <d:r xmlns:d="http://schemas.openxmlformats.org/spreadsheetml/2006/main">
      <d:rPr>
        <d:sz val="11"/>
        <d:color rgb="FF000000"/>
        <d:rFont val="Calibri"/>
      </d:rPr>
      <d:t>бордовый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</si>
  <si>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Бордовый костюм стюардессы </d:t>
    </d:r>
    <d:r xmlns:d="http://schemas.openxmlformats.org/spreadsheetml/2006/main">
      <d:rPr>
        <d:sz val="11"/>
        <d:color rgb="FF000000"/>
        <d:rFont val="Calibri"/>
      </d:rPr>
      <d:t>бордовый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</si>
  <si>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Бордовый костюм стюардессы </d:t>
    </d:r>
    <d:r xmlns:d="http://schemas.openxmlformats.org/spreadsheetml/2006/main">
      <d:rPr>
        <d:sz val="11"/>
        <d:color rgb="FF000000"/>
        <d:rFont val="Calibri"/>
      </d:rPr>
      <d:t>бордовый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</si>
  <si>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Бордовый костюм стюардессы </d:t>
    </d:r>
    <d:r xmlns:d="http://schemas.openxmlformats.org/spreadsheetml/2006/main">
      <d:rPr>
        <d:sz val="11"/>
        <d:color rgb="FF000000"/>
        <d:rFont val="Calibri"/>
      </d:rPr>
      <d:t>бордовый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</si>
  <si>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Бордовый костюм стюардессы </d:t>
    </d:r>
    <d:r xmlns:d="http://schemas.openxmlformats.org/spreadsheetml/2006/main">
      <d:rPr>
        <d:sz val="11"/>
        <d:color rgb="FF000000"/>
        <d:rFont val="Calibri"/>
      </d:rPr>
      <d:t>бордовый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</si>
  <si>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Полупрозрачный костюм пилота увеличенного размера </d:t>
    </d:r>
    <d:r xmlns:d="http://schemas.openxmlformats.org/spreadsheetml/2006/main">
      <d:rPr>
        <d:sz val="11"/>
        <d:color rgb="FF000000"/>
        <d:rFont val="Calibri"/>
      </d:rPr>
      <d:t>черный с желтым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</si>
  <si>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пилота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</si>
  <si>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пилота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</si>
  <si>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пилота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</si>
  <si>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пилота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</si>
  <si>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t xml:space="preserve">    Полиция, армия</t>
  </si>
  <si>
    <t xml:space="preserve"> Черное платье адмирала S-M</t>
  </si>
  <si>
    <t xml:space="preserve"> Женский костюм копа S-M</t>
  </si>
  <si>
    <t xml:space="preserve"> Женский костюм копа M-L</t>
  </si>
  <si>
    <t xml:space="preserve"> Женский костюм копа голубой с черным L-XL</t>
  </si>
  <si>
    <t xml:space="preserve"> Костюм заключенной белый S-M</t>
  </si>
  <si>
    <t xml:space="preserve"> Женский костюм полицейского S-M</t>
  </si>
  <si>
    <t xml:space="preserve"> Костюм полицейского черный S-M</t>
  </si>
  <si>
    <t xml:space="preserve"> Костюм полицейского черный M-L</t>
  </si>
  <si>
    <t xml:space="preserve"> Костюм полицейского черный L-XL</t>
  </si>
  <si>
    <t xml:space="preserve"> Фуражка полицейского One Size</t>
  </si>
  <si>
    <t xml:space="preserve"> Костюм полисвумен S-M</t>
  </si>
  <si>
    <t xml:space="preserve"> Костюм преступницы S-M</t>
  </si>
  <si>
    <t xml:space="preserve"> Костюм полицейского S-M</t>
  </si>
  <si>
    <t xml:space="preserve"> Игровой костюм «Надзирательница» XXXL</t>
  </si>
  <si>
    <t xml:space="preserve"> Игровой костюм «Надзирательница» XL-XXL</t>
  </si>
  <si>
    <t xml:space="preserve"> Игровой костюм «Надзирательница» M-L</t>
  </si>
  <si>
    <t xml:space="preserve"> Игровой костюм «Надзирательница» S-M</t>
  </si>
  <si>
    <t xml:space="preserve"> Фуражка полицейского черный One Size</t>
  </si>
  <si>
    <t xml:space="preserve"> Форма полисвумен черный S-M</t>
  </si>
  <si>
    <t xml:space="preserve"> Форма полисвумен черный M-L</t>
  </si>
  <si>
    <t xml:space="preserve"> Игровой костюм заключенной черный с белым One Size</t>
  </si>
  <si>
    <t xml:space="preserve"> Форма строгой полисвумен синий с черным One Size</t>
  </si>
  <si>
    <t xml:space="preserve"> Костюм «Девушка-полицейский» черный One Size</t>
  </si>
  <si>
    <t xml:space="preserve"> Костюм дерзкого копа черный S-M</t>
  </si>
  <si>
    <t xml:space="preserve"> Костюм дерзкого копа черный M-L</t>
  </si>
  <si>
    <t xml:space="preserve"> Дерзкий костюм начальника копов черный M-L</t>
  </si>
  <si>
    <t xml:space="preserve"> Дерзкий костюм начальника копов черный S-M</t>
  </si>
  <si>
    <t xml:space="preserve"> Дерзкий костюм начальника копов черный L-XL</t>
  </si>
  <si>
    <t xml:space="preserve"> Костюм «Гаишница» синий M-L</t>
  </si>
  <si>
    <t xml:space="preserve"> Костюм «Гаишница» синий S-M</t>
  </si>
  <si>
    <t xml:space="preserve"> Костюм полицейского из 3 предметов черный XXXL</t>
  </si>
  <si>
    <t xml:space="preserve"> Костюм полицейского из 3 предметов черный XL</t>
  </si>
  <si>
    <t xml:space="preserve"> Костюм полицейского из 3 предметов черный XXL</t>
  </si>
  <si>
    <t xml:space="preserve"> Костюм солдатки из 4 предметов кофейный S-M</t>
  </si>
  <si>
    <t xml:space="preserve"> Костюм солдатки из 4 предметов кофейный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</si>
  <si>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Военная пилотка </d:t>
    </d:r>
    <d:r xmlns:d="http://schemas.openxmlformats.org/spreadsheetml/2006/main">
      <d:rPr>
        <d:sz val="11"/>
        <d:color rgb="FF000000"/>
        <d:rFont val="Calibri"/>
      </d:rPr>
      <d:t xml:space="preserve">зеленый камуфляж </d:t>
    </d:r>
  </si>
  <si>
    <t xml:space="preserve"> Костюм женщины-шерифа черный с леопардовым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</si>
  <si>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Игровой костюм Police с вырезами на груди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S-M </d:t>
    </d:r>
  </si>
  <si>
    <t xml:space="preserve"> Костюм Police с фуражкой черный S-M</t>
  </si>
  <si>
    <t xml:space="preserve"> Строгий костюм полицейского Police черный S-M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</si>
  <si>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Чёрно-синий костюм полисвуман Plus Size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</si>
  <si>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Чёрно-синий костюм полицейского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</si>
  <si>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Чёрно-синий костюм полицейского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</si>
  <si>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Чёрно-синий костюм полицейского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</si>
  <si>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Чёрно-синий костюм полицейского </d:t>
    </d:r>
    <d:r xmlns:d="http://schemas.openxmlformats.org/spreadsheetml/2006/main">
      <d:rPr>
        <d:sz val="11"/>
        <d:color rgb="FF000000"/>
        <d:rFont val="Calibri"/>
      </d:rPr>
      <d:t>черный с синим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</si>
  <si>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соблазнительного полицейского Plus Size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</si>
  <si>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полицейского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</si>
  <si>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полицейского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</si>
  <si>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полицейского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</si>
  <si>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полицейского </d:t>
    </d:r>
    <d:r xmlns:d="http://schemas.openxmlformats.org/spreadsheetml/2006/main">
      <d:rPr>
        <d:sz val="11"/>
        <d:color rgb="FF000000"/>
        <d:rFont val="Calibri"/>
      </d:rPr>
      <d:t>черный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</si>
  <si>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t xml:space="preserve">    Секретари</t>
  </si>
  <si>
    <t xml:space="preserve">    Сказочные герои</t>
  </si>
  <si>
    <t xml:space="preserve"> Комплект «Красная Шапочка» красный S-M</t>
  </si>
  <si>
    <t xml:space="preserve"> Комплект «Красная Шапочка» красный M-L</t>
  </si>
  <si>
    <t xml:space="preserve"> Костюм «Красная Шапочка» M-L</t>
  </si>
  <si>
    <t xml:space="preserve"> Костюм «Красная Шапочка» S-M</t>
  </si>
  <si>
    <t xml:space="preserve"> Игровой костюм «Кукла Мальвина» S-M</t>
  </si>
  <si>
    <t xml:space="preserve"> Игровой костюм «Кукла Мальвина» M-L</t>
  </si>
  <si>
    <t xml:space="preserve"> Игровой костюм «Классная шапочка» белый с красным L-XL</t>
  </si>
  <si>
    <t xml:space="preserve"> Игровой костюм «Классная шапочка» белый с красным S-M</t>
  </si>
  <si>
    <t xml:space="preserve"> Игровой костюм «Классная шапочка» белый с красным M-L</t>
  </si>
  <si>
    <t xml:space="preserve">    Школа</t>
  </si>
  <si>
    <t xml:space="preserve"> Костюм школьницы белый с розовым One Size</t>
  </si>
  <si>
    <t xml:space="preserve"> Костюм одноклассницы S-M</t>
  </si>
  <si>
    <t xml:space="preserve"> Костюм одноклассницы M-L</t>
  </si>
  <si>
    <t xml:space="preserve"> Костюм одноклассницы белый с красным L-XL</t>
  </si>
  <si>
    <t xml:space="preserve"> Костюм одноклассницы XS</t>
  </si>
  <si>
    <t xml:space="preserve"> Костюм школьницы красный с черным L-XL</t>
  </si>
  <si>
    <t xml:space="preserve"> Костюм школьницы M-L</t>
  </si>
  <si>
    <t xml:space="preserve"> Костюм школьницы S-M</t>
  </si>
  <si>
    <t xml:space="preserve"> Костюм школьницы черный с красным L-XL</t>
  </si>
  <si>
    <t xml:space="preserve"> Костюм ученицы S-M</t>
  </si>
  <si>
    <t xml:space="preserve"> Костюм студентки S-M</t>
  </si>
  <si>
    <t xml:space="preserve"> Костюм школьницы красный с белым M-L</t>
  </si>
  <si>
    <t xml:space="preserve"> Костюм школьницы красный с белым L-XL</t>
  </si>
  <si>
    <t xml:space="preserve"> Костюм школьницы черный с красным M-L</t>
  </si>
  <si>
    <t xml:space="preserve"> Костюм соблазнительной учительницы черный с белым One Size</t>
  </si>
  <si>
    <t xml:space="preserve"> Костюм соблазнительной школьницы розовый с черным One Size</t>
  </si>
  <si>
    <t xml:space="preserve"> Игровой костюм студентки «Kiki» белый с красным S-M</t>
  </si>
  <si>
    <t xml:space="preserve"> Игровой костюм студентки «Kiki» белый с красным M-L</t>
  </si>
  <si>
    <t xml:space="preserve"> Костюм школьницы-отличницы черный M-L</t>
  </si>
  <si>
    <t xml:space="preserve"> Костюм школьницы-отличницы черный S-M</t>
  </si>
  <si>
    <t xml:space="preserve"> Костюм школьницы-проказницы белый с красным M-L</t>
  </si>
  <si>
    <t xml:space="preserve"> Костюм школьницы-проказницы белый с красным S-M</t>
  </si>
  <si>
    <t xml:space="preserve"> Костюм студентки колледжа «CHEEKY COLLEGE» фиолетовый с черным XL</t>
  </si>
  <si>
    <t xml:space="preserve"> Костюм студентки колледжа «CHEEKY COLLEGE» фиолетовый с черным S</t>
  </si>
  <si>
    <t xml:space="preserve"> Костюм студентки колледжа «CHEEKY COLLEGE» фиолетовый с черным L</t>
  </si>
  <si>
    <t xml:space="preserve"> Костюм студентки колледжа «CHEEKY COLLEGE» фиолетовый с черным M</t>
  </si>
  <si>
    <t xml:space="preserve"> Костюм игривой студентки черный с белым One Size</t>
  </si>
  <si>
    <t xml:space="preserve"> Костюм игривой студентки черный с белым XL</t>
  </si>
  <si>
    <t xml:space="preserve"> Ролевой костюм учительницы черный с белым One Size</t>
  </si>
  <si>
    <t xml:space="preserve"> Костюм школьницы: топ, юбка и стринги синяя шотландка One Size</t>
  </si>
  <si>
    <t xml:space="preserve"> Игровой костюм безотказной студентки белый S-M</t>
  </si>
  <si>
    <t xml:space="preserve"> Игровой костюм безотказной студентки белый L-XL</t>
  </si>
  <si>
    <t xml:space="preserve"> Игровой костюм Ajsle: школьная юбка и топ с галстуком серая шотландка XL</t>
  </si>
  <si>
    <t xml:space="preserve"> Игровой костюм Ajsle: школьная юбка и топ с галстуком серая шотландка L</t>
  </si>
  <si>
    <t xml:space="preserve"> Игровой костюм Ajsle: школьная юбка и топ с галстуком серая шотландка M</t>
  </si>
  <si>
    <t xml:space="preserve"> Игровой костюм Ajsle: школьная юбка и топ с галстуком серая шотландка S</t>
  </si>
  <si>
    <t xml:space="preserve"> Костюм студентки Debbie красная шотландка L-XL</t>
  </si>
  <si>
    <t xml:space="preserve"> Костюм студентки Debbie красная шотландка S-M</t>
  </si>
  <si>
    <t xml:space="preserve"> Костюм озорной школьницы красная шотландка S-M</t>
  </si>
  <si>
    <t xml:space="preserve"> Клетчатый костюм-форма школьницы красная шотландка S-M</t>
  </si>
  <si>
    <t xml:space="preserve"> Соблазнительный костюм школьницы Cloda розовая шотландка 1X-2X</t>
  </si>
  <si>
    <t xml:space="preserve"> Соблазнительный костюм школьницы Cloda розовая шотландка 3X-4X</t>
  </si>
  <si>
    <t xml:space="preserve"> Соблазнительный костюм школьницы Cloda розовая шотландка 5X-6X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</si>
  <si>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Соблазнительный костюм школьницы Plus Size размером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XXL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</si>
  <si>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Эффектный костюм школьницы с подтяжками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</si>
  <si>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Эффектный костюм школьницы с подтяжками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</si>
  <si>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Эффектный костюм школьницы с подтяжками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</si>
  <si>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Эффектный костюм школьницы с подтяжками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</si>
  <si>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школьницы: топ, галстук, стринги и гольфы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</si>
  <si>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школьницы: топ, галстук, стринги и гольфы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</si>
  <si>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школьницы: топ, галстук, стринги и гольфы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</si>
  <si>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школьницы: топ, галстук, стринги и гольфы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</si>
  <si>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мечтательной школьницы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XL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</si>
  <si>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мечтательной школьницы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L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</si>
  <si>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мечтательной школьницы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S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</si>
  <si>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мечтательной школьницы </d:t>
    </d:r>
    <d:r xmlns:d="http://schemas.openxmlformats.org/spreadsheetml/2006/main">
      <d:rPr>
        <d:sz val="11"/>
        <d:color rgb="FF000000"/>
        <d:rFont val="Calibri"/>
      </d:rPr>
      <d:t>красная шотландка </d:t>
    </d:r>
    <d:r xmlns:d="http://schemas.openxmlformats.org/spreadsheetml/2006/main">
      <d:rPr>
        <d:sz val="11"/>
        <d:color rgb="FF000000"/>
        <d:rFont val="Calibri"/>
      </d:rPr>
      <d:t xml:space="preserve">M </d:t>
    </d:r>
  </si>
  <si>
    <t xml:space="preserve">    Хэллоуин</t>
  </si>
  <si>
    <t xml:space="preserve"> Костюм вампирши M-L</t>
  </si>
  <si>
    <t xml:space="preserve"> Костюм вампирши S-M</t>
  </si>
  <si>
    <t xml:space="preserve"> Костюм ночной ведьмочки черный S-M</t>
  </si>
  <si>
    <t xml:space="preserve"> Костюм ночной ведьмочки черный M-L</t>
  </si>
  <si>
    <t xml:space="preserve"> Платье ведьмочки S-M</t>
  </si>
  <si>
    <t xml:space="preserve"> Костюм «Подружка из ада» S-M</t>
  </si>
  <si>
    <t xml:space="preserve"> Костюм «Подружка из ада» M-L</t>
  </si>
  <si>
    <t xml:space="preserve"> Костюм «Принцесса ада» красный M-L</t>
  </si>
  <si>
    <t xml:space="preserve"> Костюм «Принцесса ада» красный S-M</t>
  </si>
  <si>
    <t xml:space="preserve"> Рожки чертенка One Size</t>
  </si>
  <si>
    <t xml:space="preserve"> Платье дьяволенка красный S-M</t>
  </si>
  <si>
    <t xml:space="preserve"> Костюм «Темный вампир» S-M</t>
  </si>
  <si>
    <t xml:space="preserve"> Костюм «Темный вампир» M-L</t>
  </si>
  <si>
    <t xml:space="preserve"> Костюм чёрной ведьмочки черный S-M</t>
  </si>
  <si>
    <t xml:space="preserve"> Атласный костюм «Black Demonia» S-M</t>
  </si>
  <si>
    <t xml:space="preserve"> Атласный костюм «Black Demonia» M-L</t>
  </si>
  <si>
    <t xml:space="preserve"> Карнавальный костюм мумии молочный S-M</t>
  </si>
  <si>
    <t xml:space="preserve"> Карнавальный костюм мумии молочный M-L</t>
  </si>
  <si>
    <t xml:space="preserve"> Большие крылья из натуральных перьев «DARK DELIGHT» белый БЕЗРАЗМЕРНЫЙ</t>
  </si>
  <si>
    <t xml:space="preserve"> Большие крылья из натуральных перьев «DARK DELIGHT» черный БЕЗРАЗМЕРНЫЙ</t>
  </si>
  <si>
    <t xml:space="preserve"> Большие крылья из натуральных перьев «DARK DELIGHT» розовый БЕЗРАЗМЕРНЫЙ</t>
  </si>
  <si>
    <t xml:space="preserve"> Большие крылья из натуральных перьев «DARK DELIGHT» красный БЕЗРАЗМЕРНЫЙ</t>
  </si>
  <si>
    <t xml:space="preserve"> Маленькие крылья из натуральных перьев розовый БЕЗРАЗМЕРНЫЙ</t>
  </si>
  <si>
    <t xml:space="preserve"> Маленькие крылья из натуральных перьев белый БЕЗРАЗМЕРНЫЙ</t>
  </si>
  <si>
    <t xml:space="preserve"> Маленькие крылья из натуральных перьев черный БЕЗРАЗМЕРНЫЙ</t>
  </si>
  <si>
    <t xml:space="preserve"> Маленькие крылья из натуральных перьев красный БЕЗРАЗМЕРНЫЙ</t>
  </si>
  <si>
    <t xml:space="preserve"> Рюкзак «Малыш Зомби» розовый</t>
  </si>
  <si>
    <t xml:space="preserve"> Откровенный костюм дьяволицы черный с красным L-XL</t>
  </si>
  <si>
    <t xml:space="preserve"> Откровенный костюм дьяволицы черный с красным S-M</t>
  </si>
  <si>
    <t xml:space="preserve"> Костюм озорной монашки Ines черный с белым L-XL</t>
  </si>
  <si>
    <t xml:space="preserve"> Костюм озорной монашки Ines черный с белым S-M</t>
  </si>
  <si>
    <t xml:space="preserve"> Костюм озорной монахини Ines Plus Size черный с белым XXL-XXXL</t>
  </si>
  <si>
    <t xml:space="preserve">    Маски</t>
  </si>
  <si>
    <t xml:space="preserve"> Золотистая металлическая маска Forrest Queen Masquerade золотой</t>
  </si>
  <si>
    <t xml:space="preserve"> Кружевная маска в венецианском стиле с маленькой короной черный</t>
  </si>
  <si>
    <t xml:space="preserve"> Кружевная маска в венецианском стиле с маленькой короной красный</t>
  </si>
  <si>
    <t xml:space="preserve"> Кружевная маска в форме бабочки красный</t>
  </si>
  <si>
    <t xml:space="preserve"> Ажурная маска «Летучая мышь» красный</t>
  </si>
  <si>
    <t xml:space="preserve"> Маска в форме летучей мыши со стразами и цветами черный</t>
  </si>
  <si>
    <t xml:space="preserve"> Маска «Пленительная тайна» со стразами черный</t>
  </si>
  <si>
    <t xml:space="preserve"> Маска «Пленительная тайна» со стразами красный</t>
  </si>
  <si>
    <t xml:space="preserve"> Чёрная металлическая маска Forrest Queen Masquerade черный</t>
  </si>
  <si>
    <t xml:space="preserve"> Ажурная маска в венецианском стиле черный</t>
  </si>
  <si>
    <t xml:space="preserve"> Ажурная маска в венецианском стиле красный</t>
  </si>
  <si>
    <t xml:space="preserve"> Кружевная маска «Бабочка» черный</t>
  </si>
  <si>
    <t xml:space="preserve"> Кружевная маска «Дивная кошка» черный</t>
  </si>
  <si>
    <t xml:space="preserve"> Кружевная маска с цветочным узором красный</t>
  </si>
  <si>
    <t xml:space="preserve"> Кружевная маска с цветочным узором черный</t>
  </si>
  <si>
    <t xml:space="preserve"> Чёрная маска со стразами Tribal Masquerade Mask черный</t>
  </si>
  <si>
    <t xml:space="preserve"> Чёрная металлическая карнавальная маска Swan Masquerade Mask черный</t>
  </si>
  <si>
    <t xml:space="preserve"> Чёрная металлическая маска Sea Goddes Masquerade Mask черный</t>
  </si>
  <si>
    <t xml:space="preserve"> Серебристая металлическая маска Forrest Queen Masquerade серебро</t>
  </si>
  <si>
    <t xml:space="preserve"> Асимметричная маска «Тайны Венеции» черный</t>
  </si>
  <si>
    <t xml:space="preserve"> Асимметричная маска «Тайны Венеции» красный</t>
  </si>
  <si>
    <t xml:space="preserve"> Кружевная маска с шипами по низу черный</t>
  </si>
  <si>
    <t xml:space="preserve"> Серебристая металлическая маска Butterfly Masquerade Mask серебро</t>
  </si>
  <si>
    <t xml:space="preserve"> Ажурная маска «Каприз» на завязках черный</t>
  </si>
  <si>
    <t xml:space="preserve"> Золотистая металлическая маска Butterfly Masquerade Mask золото</t>
  </si>
  <si>
    <t xml:space="preserve"> Нитяная маска в форме бабочки черный</t>
  </si>
  <si>
    <t xml:space="preserve"> Нитяная маска в форме паутинки черный</t>
  </si>
  <si>
    <t xml:space="preserve"> Нитяная маска с листиками черный</t>
  </si>
  <si>
    <t xml:space="preserve"> Нитяная маска с цветами черный</t>
  </si>
  <si>
    <t xml:space="preserve"> Кружевная маска «Загадка ночи» красный</t>
  </si>
  <si>
    <t xml:space="preserve"> Кружевная маска «Звезда бала» красный</t>
  </si>
  <si>
    <t xml:space="preserve"> Кружевная маска «Звезда бала» черный</t>
  </si>
  <si>
    <t xml:space="preserve"> Ажурная маска «Кокетливая монашка» черный</t>
  </si>
  <si>
    <t xml:space="preserve"> Маска «Легкая загадка» черный</t>
  </si>
  <si>
    <t xml:space="preserve"> Маска «Легкая загадка» красный</t>
  </si>
  <si>
    <t xml:space="preserve"> Кружевная маска в форме летучей мыши черный</t>
  </si>
  <si>
    <t xml:space="preserve"> Маска в виде летучей мыши с цепочками черный</t>
  </si>
  <si>
    <t xml:space="preserve"> Кружевная маска с листиками черный</t>
  </si>
  <si>
    <t xml:space="preserve"> Кружевная маска с листиками красный</t>
  </si>
  <si>
    <t xml:space="preserve"> Роскошная кружевная маска с алыми бусинами-цветочками черный</t>
  </si>
  <si>
    <t xml:space="preserve"> Кружевная маска на глаза в венецианском стиле черный</t>
  </si>
  <si>
    <t xml:space="preserve"> Кружевная маска на глаза в венецианском стиле красный</t>
  </si>
  <si>
    <t xml:space="preserve"> Маска из стреп-лент на верхнюю часть лица черный</t>
  </si>
  <si>
    <t xml:space="preserve"> Маска из стреп-лент на верхнюю часть лица красный</t>
  </si>
  <si>
    <t xml:space="preserve"> Маска из стреп-лент на верхнюю часть лица белый</t>
  </si>
  <si>
    <t xml:space="preserve"> Нитяная маска в форме диадемы черный</t>
  </si>
  <si>
    <t xml:space="preserve"> Нитяная маска в форме лисички черный</t>
  </si>
  <si>
    <t xml:space="preserve"> Оригинальная асимметричная маска из нитей черный</t>
  </si>
  <si>
    <t xml:space="preserve"> Нитяная маскарадная маска на глаза черный</t>
  </si>
  <si>
    <t xml:space="preserve"> Маска с королевской вязью черный</t>
  </si>
  <si>
    <t xml:space="preserve"> Чёрная ажурная маска на глаза черный</t>
  </si>
  <si>
    <t xml:space="preserve"> Черная маска на глаза с узорами черный</t>
  </si>
  <si>
    <t xml:space="preserve"> Белая металлическая маска на завязках белый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</si>
  <si>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Чёрная маска Carrie с круглыми ушками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</si>
  <si>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Черная ажурная асимметричная маска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</si>
  <si>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Чёрная высокая кружевная маска с крупным цветком в верхней части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</si>
  <si>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t xml:space="preserve"> Кружевная маска с ушками черный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</si>
  <si>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Маска на глаза SYBILLE в виде бабочек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</si>
  <si>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Ажурная виниловая маска на глаза DALILA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</si>
  <si>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Чёрная маскарадная маска BLAZE MASQUERADE MASK </d:t>
    </d:r>
    <d:r xmlns:d="http://schemas.openxmlformats.org/spreadsheetml/2006/main">
      <d:rPr>
        <d:sz val="11"/>
        <d:color rgb="FF000000"/>
        <d:rFont val="Calibri"/>
      </d:rPr>
      <d:t xml:space="preserve">черный </d:t>
    </d:r>
  </si>
  <si>
    <t xml:space="preserve">    Другие костюмы и аксессуары</t>
  </si>
  <si>
    <t xml:space="preserve"> Костюм «Ice Lady» M-L</t>
  </si>
  <si>
    <t xml:space="preserve"> Костюм «Ice Lady» S-M</t>
  </si>
  <si>
    <t xml:space="preserve"> Костюм «Кукла Викки» S-M</t>
  </si>
  <si>
    <t xml:space="preserve"> Костюм «Кукла Викки» M-L</t>
  </si>
  <si>
    <t xml:space="preserve"> Костюм теннисистки белый с розовым M-L</t>
  </si>
  <si>
    <t xml:space="preserve"> Костюм теннисистки белый с розовым S-M</t>
  </si>
  <si>
    <t xml:space="preserve"> Женская униформа механика белый с розовым S-M</t>
  </si>
  <si>
    <t xml:space="preserve"> Женская униформа механика белый с розовым M-L</t>
  </si>
  <si>
    <t xml:space="preserve"> Костюм супервумэн синий One Size</t>
  </si>
  <si>
    <t xml:space="preserve"> Меховой костюм бобра бежевый S-M</t>
  </si>
  <si>
    <t xml:space="preserve"> Меховой костюм бобра бежевый M-L</t>
  </si>
  <si>
    <t xml:space="preserve"> Розовый костюм футболистки «TIGHT END» розовый с черным M-L</t>
  </si>
  <si>
    <t xml:space="preserve"> Розовый костюм футболистки «TIGHT END» розовый с черным S-M</t>
  </si>
  <si>
    <t xml:space="preserve"> Синий костюм футболистки «TIGHT END» синий с белым M-L</t>
  </si>
  <si>
    <t xml:space="preserve"> Синий костюм футболистки «TIGHT END» синий с белым S-M</t>
  </si>
  <si>
    <t xml:space="preserve"> Костюм невесты Elle из нежнейшей сеточки белый M-L</t>
  </si>
  <si>
    <t xml:space="preserve"> Костюм невесты Elle из нежнейшей сеточки белый S-M</t>
  </si>
  <si>
    <t xml:space="preserve"> Костюм хиппи Far Out Hippie желтый M-L</t>
  </si>
  <si>
    <t xml:space="preserve"> Костюм хиппи Far Out Hippie желтый S-M</t>
  </si>
  <si>
    <t xml:space="preserve"> Костюм хиппи Far Out Hippie желтый XS</t>
  </si>
  <si>
    <t xml:space="preserve"> Карнавальные очки черный</t>
  </si>
  <si>
    <t xml:space="preserve"> Надувной огнетушитель красный</t>
  </si>
  <si>
    <t xml:space="preserve"> Белоснежный костюм невесты Belle белый S-M</t>
  </si>
  <si>
    <t xml:space="preserve"> Игровой женский костюм «Восточная красавица» белый One Size</t>
  </si>
  <si>
    <t xml:space="preserve"> Костюм автомеханика Servicegirl черный S-M</t>
  </si>
  <si>
    <t xml:space="preserve"> Кружевной костюм рабыни черный S-M</t>
  </si>
  <si>
    <t xml:space="preserve"> Кружевной костюм рабыни черный L-XL</t>
  </si>
  <si>
    <t xml:space="preserve"> Костюм гонщицы Rally черный с красным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</si>
  <si>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крупье Destiny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</si>
  <si>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t xml:space="preserve">    Мужские костюмы</t>
  </si>
  <si>
    <t xml:space="preserve"> Костюм официанта мужской белый с черным M-L</t>
  </si>
  <si>
    <t xml:space="preserve"> Костюм официанта мужской белый с черным XL</t>
  </si>
  <si>
    <t xml:space="preserve"> Мужской костюм военного «US Army» хаки M-L</t>
  </si>
  <si>
    <t xml:space="preserve"> Мужской костюм военного «US Army» хаки L</t>
  </si>
  <si>
    <t xml:space="preserve"> Мужской костюм «Медбрат» белый M-L</t>
  </si>
  <si>
    <t xml:space="preserve"> Мужской костюм «Медбрат» белый L</t>
  </si>
  <si>
    <t xml:space="preserve"> Мужской костюм моряка белый M-L</t>
  </si>
  <si>
    <t xml:space="preserve"> Мужской костюм моряка белый L</t>
  </si>
  <si>
    <t xml:space="preserve"> Мужской костюм полицейского черный L</t>
  </si>
  <si>
    <t xml:space="preserve"> Мужской комплект доктора S-M</t>
  </si>
  <si>
    <t xml:space="preserve"> Мужской комплект доктора M-L</t>
  </si>
  <si>
    <t xml:space="preserve"> Игровой костюм официанта черный XL</t>
  </si>
  <si>
    <t xml:space="preserve"> Игровой костюм официанта черный M-L</t>
  </si>
  <si>
    <t xml:space="preserve"> Мужской костюм джентльмена черный One Size</t>
  </si>
  <si>
    <t xml:space="preserve"> Мужской игровой костюм полицейского черный One Size</t>
  </si>
  <si>
    <t xml:space="preserve"> Мужской игровой костюм священника черный One Size</t>
  </si>
  <si>
    <t xml:space="preserve"> Костюм озорного тирольца зеленый M-L</t>
  </si>
  <si>
    <t xml:space="preserve"> Костюм озорного тирольца зеленый L-XL</t>
  </si>
  <si>
    <d:r xmlns:d="http://schemas.openxmlformats.org/spreadsheetml/2006/main">
      <d:rPr>
        <d:b/>
        <d:sz val="11"/>
        <d:color rgb="FFFF0000"/>
        <d:rFont val="Calibri"/>
      </d:rPr>
      <d:t>[ Новинка ] </d:t>
    </d:r>
    <d:r xmlns:d="http://schemas.openxmlformats.org/spreadsheetml/2006/main">
      <d:rPr>
        <d:sz val="11"/>
        <d:color rgb="FF000000"/>
        <d:rFont val="Calibri"/>
      </d:rPr>
      <d:t>Костюм официанта Keyden </d:t>
    </d:r>
    <d:r xmlns:d="http://schemas.openxmlformats.org/spreadsheetml/2006/main">
      <d:rPr>
        <d:sz val="11"/>
        <d:color rgb="FF000000"/>
        <d:rFont val="Calibri"/>
      </d:rPr>
      <d:t>черный с белым </d:t>
    </d:r>
    <d:r xmlns:d="http://schemas.openxmlformats.org/spreadsheetml/2006/main">
      <d:rPr>
        <d:sz val="11"/>
        <d:color rgb="FF000000"/>
        <d:rFont val="Calibri"/>
      </d:rPr>
      <d:t xml:space="preserve">One Size </d:t>
    </d:r>
  </si>
  <si>
    <t xml:space="preserve">  Новинки</t>
  </si>
  <si>
    <t xml:space="preserve">  Отзывы</t>
  </si>
  <si>
    <t xml:space="preserve">  Производители</t>
  </si>
  <si>
    <t xml:space="preserve">    Erolanta</t>
  </si>
  <si>
    <t xml:space="preserve">    Подиум</t>
  </si>
  <si>
    <t xml:space="preserve">    FlirtOn</t>
  </si>
  <si>
    <t xml:space="preserve">    SoftLine</t>
  </si>
  <si>
    <t xml:space="preserve">    Shirley of Hollywood</t>
  </si>
  <si>
    <t xml:space="preserve">    Bristols SIX</t>
  </si>
  <si>
    <t xml:space="preserve">    Candy Girl</t>
  </si>
  <si>
    <t xml:space="preserve">    Pink Lipstick</t>
  </si>
  <si>
    <t xml:space="preserve">    Ann Devine</t>
  </si>
  <si>
    <t xml:space="preserve">    Hustler Lingerie</t>
  </si>
  <si>
    <t xml:space="preserve">    Electric Lingerie</t>
  </si>
  <si>
    <t xml:space="preserve">    Temptlife</t>
  </si>
  <si>
    <t xml:space="preserve">    Dupu</t>
  </si>
  <si>
    <t xml:space="preserve">    Le Frivole</t>
  </si>
  <si>
    <t xml:space="preserve">    Casmir</t>
  </si>
  <si>
    <t xml:space="preserve">    Avanua</t>
  </si>
  <si>
    <t xml:space="preserve">    Livia Corsetti</t>
  </si>
  <si>
    <t xml:space="preserve">    Baci</t>
  </si>
  <si>
    <t xml:space="preserve">    Pipedream</t>
  </si>
  <si>
    <t xml:space="preserve">    California Exotic Novelties</t>
  </si>
  <si>
    <t xml:space="preserve">    Shots Media BV</t>
  </si>
  <si>
    <t xml:space="preserve">    Rene Rofe</t>
  </si>
  <si>
    <t xml:space="preserve">    Roxana</t>
  </si>
  <si>
    <t xml:space="preserve">    Candy Boy</t>
  </si>
  <si>
    <t xml:space="preserve">    Leg Avenue</t>
  </si>
  <si>
    <t xml:space="preserve">    Maison Close</t>
  </si>
  <si>
    <t xml:space="preserve">    Seven`til Midnight</t>
  </si>
  <si>
    <t xml:space="preserve">    Coquette Int</t>
  </si>
  <si>
    <t xml:space="preserve">    BlueLine</t>
  </si>
  <si>
    <t xml:space="preserve">    Obsessive</t>
  </si>
  <si>
    <t xml:space="preserve">    Lola Lingerie</t>
  </si>
  <si>
    <t xml:space="preserve">    Hollywood Curves</t>
  </si>
  <si>
    <t xml:space="preserve">    Erotic Fantasy</t>
  </si>
  <si>
    <t xml:space="preserve">    LOVETOY (А-Полимер)</t>
  </si>
  <si>
    <t xml:space="preserve">    Passion</t>
  </si>
  <si>
    <t xml:space="preserve">    Orion</t>
  </si>
  <si>
    <t xml:space="preserve">    Hustler Shoes</t>
  </si>
  <si>
    <t xml:space="preserve">    Anais</t>
  </si>
  <si>
    <t xml:space="preserve">    Electric Shoes</t>
  </si>
  <si>
    <t xml:space="preserve">    Chilirose</t>
  </si>
  <si>
    <t xml:space="preserve">    Demoniq</t>
  </si>
  <si>
    <t xml:space="preserve">    MensDreams</t>
  </si>
  <si>
    <t xml:space="preserve">    Be Wicked</t>
  </si>
  <si>
    <t xml:space="preserve">    Cocolicious</t>
  </si>
  <si>
    <t xml:space="preserve">    Xsensual Lingerie</t>
  </si>
  <si>
    <t xml:space="preserve">    Kiss me</t>
  </si>
  <si>
    <t xml:space="preserve">    Veneziana</t>
  </si>
  <si>
    <t xml:space="preserve">    Fever</t>
  </si>
  <si>
    <t xml:space="preserve">    Me Seduce</t>
  </si>
  <si>
    <t xml:space="preserve">    Rebelts</t>
  </si>
  <si>
    <t xml:space="preserve">    Dolce Piccante Lingerie</t>
  </si>
  <si>
    <t xml:space="preserve">    Lolitta</t>
  </si>
  <si>
    <t xml:space="preserve">    Bijoux Indiscrets</t>
  </si>
  <si>
    <t xml:space="preserve">    Starbust</t>
  </si>
  <si>
    <t xml:space="preserve">    Fashion Secret</t>
  </si>
  <si>
    <t xml:space="preserve">    Anne dAls</t>
  </si>
  <si>
    <t xml:space="preserve">    ToyFa</t>
  </si>
  <si>
    <t xml:space="preserve">    Beileisi</t>
  </si>
  <si>
    <t xml:space="preserve">    Lelo</t>
  </si>
  <si>
    <t xml:space="preserve">    Sitabella</t>
  </si>
  <si>
    <t xml:space="preserve">    White Label</t>
  </si>
  <si>
    <t xml:space="preserve">    Ванильный рай</t>
  </si>
  <si>
    <t xml:space="preserve">    Femme Fatale</t>
  </si>
  <si>
    <t xml:space="preserve">    Romeo Rossi</t>
  </si>
  <si>
    <t xml:space="preserve">    LatexAS</t>
  </si>
  <si>
    <t xml:space="preserve">    Fiore</t>
  </si>
  <si>
    <t xml:space="preserve">    Blush Novelties</t>
  </si>
  <si>
    <t xml:space="preserve">    WANAME</t>
  </si>
  <si>
    <t xml:space="preserve">    Beauty Night</t>
  </si>
  <si>
    <t xml:space="preserve">    Gabriella</t>
  </si>
  <si>
    <t xml:space="preserve">    Doreanse</t>
  </si>
  <si>
    <t xml:space="preserve">    Norddiva</t>
  </si>
  <si>
    <t xml:space="preserve">    Elawin</t>
  </si>
  <si>
    <t xml:space="preserve">    Forplay Lingerie</t>
  </si>
  <si>
    <t xml:space="preserve">    Baile</t>
  </si>
  <si>
    <t xml:space="preserve">    Dream Toys</t>
  </si>
  <si>
    <t xml:space="preserve">  Помощь</t>
  </si>
  <si>
    <t xml:space="preserve">    Доставка</t>
  </si>
  <si>
    <t xml:space="preserve">    Условия сотрудничества</t>
  </si>
  <si>
    <t xml:space="preserve">    Оплата</t>
  </si>
  <si>
    <t xml:space="preserve">    Выгрузки остатков</t>
  </si>
  <si>
    <t xml:space="preserve">    Таблицы размеров</t>
  </si>
  <si>
    <t xml:space="preserve">    Контакты</t>
  </si>
  <si>
    <t xml:space="preserve">  Страна производителя</t>
  </si>
  <si>
    <t xml:space="preserve">    Китай</t>
  </si>
  <si>
    <t xml:space="preserve">    Россия</t>
  </si>
  <si>
    <t xml:space="preserve">    Польша</t>
  </si>
  <si>
    <t xml:space="preserve">    США</t>
  </si>
  <si>
    <t xml:space="preserve">    Нидерланды</t>
  </si>
  <si>
    <t xml:space="preserve">    Франция</t>
  </si>
  <si>
    <t xml:space="preserve">    Канада</t>
  </si>
  <si>
    <t xml:space="preserve">    Швейцария</t>
  </si>
  <si>
    <t xml:space="preserve">    Германия</t>
  </si>
  <si>
    <t xml:space="preserve">    Великобритания</t>
  </si>
  <si>
    <t xml:space="preserve">    Италия</t>
  </si>
  <si>
    <t xml:space="preserve">    Испания</t>
  </si>
  <si>
    <t xml:space="preserve">    Швеция</t>
  </si>
  <si>
    <t xml:space="preserve">    Гонконг</t>
  </si>
  <si>
    <t xml:space="preserve">    Турция</t>
  </si>
</sst>
</file>

<file path=xl/styles.xml><?xml version="1.0" encoding="utf-8"?>
<styleSheet xmlns="http://schemas.openxmlformats.org/spreadsheetml/2006/main">
  <numFmts count="1">
    <numFmt numFmtId="164" formatCode="#,##0 руб"/>
  </numFmts>
  <fonts count="5">
    <font>
      <sz val="11"/>
      <name val="Calibri"/>
    </font>
    <font>
      <i/>
      <sz val="26"/>
      <name val="Calibri"/>
    </font>
    <font>
      <b/>
      <sz val="11"/>
      <name val="Calibri"/>
    </font>
    <font>
      <b/>
      <u/>
      <sz val="11"/>
      <color rgb="FF0000FF" tint="0"/>
      <name val="Calibri"/>
    </font>
    <font>
      <u/>
      <sz val="11"/>
      <color rgb="FF0000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A9A9A9" tint="0"/>
      </patternFill>
    </fill>
    <fill>
      <patternFill patternType="solid">
        <fgColor rgb="FFD3D3D3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1">
    <xf numFmtId="0" fontId="0" xfId="0"/>
    <xf numFmtId="0" fontId="1" xfId="0"/>
    <xf numFmtId="0" fontId="2" xfId="0">
      <alignment horizontal="center" vertical="center"/>
    </xf>
    <xf numFmtId="0" fontId="0" fillId="2" xfId="0"/>
    <xf numFmtId="0" fontId="2" fillId="2" xfId="0"/>
    <xf numFmtId="0" fontId="0" fillId="3" xfId="0"/>
    <xf numFmtId="0" fontId="2" fillId="3" xfId="0"/>
    <xf numFmtId="3" fontId="3" xfId="0">
      <alignment horizontal="center"/>
    </xf>
    <xf numFmtId="0" fontId="0" xfId="0">
      <alignment wrapText="1"/>
    </xf>
    <xf numFmtId="164" fontId="0" xfId="0"/>
    <xf numFmtId="0" fontId="4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0cd1d7181af94620" /><Relationship Type="http://schemas.openxmlformats.org/officeDocument/2006/relationships/styles" Target="styles.xml" Id="Raae0cf6dbd93472c" /><Relationship Type="http://schemas.openxmlformats.org/officeDocument/2006/relationships/sharedStrings" Target="sharedStrings.xml" Id="R3293dc55d3c946a5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042"/>
  <sheetViews>
    <sheetView workbookViewId="0"/>
  </sheetViews>
  <sheetFormatPr defaultRowHeight="15"/>
  <cols>
    <col min="1" max="1" width="8.45" customWidth="1"/>
    <col min="2" max="2" width="70" customWidth="1"/>
    <col min="3" max="3" width="12.15" customWidth="1"/>
    <col min="4" max="4" width="12.15" customWidth="1"/>
    <col min="5" max="5" width="12.15" customWidth="1"/>
    <col min="6" max="6" width="8.5" customWidth="1"/>
    <col min="7" max="7" width="8.5" customWidth="1"/>
  </cols>
  <sheetData>
    <row r="1">
      <c r="B1" s="1" t="s">
        <v>0</v>
      </c>
    </row>
    <row r="6">
      <c r="B6" s="0" t="s">
        <v>1</v>
      </c>
    </row>
    <row r="8">
      <c r="B8" s="0" t="s">
        <v>2</v>
      </c>
    </row>
    <row r="9" ht="37.5" customHeight="1" s="2" customFormat="1">
      <c r="A9" s="2" t="s">
        <v>3</v>
      </c>
      <c r="B9" s="2" t="s">
        <v>4</v>
      </c>
      <c r="C9" s="2" t="s">
        <v>5</v>
      </c>
      <c r="D9" s="2" t="s">
        <v>6</v>
      </c>
    </row>
    <row r="10">
      <c r="A10" s="3"/>
      <c r="B10" s="4" t="s">
        <v>7</v>
      </c>
      <c r="C10" s="3"/>
      <c r="D10" s="3"/>
      <c r="E10" s="3"/>
    </row>
    <row r="11">
      <c r="A11" s="5"/>
      <c r="B11" s="6" t="s">
        <v>8</v>
      </c>
      <c r="C11" s="5"/>
      <c r="D11" s="5"/>
      <c r="E11" s="5"/>
    </row>
    <row r="12">
      <c r="A12" s="7">
        <f>HYPERLINK("http://www.lingerieopt.ru/item/3472-kupalnik-bikini-iz-treh-predmetov-cherry-taste/","3472")</f>
      </c>
      <c r="B12" s="8" t="s">
        <v>9</v>
      </c>
      <c r="C12" s="9">
        <v>720</v>
      </c>
      <c r="D12" s="0">
        <v>30</v>
      </c>
      <c r="E12" s="10">
        <f>HYPERLINK("http://www.lingerieopt.ru/images/original/35725768-8dbe-40e3-a41c-6af1590bb42d.jpg","Фото")</f>
      </c>
    </row>
    <row r="13">
      <c r="A13" s="7">
        <f>HYPERLINK("http://www.lingerieopt.ru/item/3472-kupalnik-bikini-iz-treh-predmetov-cherry-taste/","3472")</f>
      </c>
      <c r="B13" s="8" t="s">
        <v>10</v>
      </c>
      <c r="C13" s="9">
        <v>720</v>
      </c>
      <c r="D13" s="0">
        <v>30</v>
      </c>
      <c r="E13" s="10">
        <f>HYPERLINK("http://www.lingerieopt.ru/images/original/35725768-8dbe-40e3-a41c-6af1590bb42d.jpg","Фото")</f>
      </c>
    </row>
    <row r="14">
      <c r="A14" s="7">
        <f>HYPERLINK("http://www.lingerieopt.ru/item/3493-beloe-monokini-v-goroshek/","3493")</f>
      </c>
      <c r="B14" s="8" t="s">
        <v>11</v>
      </c>
      <c r="C14" s="9">
        <v>381</v>
      </c>
      <c r="D14" s="0">
        <v>30</v>
      </c>
      <c r="E14" s="10">
        <f>HYPERLINK("http://www.lingerieopt.ru/images/original/81e9f8be-fcdc-4e09-970a-b3a99bfa50e2.jpg","Фото")</f>
      </c>
    </row>
    <row r="15">
      <c r="A15" s="7">
        <f>HYPERLINK("http://www.lingerieopt.ru/item/3494-krasno-goluboi-kupalnik-s-otkrjtoi-spinoi-candy-dream/","3494")</f>
      </c>
      <c r="B15" s="8" t="s">
        <v>12</v>
      </c>
      <c r="C15" s="9">
        <v>381</v>
      </c>
      <c r="D15" s="0">
        <v>30</v>
      </c>
      <c r="E15" s="10">
        <f>HYPERLINK("http://www.lingerieopt.ru/images/original/54f372e0-0f8c-4436-9463-0a37d451928e.jpg","Фото")</f>
      </c>
    </row>
    <row r="16">
      <c r="A16" s="7">
        <f>HYPERLINK("http://www.lingerieopt.ru/item/3495-kupalnik-s-otkrjtoi-spinoi-dots-stripes/","3495")</f>
      </c>
      <c r="B16" s="8" t="s">
        <v>13</v>
      </c>
      <c r="C16" s="9">
        <v>381</v>
      </c>
      <c r="D16" s="0">
        <v>30</v>
      </c>
      <c r="E16" s="10">
        <f>HYPERLINK("http://www.lingerieopt.ru/images/original/ec3994e4-0215-4599-87bb-edef06ece933.jpg","Фото")</f>
      </c>
    </row>
    <row r="17">
      <c r="A17" s="7">
        <f>HYPERLINK("http://www.lingerieopt.ru/item/3496-kupalnik-monokini-s-vishenkami-na-chernom-fone/","3496")</f>
      </c>
      <c r="B17" s="8" t="s">
        <v>14</v>
      </c>
      <c r="C17" s="9">
        <v>444</v>
      </c>
      <c r="D17" s="0">
        <v>30</v>
      </c>
      <c r="E17" s="10">
        <f>HYPERLINK("http://www.lingerieopt.ru/images/original/67d38f58-136e-4b65-94d6-29dafba5d56d.jpg","Фото")</f>
      </c>
    </row>
    <row r="18">
      <c r="A18" s="5"/>
      <c r="B18" s="6" t="s">
        <v>15</v>
      </c>
      <c r="C18" s="5"/>
      <c r="D18" s="5"/>
      <c r="E18" s="5"/>
    </row>
    <row r="19">
      <c r="A19" s="7">
        <f>HYPERLINK("http://www.lingerieopt.ru/item/138-bodi-medsestrj-lea/","138")</f>
      </c>
      <c r="B19" s="8" t="s">
        <v>16</v>
      </c>
      <c r="C19" s="9">
        <v>1369</v>
      </c>
      <c r="D19" s="0">
        <v>5</v>
      </c>
      <c r="E19" s="10">
        <f>HYPERLINK("http://www.lingerieopt.ru/images/original/ed7e5018-d6ca-4241-bf84-facf3df274de.jpg","Фото")</f>
      </c>
    </row>
    <row r="20">
      <c r="A20" s="7">
        <f>HYPERLINK("http://www.lingerieopt.ru/item/138-bodi-medsestrj-lea/","138")</f>
      </c>
      <c r="B20" s="8" t="s">
        <v>17</v>
      </c>
      <c r="C20" s="9">
        <v>1369</v>
      </c>
      <c r="D20" s="0">
        <v>5</v>
      </c>
      <c r="E20" s="10">
        <f>HYPERLINK("http://www.lingerieopt.ru/images/original/ed7e5018-d6ca-4241-bf84-facf3df274de.jpg","Фото")</f>
      </c>
    </row>
    <row r="21">
      <c r="A21" s="7">
        <f>HYPERLINK("http://www.lingerieopt.ru/item/138-bodi-medsestrj-lea/","138")</f>
      </c>
      <c r="B21" s="8" t="s">
        <v>18</v>
      </c>
      <c r="C21" s="9">
        <v>1369</v>
      </c>
      <c r="D21" s="0">
        <v>5</v>
      </c>
      <c r="E21" s="10">
        <f>HYPERLINK("http://www.lingerieopt.ru/images/original/ed7e5018-d6ca-4241-bf84-facf3df274de.jpg","Фото")</f>
      </c>
    </row>
    <row r="22">
      <c r="A22" s="7">
        <f>HYPERLINK("http://www.lingerieopt.ru/item/138-bodi-medsestrj-lea/","138")</f>
      </c>
      <c r="B22" s="8" t="s">
        <v>19</v>
      </c>
      <c r="C22" s="9">
        <v>1369</v>
      </c>
      <c r="D22" s="0">
        <v>5</v>
      </c>
      <c r="E22" s="10">
        <f>HYPERLINK("http://www.lingerieopt.ru/images/original/ed7e5018-d6ca-4241-bf84-facf3df274de.jpg","Фото")</f>
      </c>
    </row>
    <row r="23">
      <c r="A23" s="7">
        <f>HYPERLINK("http://www.lingerieopt.ru/item/147-igrovoe-bodi-nikol/","147")</f>
      </c>
      <c r="B23" s="8" t="s">
        <v>20</v>
      </c>
      <c r="C23" s="9">
        <v>1619</v>
      </c>
      <c r="D23" s="0">
        <v>9</v>
      </c>
      <c r="E23" s="10">
        <f>HYPERLINK("http://www.lingerieopt.ru/images/original/0d0ef14c-b77b-455c-bef2-98cc8f3fecbb.jpg","Фото")</f>
      </c>
    </row>
    <row r="24">
      <c r="A24" s="7">
        <f>HYPERLINK("http://www.lingerieopt.ru/item/147-igrovoe-bodi-nikol/","147")</f>
      </c>
      <c r="B24" s="8" t="s">
        <v>21</v>
      </c>
      <c r="C24" s="9">
        <v>1619</v>
      </c>
      <c r="D24" s="0">
        <v>0</v>
      </c>
      <c r="E24" s="10">
        <f>HYPERLINK("http://www.lingerieopt.ru/images/original/0d0ef14c-b77b-455c-bef2-98cc8f3fecbb.jpg","Фото")</f>
      </c>
    </row>
    <row r="25">
      <c r="A25" s="7">
        <f>HYPERLINK("http://www.lingerieopt.ru/item/147-igrovoe-bodi-nikol/","147")</f>
      </c>
      <c r="B25" s="8" t="s">
        <v>22</v>
      </c>
      <c r="C25" s="9">
        <v>1619</v>
      </c>
      <c r="D25" s="0">
        <v>11</v>
      </c>
      <c r="E25" s="10">
        <f>HYPERLINK("http://www.lingerieopt.ru/images/original/0d0ef14c-b77b-455c-bef2-98cc8f3fecbb.jpg","Фото")</f>
      </c>
    </row>
    <row r="26">
      <c r="A26" s="7">
        <f>HYPERLINK("http://www.lingerieopt.ru/item/155-bodi-lena/","155")</f>
      </c>
      <c r="B26" s="8" t="s">
        <v>23</v>
      </c>
      <c r="C26" s="9">
        <v>1369</v>
      </c>
      <c r="D26" s="0">
        <v>0</v>
      </c>
      <c r="E26" s="10">
        <f>HYPERLINK("http://www.lingerieopt.ru/images/original/41b4bb66-3364-450e-afad-050d57576e60.jpg","Фото")</f>
      </c>
    </row>
    <row r="27">
      <c r="A27" s="7">
        <f>HYPERLINK("http://www.lingerieopt.ru/item/155-bodi-lena/","155")</f>
      </c>
      <c r="B27" s="8" t="s">
        <v>24</v>
      </c>
      <c r="C27" s="9">
        <v>1369</v>
      </c>
      <c r="D27" s="0">
        <v>5</v>
      </c>
      <c r="E27" s="10">
        <f>HYPERLINK("http://www.lingerieopt.ru/images/original/41b4bb66-3364-450e-afad-050d57576e60.jpg","Фото")</f>
      </c>
    </row>
    <row r="28">
      <c r="A28" s="7">
        <f>HYPERLINK("http://www.lingerieopt.ru/item/155-bodi-lena/","155")</f>
      </c>
      <c r="B28" s="8" t="s">
        <v>25</v>
      </c>
      <c r="C28" s="9">
        <v>1369</v>
      </c>
      <c r="D28" s="0">
        <v>2</v>
      </c>
      <c r="E28" s="10">
        <f>HYPERLINK("http://www.lingerieopt.ru/images/original/41b4bb66-3364-450e-afad-050d57576e60.jpg","Фото")</f>
      </c>
    </row>
    <row r="29">
      <c r="A29" s="7">
        <f>HYPERLINK("http://www.lingerieopt.ru/item/155-bodi-lena/","155")</f>
      </c>
      <c r="B29" s="8" t="s">
        <v>26</v>
      </c>
      <c r="C29" s="9">
        <v>1369</v>
      </c>
      <c r="D29" s="0">
        <v>0</v>
      </c>
      <c r="E29" s="10">
        <f>HYPERLINK("http://www.lingerieopt.ru/images/original/41b4bb66-3364-450e-afad-050d57576e60.jpg","Фото")</f>
      </c>
    </row>
    <row r="30">
      <c r="A30" s="7">
        <f>HYPERLINK("http://www.lingerieopt.ru/item/155-bodi-lena/","155")</f>
      </c>
      <c r="B30" s="8" t="s">
        <v>27</v>
      </c>
      <c r="C30" s="9">
        <v>1369</v>
      </c>
      <c r="D30" s="0">
        <v>0</v>
      </c>
      <c r="E30" s="10">
        <f>HYPERLINK("http://www.lingerieopt.ru/images/original/41b4bb66-3364-450e-afad-050d57576e60.jpg","Фото")</f>
      </c>
    </row>
    <row r="31">
      <c r="A31" s="7">
        <f>HYPERLINK("http://www.lingerieopt.ru/item/155-bodi-lena/","155")</f>
      </c>
      <c r="B31" s="8" t="s">
        <v>28</v>
      </c>
      <c r="C31" s="9">
        <v>1369</v>
      </c>
      <c r="D31" s="0">
        <v>3</v>
      </c>
      <c r="E31" s="10">
        <f>HYPERLINK("http://www.lingerieopt.ru/images/original/41b4bb66-3364-450e-afad-050d57576e60.jpg","Фото")</f>
      </c>
    </row>
    <row r="32">
      <c r="A32" s="7">
        <f>HYPERLINK("http://www.lingerieopt.ru/item/351-kruzhevnoe-bodi-s-chulkoderzhatelyami-i-perchatki/","351")</f>
      </c>
      <c r="B32" s="8" t="s">
        <v>29</v>
      </c>
      <c r="C32" s="9">
        <v>2390</v>
      </c>
      <c r="D32" s="0">
        <v>9</v>
      </c>
      <c r="E32" s="10">
        <f>HYPERLINK("http://www.lingerieopt.ru/images/original/c1b60ddb-fbc7-420e-9ade-ce21ea009a6b.jpg","Фото")</f>
      </c>
    </row>
    <row r="33">
      <c r="A33" s="7">
        <f>HYPERLINK("http://www.lingerieopt.ru/item/351-kruzhevnoe-bodi-s-chulkoderzhatelyami-i-perchatki/","351")</f>
      </c>
      <c r="B33" s="8" t="s">
        <v>30</v>
      </c>
      <c r="C33" s="9">
        <v>2390</v>
      </c>
      <c r="D33" s="0">
        <v>0</v>
      </c>
      <c r="E33" s="10">
        <f>HYPERLINK("http://www.lingerieopt.ru/images/original/c1b60ddb-fbc7-420e-9ade-ce21ea009a6b.jpg","Фото")</f>
      </c>
    </row>
    <row r="34">
      <c r="A34" s="7">
        <f>HYPERLINK("http://www.lingerieopt.ru/item/351-kruzhevnoe-bodi-s-chulkoderzhatelyami-i-perchatki/","351")</f>
      </c>
      <c r="B34" s="8" t="s">
        <v>31</v>
      </c>
      <c r="C34" s="9">
        <v>2390</v>
      </c>
      <c r="D34" s="0">
        <v>0</v>
      </c>
      <c r="E34" s="10">
        <f>HYPERLINK("http://www.lingerieopt.ru/images/original/c1b60ddb-fbc7-420e-9ade-ce21ea009a6b.jpg","Фото")</f>
      </c>
    </row>
    <row r="35">
      <c r="A35" s="7">
        <f>HYPERLINK("http://www.lingerieopt.ru/item/351-kruzhevnoe-bodi-s-chulkoderzhatelyami-i-perchatki/","351")</f>
      </c>
      <c r="B35" s="8" t="s">
        <v>32</v>
      </c>
      <c r="C35" s="9">
        <v>2390</v>
      </c>
      <c r="D35" s="0">
        <v>0</v>
      </c>
      <c r="E35" s="10">
        <f>HYPERLINK("http://www.lingerieopt.ru/images/original/c1b60ddb-fbc7-420e-9ade-ce21ea009a6b.jpg","Фото")</f>
      </c>
    </row>
    <row r="36">
      <c r="A36" s="7">
        <f>HYPERLINK("http://www.lingerieopt.ru/item/366-kruzhevnoe-bodi-kelly-s-razrezami-na-grudi-i-trusikah/","366")</f>
      </c>
      <c r="B36" s="8" t="s">
        <v>33</v>
      </c>
      <c r="C36" s="9">
        <v>1475</v>
      </c>
      <c r="D36" s="0">
        <v>0</v>
      </c>
      <c r="E36" s="10">
        <f>HYPERLINK("http://www.lingerieopt.ru/images/original/7fafeb46-0260-46e9-a253-c249913968a3.jpg","Фото")</f>
      </c>
    </row>
    <row r="37">
      <c r="A37" s="7">
        <f>HYPERLINK("http://www.lingerieopt.ru/item/366-kruzhevnoe-bodi-kelly-s-razrezami-na-grudi-i-trusikah/","366")</f>
      </c>
      <c r="B37" s="8" t="s">
        <v>34</v>
      </c>
      <c r="C37" s="9">
        <v>1475</v>
      </c>
      <c r="D37" s="0">
        <v>3</v>
      </c>
      <c r="E37" s="10">
        <f>HYPERLINK("http://www.lingerieopt.ru/images/original/7fafeb46-0260-46e9-a253-c249913968a3.jpg","Фото")</f>
      </c>
    </row>
    <row r="38">
      <c r="A38" s="7">
        <f>HYPERLINK("http://www.lingerieopt.ru/item/366-kruzhevnoe-bodi-kelly-s-razrezami-na-grudi-i-trusikah/","366")</f>
      </c>
      <c r="B38" s="8" t="s">
        <v>35</v>
      </c>
      <c r="C38" s="9">
        <v>1475</v>
      </c>
      <c r="D38" s="0">
        <v>4</v>
      </c>
      <c r="E38" s="10">
        <f>HYPERLINK("http://www.lingerieopt.ru/images/original/7fafeb46-0260-46e9-a253-c249913968a3.jpg","Фото")</f>
      </c>
    </row>
    <row r="39">
      <c r="A39" s="7">
        <f>HYPERLINK("http://www.lingerieopt.ru/item/366-kruzhevnoe-bodi-kelly-s-razrezami-na-grudi-i-trusikah/","366")</f>
      </c>
      <c r="B39" s="8" t="s">
        <v>36</v>
      </c>
      <c r="C39" s="9">
        <v>1475</v>
      </c>
      <c r="D39" s="0">
        <v>3</v>
      </c>
      <c r="E39" s="10">
        <f>HYPERLINK("http://www.lingerieopt.ru/images/original/7fafeb46-0260-46e9-a253-c249913968a3.jpg","Фото")</f>
      </c>
    </row>
    <row r="40">
      <c r="A40" s="7">
        <f>HYPERLINK("http://www.lingerieopt.ru/item/438-kruzhevnoe-bodi-beth-s-bantikom-szadi/","438")</f>
      </c>
      <c r="B40" s="8" t="s">
        <v>37</v>
      </c>
      <c r="C40" s="9">
        <v>1801</v>
      </c>
      <c r="D40" s="0">
        <v>5</v>
      </c>
      <c r="E40" s="10">
        <f>HYPERLINK("http://www.lingerieopt.ru/images/original/3fe057af-7329-4187-bde4-46b9d6583c30.jpg","Фото")</f>
      </c>
    </row>
    <row r="41">
      <c r="A41" s="7">
        <f>HYPERLINK("http://www.lingerieopt.ru/item/438-kruzhevnoe-bodi-beth-s-bantikom-szadi/","438")</f>
      </c>
      <c r="B41" s="8" t="s">
        <v>38</v>
      </c>
      <c r="C41" s="9">
        <v>1801</v>
      </c>
      <c r="D41" s="0">
        <v>8</v>
      </c>
      <c r="E41" s="10">
        <f>HYPERLINK("http://www.lingerieopt.ru/images/original/3fe057af-7329-4187-bde4-46b9d6583c30.jpg","Фото")</f>
      </c>
    </row>
    <row r="42">
      <c r="A42" s="7">
        <f>HYPERLINK("http://www.lingerieopt.ru/item/438-kruzhevnoe-bodi-beth-s-bantikom-szadi/","438")</f>
      </c>
      <c r="B42" s="8" t="s">
        <v>39</v>
      </c>
      <c r="C42" s="9">
        <v>1801</v>
      </c>
      <c r="D42" s="0">
        <v>3</v>
      </c>
      <c r="E42" s="10">
        <f>HYPERLINK("http://www.lingerieopt.ru/images/original/3fe057af-7329-4187-bde4-46b9d6583c30.jpg","Фото")</f>
      </c>
    </row>
    <row r="43">
      <c r="A43" s="7">
        <f>HYPERLINK("http://www.lingerieopt.ru/item/438-kruzhevnoe-bodi-beth-s-bantikom-szadi/","438")</f>
      </c>
      <c r="B43" s="8" t="s">
        <v>40</v>
      </c>
      <c r="C43" s="9">
        <v>1801</v>
      </c>
      <c r="D43" s="0">
        <v>10</v>
      </c>
      <c r="E43" s="10">
        <f>HYPERLINK("http://www.lingerieopt.ru/images/original/3fe057af-7329-4187-bde4-46b9d6583c30.jpg","Фото")</f>
      </c>
    </row>
    <row r="44">
      <c r="A44" s="7">
        <f>HYPERLINK("http://www.lingerieopt.ru/item/438-kruzhevnoe-bodi-beth-s-bantikom-szadi/","438")</f>
      </c>
      <c r="B44" s="8" t="s">
        <v>41</v>
      </c>
      <c r="C44" s="9">
        <v>1801</v>
      </c>
      <c r="D44" s="0">
        <v>0</v>
      </c>
      <c r="E44" s="10">
        <f>HYPERLINK("http://www.lingerieopt.ru/images/original/3fe057af-7329-4187-bde4-46b9d6583c30.jpg","Фото")</f>
      </c>
    </row>
    <row r="45">
      <c r="A45" s="7">
        <f>HYPERLINK("http://www.lingerieopt.ru/item/438-kruzhevnoe-bodi-beth-s-bantikom-szadi/","438")</f>
      </c>
      <c r="B45" s="8" t="s">
        <v>42</v>
      </c>
      <c r="C45" s="9">
        <v>1801</v>
      </c>
      <c r="D45" s="0">
        <v>2</v>
      </c>
      <c r="E45" s="10">
        <f>HYPERLINK("http://www.lingerieopt.ru/images/original/3fe057af-7329-4187-bde4-46b9d6583c30.jpg","Фото")</f>
      </c>
    </row>
    <row r="46">
      <c r="A46" s="7">
        <f>HYPERLINK("http://www.lingerieopt.ru/item/1065-kruzhevnoe-bodi-s-bantom-na-pope/","1065")</f>
      </c>
      <c r="B46" s="8" t="s">
        <v>43</v>
      </c>
      <c r="C46" s="9">
        <v>1254</v>
      </c>
      <c r="D46" s="0">
        <v>6</v>
      </c>
      <c r="E46" s="10">
        <f>HYPERLINK("http://www.lingerieopt.ru/images/original/3785e94c-3c06-4b35-804a-ba90ccbd63d5.jpg","Фото")</f>
      </c>
    </row>
    <row r="47">
      <c r="A47" s="7">
        <f>HYPERLINK("http://www.lingerieopt.ru/item/1065-kruzhevnoe-bodi-s-bantom-na-pope/","1065")</f>
      </c>
      <c r="B47" s="8" t="s">
        <v>44</v>
      </c>
      <c r="C47" s="9">
        <v>1254</v>
      </c>
      <c r="D47" s="0">
        <v>8</v>
      </c>
      <c r="E47" s="10">
        <f>HYPERLINK("http://www.lingerieopt.ru/images/original/3785e94c-3c06-4b35-804a-ba90ccbd63d5.jpg","Фото")</f>
      </c>
    </row>
    <row r="48">
      <c r="A48" s="7">
        <f>HYPERLINK("http://www.lingerieopt.ru/item/1070-bodi-s-bantikami-po-vsei-dline-alessia/","1070")</f>
      </c>
      <c r="B48" s="8" t="s">
        <v>45</v>
      </c>
      <c r="C48" s="9">
        <v>1861</v>
      </c>
      <c r="D48" s="0">
        <v>18</v>
      </c>
      <c r="E48" s="10">
        <f>HYPERLINK("http://www.lingerieopt.ru/images/original/6e315746-e489-43d5-9a23-b6690e041655.jpg","Фото")</f>
      </c>
    </row>
    <row r="49">
      <c r="A49" s="7">
        <f>HYPERLINK("http://www.lingerieopt.ru/item/1070-bodi-s-bantikami-po-vsei-dline-alessia/","1070")</f>
      </c>
      <c r="B49" s="8" t="s">
        <v>46</v>
      </c>
      <c r="C49" s="9">
        <v>1861</v>
      </c>
      <c r="D49" s="0">
        <v>10</v>
      </c>
      <c r="E49" s="10">
        <f>HYPERLINK("http://www.lingerieopt.ru/images/original/6e315746-e489-43d5-9a23-b6690e041655.jpg","Фото")</f>
      </c>
    </row>
    <row r="50">
      <c r="A50" s="7">
        <f>HYPERLINK("http://www.lingerieopt.ru/item/1070-bodi-s-bantikami-po-vsei-dline-alessia/","1070")</f>
      </c>
      <c r="B50" s="8" t="s">
        <v>47</v>
      </c>
      <c r="C50" s="9">
        <v>1861</v>
      </c>
      <c r="D50" s="0">
        <v>9</v>
      </c>
      <c r="E50" s="10">
        <f>HYPERLINK("http://www.lingerieopt.ru/images/original/6e315746-e489-43d5-9a23-b6690e041655.jpg","Фото")</f>
      </c>
    </row>
    <row r="51">
      <c r="A51" s="7">
        <f>HYPERLINK("http://www.lingerieopt.ru/item/1070-bodi-s-bantikami-po-vsei-dline-alessia/","1070")</f>
      </c>
      <c r="B51" s="8" t="s">
        <v>48</v>
      </c>
      <c r="C51" s="9">
        <v>1861</v>
      </c>
      <c r="D51" s="0">
        <v>10</v>
      </c>
      <c r="E51" s="10">
        <f>HYPERLINK("http://www.lingerieopt.ru/images/original/6e315746-e489-43d5-9a23-b6690e041655.jpg","Фото")</f>
      </c>
    </row>
    <row r="52">
      <c r="A52" s="7">
        <f>HYPERLINK("http://www.lingerieopt.ru/item/1071-bodi-s-dlinnjmi-rukavami-i-otkrjtoi-spinoi/","1071")</f>
      </c>
      <c r="B52" s="8" t="s">
        <v>49</v>
      </c>
      <c r="C52" s="9">
        <v>1734</v>
      </c>
      <c r="D52" s="0">
        <v>4</v>
      </c>
      <c r="E52" s="10">
        <f>HYPERLINK("http://www.lingerieopt.ru/images/original/0af768c7-caef-44e5-ae83-c505499f12e3.jpg","Фото")</f>
      </c>
    </row>
    <row r="53">
      <c r="A53" s="7">
        <f>HYPERLINK("http://www.lingerieopt.ru/item/1071-bodi-s-dlinnjmi-rukavami-i-otkrjtoi-spinoi/","1071")</f>
      </c>
      <c r="B53" s="8" t="s">
        <v>50</v>
      </c>
      <c r="C53" s="9">
        <v>1734</v>
      </c>
      <c r="D53" s="0">
        <v>5</v>
      </c>
      <c r="E53" s="10">
        <f>HYPERLINK("http://www.lingerieopt.ru/images/original/0af768c7-caef-44e5-ae83-c505499f12e3.jpg","Фото")</f>
      </c>
    </row>
    <row r="54">
      <c r="A54" s="7">
        <f>HYPERLINK("http://www.lingerieopt.ru/item/1071-bodi-s-dlinnjmi-rukavami-i-otkrjtoi-spinoi/","1071")</f>
      </c>
      <c r="B54" s="8" t="s">
        <v>51</v>
      </c>
      <c r="C54" s="9">
        <v>1734</v>
      </c>
      <c r="D54" s="0">
        <v>4</v>
      </c>
      <c r="E54" s="10">
        <f>HYPERLINK("http://www.lingerieopt.ru/images/original/0af768c7-caef-44e5-ae83-c505499f12e3.jpg","Фото")</f>
      </c>
    </row>
    <row r="55">
      <c r="A55" s="7">
        <f>HYPERLINK("http://www.lingerieopt.ru/item/1071-bodi-s-dlinnjmi-rukavami-i-otkrjtoi-spinoi/","1071")</f>
      </c>
      <c r="B55" s="8" t="s">
        <v>52</v>
      </c>
      <c r="C55" s="9">
        <v>1734</v>
      </c>
      <c r="D55" s="0">
        <v>4</v>
      </c>
      <c r="E55" s="10">
        <f>HYPERLINK("http://www.lingerieopt.ru/images/original/0af768c7-caef-44e5-ae83-c505499f12e3.jpg","Фото")</f>
      </c>
    </row>
    <row r="56">
      <c r="A56" s="7">
        <f>HYPERLINK("http://www.lingerieopt.ru/item/1073-bodi-orsola-s-poluotkrjtoi-grudyu-i-prorezyu-na-trusikah/","1073")</f>
      </c>
      <c r="B56" s="8" t="s">
        <v>53</v>
      </c>
      <c r="C56" s="9">
        <v>1558</v>
      </c>
      <c r="D56" s="0">
        <v>8</v>
      </c>
      <c r="E56" s="10">
        <f>HYPERLINK("http://www.lingerieopt.ru/images/original/f87e324a-b481-4fce-aa95-012b72b906fc.jpg","Фото")</f>
      </c>
    </row>
    <row r="57">
      <c r="A57" s="7">
        <f>HYPERLINK("http://www.lingerieopt.ru/item/1073-bodi-orsola-s-poluotkrjtoi-grudyu-i-prorezyu-na-trusikah/","1073")</f>
      </c>
      <c r="B57" s="8" t="s">
        <v>54</v>
      </c>
      <c r="C57" s="9">
        <v>1558</v>
      </c>
      <c r="D57" s="0">
        <v>3</v>
      </c>
      <c r="E57" s="10">
        <f>HYPERLINK("http://www.lingerieopt.ru/images/original/f87e324a-b481-4fce-aa95-012b72b906fc.jpg","Фото")</f>
      </c>
    </row>
    <row r="58">
      <c r="A58" s="7">
        <f>HYPERLINK("http://www.lingerieopt.ru/item/1073-bodi-orsola-s-poluotkrjtoi-grudyu-i-prorezyu-na-trusikah/","1073")</f>
      </c>
      <c r="B58" s="8" t="s">
        <v>55</v>
      </c>
      <c r="C58" s="9">
        <v>1558</v>
      </c>
      <c r="D58" s="0">
        <v>0</v>
      </c>
      <c r="E58" s="10">
        <f>HYPERLINK("http://www.lingerieopt.ru/images/original/f87e324a-b481-4fce-aa95-012b72b906fc.jpg","Фото")</f>
      </c>
    </row>
    <row r="59">
      <c r="A59" s="7">
        <f>HYPERLINK("http://www.lingerieopt.ru/item/1073-bodi-orsola-s-poluotkrjtoi-grudyu-i-prorezyu-na-trusikah/","1073")</f>
      </c>
      <c r="B59" s="8" t="s">
        <v>56</v>
      </c>
      <c r="C59" s="9">
        <v>1558</v>
      </c>
      <c r="D59" s="0">
        <v>4</v>
      </c>
      <c r="E59" s="10">
        <f>HYPERLINK("http://www.lingerieopt.ru/images/original/f87e324a-b481-4fce-aa95-012b72b906fc.jpg","Фото")</f>
      </c>
    </row>
    <row r="60">
      <c r="A60" s="7">
        <f>HYPERLINK("http://www.lingerieopt.ru/item/1073-bodi-orsola-s-poluotkrjtoi-grudyu-i-prorezyu-na-trusikah/","1073")</f>
      </c>
      <c r="B60" s="8" t="s">
        <v>57</v>
      </c>
      <c r="C60" s="9">
        <v>1558</v>
      </c>
      <c r="D60" s="0">
        <v>8</v>
      </c>
      <c r="E60" s="10">
        <f>HYPERLINK("http://www.lingerieopt.ru/images/original/f87e324a-b481-4fce-aa95-012b72b906fc.jpg","Фото")</f>
      </c>
    </row>
    <row r="61">
      <c r="A61" s="7">
        <f>HYPERLINK("http://www.lingerieopt.ru/item/1073-bodi-orsola-s-poluotkrjtoi-grudyu-i-prorezyu-na-trusikah/","1073")</f>
      </c>
      <c r="B61" s="8" t="s">
        <v>58</v>
      </c>
      <c r="C61" s="9">
        <v>1558</v>
      </c>
      <c r="D61" s="0">
        <v>6</v>
      </c>
      <c r="E61" s="10">
        <f>HYPERLINK("http://www.lingerieopt.ru/images/original/f87e324a-b481-4fce-aa95-012b72b906fc.jpg","Фото")</f>
      </c>
    </row>
    <row r="62">
      <c r="A62" s="7">
        <f>HYPERLINK("http://www.lingerieopt.ru/item/1201-kruzhevnoe-bodi-nell-s-zolotistoi-shnurovkoi/","1201")</f>
      </c>
      <c r="B62" s="8" t="s">
        <v>59</v>
      </c>
      <c r="C62" s="9">
        <v>1778</v>
      </c>
      <c r="D62" s="0">
        <v>0</v>
      </c>
      <c r="E62" s="10">
        <f>HYPERLINK("http://www.lingerieopt.ru/images/original/cc6f4693-24cb-43db-926a-5f7b0fb81eea.jpg","Фото")</f>
      </c>
    </row>
    <row r="63">
      <c r="A63" s="7">
        <f>HYPERLINK("http://www.lingerieopt.ru/item/1201-kruzhevnoe-bodi-nell-s-zolotistoi-shnurovkoi/","1201")</f>
      </c>
      <c r="B63" s="8" t="s">
        <v>60</v>
      </c>
      <c r="C63" s="9">
        <v>1778</v>
      </c>
      <c r="D63" s="0">
        <v>10</v>
      </c>
      <c r="E63" s="10">
        <f>HYPERLINK("http://www.lingerieopt.ru/images/original/cc6f4693-24cb-43db-926a-5f7b0fb81eea.jpg","Фото")</f>
      </c>
    </row>
    <row r="64">
      <c r="A64" s="7">
        <f>HYPERLINK("http://www.lingerieopt.ru/item/1207-bodi-julia-s-broshyu-i-tonenkimi-bretelyami/","1207")</f>
      </c>
      <c r="B64" s="8" t="s">
        <v>61</v>
      </c>
      <c r="C64" s="9">
        <v>1193</v>
      </c>
      <c r="D64" s="0">
        <v>20</v>
      </c>
      <c r="E64" s="10">
        <f>HYPERLINK("http://www.lingerieopt.ru/images/original/25721eb6-dd5a-4143-aa71-729ed1c9c4a3.jpg","Фото")</f>
      </c>
    </row>
    <row r="65">
      <c r="A65" s="7">
        <f>HYPERLINK("http://www.lingerieopt.ru/item/1207-bodi-julia-s-broshyu-i-tonenkimi-bretelyami/","1207")</f>
      </c>
      <c r="B65" s="8" t="s">
        <v>62</v>
      </c>
      <c r="C65" s="9">
        <v>1193</v>
      </c>
      <c r="D65" s="0">
        <v>20</v>
      </c>
      <c r="E65" s="10">
        <f>HYPERLINK("http://www.lingerieopt.ru/images/original/25721eb6-dd5a-4143-aa71-729ed1c9c4a3.jpg","Фото")</f>
      </c>
    </row>
    <row r="66">
      <c r="A66" s="7">
        <f>HYPERLINK("http://www.lingerieopt.ru/item/1207-bodi-julia-s-broshyu-i-tonenkimi-bretelyami/","1207")</f>
      </c>
      <c r="B66" s="8" t="s">
        <v>63</v>
      </c>
      <c r="C66" s="9">
        <v>1193</v>
      </c>
      <c r="D66" s="0">
        <v>0</v>
      </c>
      <c r="E66" s="10">
        <f>HYPERLINK("http://www.lingerieopt.ru/images/original/25721eb6-dd5a-4143-aa71-729ed1c9c4a3.jpg","Фото")</f>
      </c>
    </row>
    <row r="67">
      <c r="A67" s="7">
        <f>HYPERLINK("http://www.lingerieopt.ru/item/2079-kruzhevnoe-bodi-anna/","2079")</f>
      </c>
      <c r="B67" s="8" t="s">
        <v>64</v>
      </c>
      <c r="C67" s="9">
        <v>1935</v>
      </c>
      <c r="D67" s="0">
        <v>3</v>
      </c>
      <c r="E67" s="10">
        <f>HYPERLINK("http://www.lingerieopt.ru/images/original/2c482937-18e6-467d-a608-585696787223.jpg","Фото")</f>
      </c>
    </row>
    <row r="68">
      <c r="A68" s="7">
        <f>HYPERLINK("http://www.lingerieopt.ru/item/2079-kruzhevnoe-bodi-anna/","2079")</f>
      </c>
      <c r="B68" s="8" t="s">
        <v>65</v>
      </c>
      <c r="C68" s="9">
        <v>1935</v>
      </c>
      <c r="D68" s="0">
        <v>0</v>
      </c>
      <c r="E68" s="10">
        <f>HYPERLINK("http://www.lingerieopt.ru/images/original/2c482937-18e6-467d-a608-585696787223.jpg","Фото")</f>
      </c>
    </row>
    <row r="69">
      <c r="A69" s="7">
        <f>HYPERLINK("http://www.lingerieopt.ru/item/2079-kruzhevnoe-bodi-anna/","2079")</f>
      </c>
      <c r="B69" s="8" t="s">
        <v>66</v>
      </c>
      <c r="C69" s="9">
        <v>1935</v>
      </c>
      <c r="D69" s="0">
        <v>0</v>
      </c>
      <c r="E69" s="10">
        <f>HYPERLINK("http://www.lingerieopt.ru/images/original/2c482937-18e6-467d-a608-585696787223.jpg","Фото")</f>
      </c>
    </row>
    <row r="70">
      <c r="A70" s="7">
        <f>HYPERLINK("http://www.lingerieopt.ru/item/2079-kruzhevnoe-bodi-anna/","2079")</f>
      </c>
      <c r="B70" s="8" t="s">
        <v>67</v>
      </c>
      <c r="C70" s="9">
        <v>1935</v>
      </c>
      <c r="D70" s="0">
        <v>0</v>
      </c>
      <c r="E70" s="10">
        <f>HYPERLINK("http://www.lingerieopt.ru/images/original/2c482937-18e6-467d-a608-585696787223.jpg","Фото")</f>
      </c>
    </row>
    <row r="71">
      <c r="A71" s="7">
        <f>HYPERLINK("http://www.lingerieopt.ru/item/2079-kruzhevnoe-bodi-anna/","2079")</f>
      </c>
      <c r="B71" s="8" t="s">
        <v>68</v>
      </c>
      <c r="C71" s="9">
        <v>1935</v>
      </c>
      <c r="D71" s="0">
        <v>0</v>
      </c>
      <c r="E71" s="10">
        <f>HYPERLINK("http://www.lingerieopt.ru/images/original/2c482937-18e6-467d-a608-585696787223.jpg","Фото")</f>
      </c>
    </row>
    <row r="72">
      <c r="A72" s="7">
        <f>HYPERLINK("http://www.lingerieopt.ru/item/2079-kruzhevnoe-bodi-anna/","2079")</f>
      </c>
      <c r="B72" s="8" t="s">
        <v>69</v>
      </c>
      <c r="C72" s="9">
        <v>1935</v>
      </c>
      <c r="D72" s="0">
        <v>0</v>
      </c>
      <c r="E72" s="10">
        <f>HYPERLINK("http://www.lingerieopt.ru/images/original/2c482937-18e6-467d-a608-585696787223.jpg","Фото")</f>
      </c>
    </row>
    <row r="73">
      <c r="A73" s="7">
        <f>HYPERLINK("http://www.lingerieopt.ru/item/2348-bodi-s-ispanskim-kruzhevom-mayah/","2348")</f>
      </c>
      <c r="B73" s="8" t="s">
        <v>70</v>
      </c>
      <c r="C73" s="9">
        <v>1980</v>
      </c>
      <c r="D73" s="0">
        <v>2</v>
      </c>
      <c r="E73" s="10">
        <f>HYPERLINK("http://www.lingerieopt.ru/images/original/90caebde-2d8d-47ca-a7f1-6b8213bcb80c.jpg","Фото")</f>
      </c>
    </row>
    <row r="74">
      <c r="A74" s="7">
        <f>HYPERLINK("http://www.lingerieopt.ru/item/2348-bodi-s-ispanskim-kruzhevom-mayah/","2348")</f>
      </c>
      <c r="B74" s="8" t="s">
        <v>71</v>
      </c>
      <c r="C74" s="9">
        <v>1980</v>
      </c>
      <c r="D74" s="0">
        <v>8</v>
      </c>
      <c r="E74" s="10">
        <f>HYPERLINK("http://www.lingerieopt.ru/images/original/90caebde-2d8d-47ca-a7f1-6b8213bcb80c.jpg","Фото")</f>
      </c>
    </row>
    <row r="75">
      <c r="A75" s="7">
        <f>HYPERLINK("http://www.lingerieopt.ru/item/2495-poluprozrachnoe-bodi-devi/","2495")</f>
      </c>
      <c r="B75" s="8" t="s">
        <v>72</v>
      </c>
      <c r="C75" s="9">
        <v>905</v>
      </c>
      <c r="D75" s="0">
        <v>0</v>
      </c>
      <c r="E75" s="10">
        <f>HYPERLINK("http://www.lingerieopt.ru/images/original/fa670f09-e55a-4aaa-900a-79af5520b889.jpg","Фото")</f>
      </c>
    </row>
    <row r="76">
      <c r="A76" s="7">
        <f>HYPERLINK("http://www.lingerieopt.ru/item/2495-poluprozrachnoe-bodi-devi/","2495")</f>
      </c>
      <c r="B76" s="8" t="s">
        <v>73</v>
      </c>
      <c r="C76" s="9">
        <v>905</v>
      </c>
      <c r="D76" s="0">
        <v>0</v>
      </c>
      <c r="E76" s="10">
        <f>HYPERLINK("http://www.lingerieopt.ru/images/original/fa670f09-e55a-4aaa-900a-79af5520b889.jpg","Фото")</f>
      </c>
    </row>
    <row r="77">
      <c r="A77" s="7">
        <f>HYPERLINK("http://www.lingerieopt.ru/item/2495-poluprozrachnoe-bodi-devi/","2495")</f>
      </c>
      <c r="B77" s="8" t="s">
        <v>74</v>
      </c>
      <c r="C77" s="9">
        <v>905</v>
      </c>
      <c r="D77" s="0">
        <v>0</v>
      </c>
      <c r="E77" s="10">
        <f>HYPERLINK("http://www.lingerieopt.ru/images/original/fa670f09-e55a-4aaa-900a-79af5520b889.jpg","Фото")</f>
      </c>
    </row>
    <row r="78">
      <c r="A78" s="7">
        <f>HYPERLINK("http://www.lingerieopt.ru/item/2495-poluprozrachnoe-bodi-devi/","2495")</f>
      </c>
      <c r="B78" s="8" t="s">
        <v>75</v>
      </c>
      <c r="C78" s="9">
        <v>905</v>
      </c>
      <c r="D78" s="0">
        <v>9</v>
      </c>
      <c r="E78" s="10">
        <f>HYPERLINK("http://www.lingerieopt.ru/images/original/fa670f09-e55a-4aaa-900a-79af5520b889.jpg","Фото")</f>
      </c>
    </row>
    <row r="79">
      <c r="A79" s="7">
        <f>HYPERLINK("http://www.lingerieopt.ru/item/2564-kruzhevnoe-bodi-so-strazami-i-pazhami-dlya-chulok/","2564")</f>
      </c>
      <c r="B79" s="8" t="s">
        <v>76</v>
      </c>
      <c r="C79" s="9">
        <v>1774</v>
      </c>
      <c r="D79" s="0">
        <v>1</v>
      </c>
      <c r="E79" s="10">
        <f>HYPERLINK("http://www.lingerieopt.ru/images/original/dd817802-4b9c-457f-9b45-47bb71c4016f.jpg","Фото")</f>
      </c>
    </row>
    <row r="80">
      <c r="A80" s="7">
        <f>HYPERLINK("http://www.lingerieopt.ru/item/2564-kruzhevnoe-bodi-so-strazami-i-pazhami-dlya-chulok/","2564")</f>
      </c>
      <c r="B80" s="8" t="s">
        <v>77</v>
      </c>
      <c r="C80" s="9">
        <v>1774</v>
      </c>
      <c r="D80" s="0">
        <v>0</v>
      </c>
      <c r="E80" s="10">
        <f>HYPERLINK("http://www.lingerieopt.ru/images/original/dd817802-4b9c-457f-9b45-47bb71c4016f.jpg","Фото")</f>
      </c>
    </row>
    <row r="81">
      <c r="A81" s="7">
        <f>HYPERLINK("http://www.lingerieopt.ru/item/2737-bodi-s-neprozrachnjm-lifom/","2737")</f>
      </c>
      <c r="B81" s="8" t="s">
        <v>78</v>
      </c>
      <c r="C81" s="9">
        <v>666</v>
      </c>
      <c r="D81" s="0">
        <v>1</v>
      </c>
      <c r="E81" s="10">
        <f>HYPERLINK("http://www.lingerieopt.ru/images/original/26c11a45-601c-4f92-aaba-f4c24046646f.jpg","Фото")</f>
      </c>
    </row>
    <row r="82">
      <c r="A82" s="7">
        <f>HYPERLINK("http://www.lingerieopt.ru/item/2780-azhurnoe-bodi-s-cvetochnjm-uzorom-i-vjrezom-serdechkom-na-pope/","2780")</f>
      </c>
      <c r="B82" s="8" t="s">
        <v>79</v>
      </c>
      <c r="C82" s="9">
        <v>1498</v>
      </c>
      <c r="D82" s="0">
        <v>6</v>
      </c>
      <c r="E82" s="10">
        <f>HYPERLINK("http://www.lingerieopt.ru/images/original/407052eb-df56-41f1-8b63-e8823dbecbe9.jpg","Фото")</f>
      </c>
    </row>
    <row r="83">
      <c r="A83" s="7">
        <f>HYPERLINK("http://www.lingerieopt.ru/item/2780-azhurnoe-bodi-s-cvetochnjm-uzorom-i-vjrezom-serdechkom-na-pope/","2780")</f>
      </c>
      <c r="B83" s="8" t="s">
        <v>80</v>
      </c>
      <c r="C83" s="9">
        <v>1498</v>
      </c>
      <c r="D83" s="0">
        <v>3</v>
      </c>
      <c r="E83" s="10">
        <f>HYPERLINK("http://www.lingerieopt.ru/images/original/407052eb-df56-41f1-8b63-e8823dbecbe9.jpg","Фото")</f>
      </c>
    </row>
    <row r="84">
      <c r="A84" s="7">
        <f>HYPERLINK("http://www.lingerieopt.ru/item/3422-bodi-setka-s-glubokim-dekolte/","3422")</f>
      </c>
      <c r="B84" s="8" t="s">
        <v>81</v>
      </c>
      <c r="C84" s="9">
        <v>476</v>
      </c>
      <c r="D84" s="0">
        <v>12</v>
      </c>
      <c r="E84" s="10">
        <f>HYPERLINK("http://www.lingerieopt.ru/images/original/403b6d80-55e9-4b5c-87e0-c4985d413f3f.jpg","Фото")</f>
      </c>
    </row>
    <row r="85">
      <c r="A85" s="7">
        <f>HYPERLINK("http://www.lingerieopt.ru/item/3441-kruzhevnoe-bodi-s-otkrjtoi-spinoi/","3441")</f>
      </c>
      <c r="B85" s="8" t="s">
        <v>82</v>
      </c>
      <c r="C85" s="9">
        <v>710</v>
      </c>
      <c r="D85" s="0">
        <v>30</v>
      </c>
      <c r="E85" s="10">
        <f>HYPERLINK("http://www.lingerieopt.ru/images/original/25f12f21-bbc1-4f74-97a9-6ae1216e3e8f.jpg","Фото")</f>
      </c>
    </row>
    <row r="86">
      <c r="A86" s="7">
        <f>HYPERLINK("http://www.lingerieopt.ru/item/3570-otkrovennoe-bodi-s-kontrastnjm-kruzhevom/","3570")</f>
      </c>
      <c r="B86" s="8" t="s">
        <v>83</v>
      </c>
      <c r="C86" s="9">
        <v>635</v>
      </c>
      <c r="D86" s="0">
        <v>6</v>
      </c>
      <c r="E86" s="10">
        <f>HYPERLINK("http://www.lingerieopt.ru/images/original/35cf1906-8899-4c08-94fb-04e4413c0cf6.jpg","Фото")</f>
      </c>
    </row>
    <row r="87">
      <c r="A87" s="7">
        <f>HYPERLINK("http://www.lingerieopt.ru/item/3577-teddi-so-zverinjm-printom-wild-passion/","3577")</f>
      </c>
      <c r="B87" s="8" t="s">
        <v>84</v>
      </c>
      <c r="C87" s="9">
        <v>906</v>
      </c>
      <c r="D87" s="0">
        <v>30</v>
      </c>
      <c r="E87" s="10">
        <f>HYPERLINK("http://www.lingerieopt.ru/images/original/e595cccf-7634-4058-8fcb-fc42370ac26a.jpg","Фото")</f>
      </c>
    </row>
    <row r="88">
      <c r="A88" s="7">
        <f>HYPERLINK("http://www.lingerieopt.ru/item/4020-bodi-s-printom-pod-zebru-s-otkrjtoi-spinoi/","4020")</f>
      </c>
      <c r="B88" s="8" t="s">
        <v>85</v>
      </c>
      <c r="C88" s="9">
        <v>1787</v>
      </c>
      <c r="D88" s="0">
        <v>1</v>
      </c>
      <c r="E88" s="10">
        <f>HYPERLINK("http://www.lingerieopt.ru/images/original/825f2989-c3f0-4973-9a46-50fd53d00002.jpg","Фото")</f>
      </c>
    </row>
    <row r="89">
      <c r="A89" s="7">
        <f>HYPERLINK("http://www.lingerieopt.ru/item/4061-teddi-v-poluprozrachnuyu-polosku/","4061")</f>
      </c>
      <c r="B89" s="8" t="s">
        <v>86</v>
      </c>
      <c r="C89" s="9">
        <v>1787</v>
      </c>
      <c r="D89" s="0">
        <v>30</v>
      </c>
      <c r="E89" s="10">
        <f>HYPERLINK("http://www.lingerieopt.ru/images/original/02b6944c-3d79-4375-8303-c7d34897b133.jpg","Фото")</f>
      </c>
    </row>
    <row r="90">
      <c r="A90" s="7">
        <f>HYPERLINK("http://www.lingerieopt.ru/item/4069-bodi-iz-cvetochnogo-kruzheva/","4069")</f>
      </c>
      <c r="B90" s="8" t="s">
        <v>87</v>
      </c>
      <c r="C90" s="9">
        <v>1787</v>
      </c>
      <c r="D90" s="0">
        <v>3</v>
      </c>
      <c r="E90" s="10">
        <f>HYPERLINK("http://www.lingerieopt.ru/images/original/602ce69c-b843-4129-8c99-a5f09f131620.jpg","Фото")</f>
      </c>
    </row>
    <row r="91">
      <c r="A91" s="7">
        <f>HYPERLINK("http://www.lingerieopt.ru/item/4069-bodi-iz-cvetochnogo-kruzheva/","4069")</f>
      </c>
      <c r="B91" s="8" t="s">
        <v>88</v>
      </c>
      <c r="C91" s="9">
        <v>1787</v>
      </c>
      <c r="D91" s="0">
        <v>0</v>
      </c>
      <c r="E91" s="10">
        <f>HYPERLINK("http://www.lingerieopt.ru/images/original/602ce69c-b843-4129-8c99-a5f09f131620.jpg","Фото")</f>
      </c>
    </row>
    <row r="92">
      <c r="A92" s="7">
        <f>HYPERLINK("http://www.lingerieopt.ru/item/4069-bodi-iz-cvetochnogo-kruzheva/","4069")</f>
      </c>
      <c r="B92" s="8" t="s">
        <v>89</v>
      </c>
      <c r="C92" s="9">
        <v>1787</v>
      </c>
      <c r="D92" s="0">
        <v>0</v>
      </c>
      <c r="E92" s="10">
        <f>HYPERLINK("http://www.lingerieopt.ru/images/original/602ce69c-b843-4129-8c99-a5f09f131620.jpg","Фото")</f>
      </c>
    </row>
    <row r="93">
      <c r="A93" s="7">
        <f>HYPERLINK("http://www.lingerieopt.ru/item/4069-bodi-iz-cvetochnogo-kruzheva/","4069")</f>
      </c>
      <c r="B93" s="8" t="s">
        <v>90</v>
      </c>
      <c r="C93" s="9">
        <v>1787</v>
      </c>
      <c r="D93" s="0">
        <v>0</v>
      </c>
      <c r="E93" s="10">
        <f>HYPERLINK("http://www.lingerieopt.ru/images/original/602ce69c-b843-4129-8c99-a5f09f131620.jpg","Фото")</f>
      </c>
    </row>
    <row r="94">
      <c r="A94" s="7">
        <f>HYPERLINK("http://www.lingerieopt.ru/item/4084-leopardovoe-bodi-s-hvostikom-i-ushkami/","4084")</f>
      </c>
      <c r="B94" s="8" t="s">
        <v>91</v>
      </c>
      <c r="C94" s="9">
        <v>2437</v>
      </c>
      <c r="D94" s="0">
        <v>6</v>
      </c>
      <c r="E94" s="10">
        <f>HYPERLINK("http://www.lingerieopt.ru/images/original/94610489-ba09-42cf-8309-b0a420eb8d4d.jpg","Фото")</f>
      </c>
    </row>
    <row r="95">
      <c r="A95" s="7">
        <f>HYPERLINK("http://www.lingerieopt.ru/item/4348-komplekt-transformer-strap-me/","4348")</f>
      </c>
      <c r="B95" s="8" t="s">
        <v>92</v>
      </c>
      <c r="C95" s="9">
        <v>1949</v>
      </c>
      <c r="D95" s="0">
        <v>1</v>
      </c>
      <c r="E95" s="10">
        <f>HYPERLINK("http://www.lingerieopt.ru/images/original/0876fba7-27b9-4623-9e58-49e3031b9156.jpg","Фото")</f>
      </c>
    </row>
    <row r="96">
      <c r="A96" s="7">
        <f>HYPERLINK("http://www.lingerieopt.ru/item/4353-teddi-s-razrezom-v-oblasti-bikini/","4353")</f>
      </c>
      <c r="B96" s="8" t="s">
        <v>93</v>
      </c>
      <c r="C96" s="9">
        <v>1787</v>
      </c>
      <c r="D96" s="0">
        <v>1</v>
      </c>
      <c r="E96" s="10">
        <f>HYPERLINK("http://www.lingerieopt.ru/images/original/f6b173b4-acea-4796-8965-af0e57addaaf.jpg","Фото")</f>
      </c>
    </row>
    <row r="97">
      <c r="A97" s="7">
        <f>HYPERLINK("http://www.lingerieopt.ru/item/4383-nezhnoe-teddi-carmelove-s-dostupom/","4383")</f>
      </c>
      <c r="B97" s="8" t="s">
        <v>94</v>
      </c>
      <c r="C97" s="9">
        <v>1346</v>
      </c>
      <c r="D97" s="0">
        <v>8</v>
      </c>
      <c r="E97" s="10">
        <f>HYPERLINK("http://www.lingerieopt.ru/images/original/e5e23508-e100-4a72-9124-54e9c5710c11.jpg","Фото")</f>
      </c>
    </row>
    <row r="98">
      <c r="A98" s="7">
        <f>HYPERLINK("http://www.lingerieopt.ru/item/4383-nezhnoe-teddi-carmelove-s-dostupom/","4383")</f>
      </c>
      <c r="B98" s="8" t="s">
        <v>95</v>
      </c>
      <c r="C98" s="9">
        <v>1346</v>
      </c>
      <c r="D98" s="0">
        <v>0</v>
      </c>
      <c r="E98" s="10">
        <f>HYPERLINK("http://www.lingerieopt.ru/images/original/e5e23508-e100-4a72-9124-54e9c5710c11.jpg","Фото")</f>
      </c>
    </row>
    <row r="99">
      <c r="A99" s="7">
        <f>HYPERLINK("http://www.lingerieopt.ru/item/4630-vozdushnji-romper-kombinezon-iz-shifona/","4630")</f>
      </c>
      <c r="B99" s="8" t="s">
        <v>96</v>
      </c>
      <c r="C99" s="9">
        <v>2111</v>
      </c>
      <c r="D99" s="0">
        <v>30</v>
      </c>
      <c r="E99" s="10">
        <f>HYPERLINK("http://www.lingerieopt.ru/images/original/d2941235-a27d-4138-b6fe-a472a5acb328.jpg","Фото")</f>
      </c>
    </row>
    <row r="100">
      <c r="A100" s="7">
        <f>HYPERLINK("http://www.lingerieopt.ru/item/4630-vozdushnji-romper-kombinezon-iz-shifona/","4630")</f>
      </c>
      <c r="B100" s="8" t="s">
        <v>97</v>
      </c>
      <c r="C100" s="9">
        <v>2111</v>
      </c>
      <c r="D100" s="0">
        <v>30</v>
      </c>
      <c r="E100" s="10">
        <f>HYPERLINK("http://www.lingerieopt.ru/images/original/d2941235-a27d-4138-b6fe-a472a5acb328.jpg","Фото")</f>
      </c>
    </row>
    <row r="101">
      <c r="A101" s="7">
        <f>HYPERLINK("http://www.lingerieopt.ru/item/4630-vozdushnji-romper-kombinezon-iz-shifona/","4630")</f>
      </c>
      <c r="B101" s="8" t="s">
        <v>98</v>
      </c>
      <c r="C101" s="9">
        <v>2111</v>
      </c>
      <c r="D101" s="0">
        <v>30</v>
      </c>
      <c r="E101" s="10">
        <f>HYPERLINK("http://www.lingerieopt.ru/images/original/d2941235-a27d-4138-b6fe-a472a5acb328.jpg","Фото")</f>
      </c>
    </row>
    <row r="102">
      <c r="A102" s="7">
        <f>HYPERLINK("http://www.lingerieopt.ru/item/4630-vozdushnji-romper-kombinezon-iz-shifona/","4630")</f>
      </c>
      <c r="B102" s="8" t="s">
        <v>99</v>
      </c>
      <c r="C102" s="9">
        <v>2111</v>
      </c>
      <c r="D102" s="0">
        <v>6</v>
      </c>
      <c r="E102" s="10">
        <f>HYPERLINK("http://www.lingerieopt.ru/images/original/d2941235-a27d-4138-b6fe-a472a5acb328.jpg","Фото")</f>
      </c>
    </row>
    <row r="103">
      <c r="A103" s="7">
        <f>HYPERLINK("http://www.lingerieopt.ru/item/4630-vozdushnji-romper-kombinezon-iz-shifona/","4630")</f>
      </c>
      <c r="B103" s="8" t="s">
        <v>100</v>
      </c>
      <c r="C103" s="9">
        <v>2111</v>
      </c>
      <c r="D103" s="0">
        <v>30</v>
      </c>
      <c r="E103" s="10">
        <f>HYPERLINK("http://www.lingerieopt.ru/images/original/d2941235-a27d-4138-b6fe-a472a5acb328.jpg","Фото")</f>
      </c>
    </row>
    <row r="104">
      <c r="A104" s="7">
        <f>HYPERLINK("http://www.lingerieopt.ru/item/4630-vozdushnji-romper-kombinezon-iz-shifona/","4630")</f>
      </c>
      <c r="B104" s="8" t="s">
        <v>101</v>
      </c>
      <c r="C104" s="9">
        <v>2111</v>
      </c>
      <c r="D104" s="0">
        <v>30</v>
      </c>
      <c r="E104" s="10">
        <f>HYPERLINK("http://www.lingerieopt.ru/images/original/d2941235-a27d-4138-b6fe-a472a5acb328.jpg","Фото")</f>
      </c>
    </row>
    <row r="105">
      <c r="A105" s="7">
        <f>HYPERLINK("http://www.lingerieopt.ru/item/4684-otkrjtoe-bodi-athena/","4684")</f>
      </c>
      <c r="B105" s="8" t="s">
        <v>102</v>
      </c>
      <c r="C105" s="9">
        <v>1152</v>
      </c>
      <c r="D105" s="0">
        <v>6</v>
      </c>
      <c r="E105" s="10">
        <f>HYPERLINK("http://www.lingerieopt.ru/images/original/06aeed54-f569-43a8-9718-96a1feea0ba6.jpg","Фото")</f>
      </c>
    </row>
    <row r="106">
      <c r="A106" s="7">
        <f>HYPERLINK("http://www.lingerieopt.ru/item/4684-otkrjtoe-bodi-athena/","4684")</f>
      </c>
      <c r="B106" s="8" t="s">
        <v>103</v>
      </c>
      <c r="C106" s="9">
        <v>1152</v>
      </c>
      <c r="D106" s="0">
        <v>6</v>
      </c>
      <c r="E106" s="10">
        <f>HYPERLINK("http://www.lingerieopt.ru/images/original/06aeed54-f569-43a8-9718-96a1feea0ba6.jpg","Фото")</f>
      </c>
    </row>
    <row r="107">
      <c r="A107" s="7">
        <f>HYPERLINK("http://www.lingerieopt.ru/item/4684-otkrjtoe-bodi-athena/","4684")</f>
      </c>
      <c r="B107" s="8" t="s">
        <v>104</v>
      </c>
      <c r="C107" s="9">
        <v>1152</v>
      </c>
      <c r="D107" s="0">
        <v>4</v>
      </c>
      <c r="E107" s="10">
        <f>HYPERLINK("http://www.lingerieopt.ru/images/original/06aeed54-f569-43a8-9718-96a1feea0ba6.jpg","Фото")</f>
      </c>
    </row>
    <row r="108">
      <c r="A108" s="7">
        <f>HYPERLINK("http://www.lingerieopt.ru/item/4684-otkrjtoe-bodi-athena/","4684")</f>
      </c>
      <c r="B108" s="8" t="s">
        <v>105</v>
      </c>
      <c r="C108" s="9">
        <v>1152</v>
      </c>
      <c r="D108" s="0">
        <v>8</v>
      </c>
      <c r="E108" s="10">
        <f>HYPERLINK("http://www.lingerieopt.ru/images/original/06aeed54-f569-43a8-9718-96a1feea0ba6.jpg","Фото")</f>
      </c>
    </row>
    <row r="109">
      <c r="A109" s="7">
        <f>HYPERLINK("http://www.lingerieopt.ru/item/4688-bodi-virgin-s-kruzhevnoi-otorochkoi-po-lifu/","4688")</f>
      </c>
      <c r="B109" s="8" t="s">
        <v>106</v>
      </c>
      <c r="C109" s="9">
        <v>1052</v>
      </c>
      <c r="D109" s="0">
        <v>10</v>
      </c>
      <c r="E109" s="10">
        <f>HYPERLINK("http://www.lingerieopt.ru/images/original/58b0b726-6d04-4357-93ff-1bdd3fc56f8f.jpg","Фото")</f>
      </c>
    </row>
    <row r="110">
      <c r="A110" s="7">
        <f>HYPERLINK("http://www.lingerieopt.ru/item/4688-bodi-virgin-s-kruzhevnoi-otorochkoi-po-lifu/","4688")</f>
      </c>
      <c r="B110" s="8" t="s">
        <v>107</v>
      </c>
      <c r="C110" s="9">
        <v>1052</v>
      </c>
      <c r="D110" s="0">
        <v>0</v>
      </c>
      <c r="E110" s="10">
        <f>HYPERLINK("http://www.lingerieopt.ru/images/original/58b0b726-6d04-4357-93ff-1bdd3fc56f8f.jpg","Фото")</f>
      </c>
    </row>
    <row r="111">
      <c r="A111" s="7">
        <f>HYPERLINK("http://www.lingerieopt.ru/item/4791-bodi-aura-iz-shirokoi-poluprozrachnoi-lentj/","4791")</f>
      </c>
      <c r="B111" s="8" t="s">
        <v>108</v>
      </c>
      <c r="C111" s="9">
        <v>920</v>
      </c>
      <c r="D111" s="0">
        <v>5</v>
      </c>
      <c r="E111" s="10">
        <f>HYPERLINK("http://www.lingerieopt.ru/images/original/4695d614-0f69-45a4-9312-c2db24d49fed.jpg","Фото")</f>
      </c>
    </row>
    <row r="112">
      <c r="A112" s="7">
        <f>HYPERLINK("http://www.lingerieopt.ru/item/4791-bodi-aura-iz-shirokoi-poluprozrachnoi-lentj/","4791")</f>
      </c>
      <c r="B112" s="8" t="s">
        <v>109</v>
      </c>
      <c r="C112" s="9">
        <v>920</v>
      </c>
      <c r="D112" s="0">
        <v>0</v>
      </c>
      <c r="E112" s="10">
        <f>HYPERLINK("http://www.lingerieopt.ru/images/original/4695d614-0f69-45a4-9312-c2db24d49fed.jpg","Фото")</f>
      </c>
    </row>
    <row r="113">
      <c r="A113" s="7">
        <f>HYPERLINK("http://www.lingerieopt.ru/item/4791-bodi-aura-iz-shirokoi-poluprozrachnoi-lentj/","4791")</f>
      </c>
      <c r="B113" s="8" t="s">
        <v>110</v>
      </c>
      <c r="C113" s="9">
        <v>920</v>
      </c>
      <c r="D113" s="0">
        <v>4</v>
      </c>
      <c r="E113" s="10">
        <f>HYPERLINK("http://www.lingerieopt.ru/images/original/4695d614-0f69-45a4-9312-c2db24d49fed.jpg","Фото")</f>
      </c>
    </row>
    <row r="114">
      <c r="A114" s="7">
        <f>HYPERLINK("http://www.lingerieopt.ru/item/4792-bodi-danae-s-ryushevoi-otdelkoi-i-otkrjtjmi-chashechkami-lifa/","4792")</f>
      </c>
      <c r="B114" s="8" t="s">
        <v>111</v>
      </c>
      <c r="C114" s="9">
        <v>2645</v>
      </c>
      <c r="D114" s="0">
        <v>5</v>
      </c>
      <c r="E114" s="10">
        <f>HYPERLINK("http://www.lingerieopt.ru/images/original/8f0bad68-a8d9-43b6-84c4-99fde54b176d.jpg","Фото")</f>
      </c>
    </row>
    <row r="115">
      <c r="A115" s="7">
        <f>HYPERLINK("http://www.lingerieopt.ru/item/4792-bodi-danae-s-ryushevoi-otdelkoi-i-otkrjtjmi-chashechkami-lifa/","4792")</f>
      </c>
      <c r="B115" s="8" t="s">
        <v>112</v>
      </c>
      <c r="C115" s="9">
        <v>2645</v>
      </c>
      <c r="D115" s="0">
        <v>3</v>
      </c>
      <c r="E115" s="10">
        <f>HYPERLINK("http://www.lingerieopt.ru/images/original/8f0bad68-a8d9-43b6-84c4-99fde54b176d.jpg","Фото")</f>
      </c>
    </row>
    <row r="116">
      <c r="A116" s="7">
        <f>HYPERLINK("http://www.lingerieopt.ru/item/4792-bodi-danae-s-ryushevoi-otdelkoi-i-otkrjtjmi-chashechkami-lifa/","4792")</f>
      </c>
      <c r="B116" s="8" t="s">
        <v>113</v>
      </c>
      <c r="C116" s="9">
        <v>2645</v>
      </c>
      <c r="D116" s="0">
        <v>5</v>
      </c>
      <c r="E116" s="10">
        <f>HYPERLINK("http://www.lingerieopt.ru/images/original/8f0bad68-a8d9-43b6-84c4-99fde54b176d.jpg","Фото")</f>
      </c>
    </row>
    <row r="117">
      <c r="A117" s="7">
        <f>HYPERLINK("http://www.lingerieopt.ru/item/4900-kruzhevnoe-bodi-s-leopardovjm-kruzhevom/","4900")</f>
      </c>
      <c r="B117" s="8" t="s">
        <v>114</v>
      </c>
      <c r="C117" s="9">
        <v>1787</v>
      </c>
      <c r="D117" s="0">
        <v>6</v>
      </c>
      <c r="E117" s="10">
        <f>HYPERLINK("http://www.lingerieopt.ru/images/original/1525849d-9a30-4a15-9f27-941f8f538a4b.jpg","Фото")</f>
      </c>
    </row>
    <row r="118">
      <c r="A118" s="7">
        <f>HYPERLINK("http://www.lingerieopt.ru/item/4931-bodi-s-perepleteniem-lent-na-grudi/","4931")</f>
      </c>
      <c r="B118" s="8" t="s">
        <v>115</v>
      </c>
      <c r="C118" s="9">
        <v>1976</v>
      </c>
      <c r="D118" s="0">
        <v>12</v>
      </c>
      <c r="E118" s="10">
        <f>HYPERLINK("http://www.lingerieopt.ru/images/original/2a7c3202-772a-4ca0-8789-707966c5dc77.jpg","Фото")</f>
      </c>
    </row>
    <row r="119">
      <c r="A119" s="7">
        <f>HYPERLINK("http://www.lingerieopt.ru/item/4932-bodi-strep-lisa-s-kolcom/","4932")</f>
      </c>
      <c r="B119" s="8" t="s">
        <v>116</v>
      </c>
      <c r="C119" s="9">
        <v>1855</v>
      </c>
      <c r="D119" s="0">
        <v>5</v>
      </c>
      <c r="E119" s="10">
        <f>HYPERLINK("http://www.lingerieopt.ru/images/original/aa1c7f95-afc5-4990-bb1c-64f9ab92b4c2.jpg","Фото")</f>
      </c>
    </row>
    <row r="120">
      <c r="A120" s="7">
        <f>HYPERLINK("http://www.lingerieopt.ru/item/4933-effektnoe-bodi-sharm-s-kolcami/","4933")</f>
      </c>
      <c r="B120" s="8" t="s">
        <v>117</v>
      </c>
      <c r="C120" s="9">
        <v>1941</v>
      </c>
      <c r="D120" s="0">
        <v>6</v>
      </c>
      <c r="E120" s="10">
        <f>HYPERLINK("http://www.lingerieopt.ru/images/original/f568a549-9ea1-4e42-8a0e-de690270e6ea.jpg","Фото")</f>
      </c>
    </row>
    <row r="121">
      <c r="A121" s="7">
        <f>HYPERLINK("http://www.lingerieopt.ru/item/4934-otkrjtoe-bodi-prinzess-2-s-kolcami/","4934")</f>
      </c>
      <c r="B121" s="8" t="s">
        <v>118</v>
      </c>
      <c r="C121" s="9">
        <v>1855</v>
      </c>
      <c r="D121" s="0">
        <v>8</v>
      </c>
      <c r="E121" s="10">
        <f>HYPERLINK("http://www.lingerieopt.ru/images/original/38087ae5-5c66-4178-acfd-1177074d50d4.jpg","Фото")</f>
      </c>
    </row>
    <row r="122">
      <c r="A122" s="7">
        <f>HYPERLINK("http://www.lingerieopt.ru/item/4935-bodi-naomi-iz-lent/","4935")</f>
      </c>
      <c r="B122" s="8" t="s">
        <v>119</v>
      </c>
      <c r="C122" s="9">
        <v>1649</v>
      </c>
      <c r="D122" s="0">
        <v>13</v>
      </c>
      <c r="E122" s="10">
        <f>HYPERLINK("http://www.lingerieopt.ru/images/original/1b9e2c5e-0c4b-4f58-9c67-15e497cb2162.jpg","Фото")</f>
      </c>
    </row>
    <row r="123">
      <c r="A123" s="7">
        <f>HYPERLINK("http://www.lingerieopt.ru/item/4936-bodi-ella-iz-lent-s-kolcami/","4936")</f>
      </c>
      <c r="B123" s="8" t="s">
        <v>120</v>
      </c>
      <c r="C123" s="9">
        <v>1718</v>
      </c>
      <c r="D123" s="0">
        <v>4</v>
      </c>
      <c r="E123" s="10">
        <f>HYPERLINK("http://www.lingerieopt.ru/images/original/c96ed0a8-fadc-422f-98e7-b776a12d17fd.jpg","Фото")</f>
      </c>
    </row>
    <row r="124">
      <c r="A124" s="7">
        <f>HYPERLINK("http://www.lingerieopt.ru/item/5052-komplekt-burlesk/","5052")</f>
      </c>
      <c r="B124" s="8" t="s">
        <v>121</v>
      </c>
      <c r="C124" s="9">
        <v>1831</v>
      </c>
      <c r="D124" s="0">
        <v>15</v>
      </c>
      <c r="E124" s="10">
        <f>HYPERLINK("http://www.lingerieopt.ru/images/original/8d722dc7-319d-4f9d-a0dc-d1ab3341f102.jpg","Фото")</f>
      </c>
    </row>
    <row r="125">
      <c r="A125" s="7">
        <f>HYPERLINK("http://www.lingerieopt.ru/item/5149-kruzhevnoe-bodi-rayen-s-glubokim-dekolte/","5149")</f>
      </c>
      <c r="B125" s="8" t="s">
        <v>122</v>
      </c>
      <c r="C125" s="9">
        <v>1210</v>
      </c>
      <c r="D125" s="0">
        <v>3</v>
      </c>
      <c r="E125" s="10">
        <f>HYPERLINK("http://www.lingerieopt.ru/images/original/f5f5ff09-a6b0-4795-b484-af224d6d0f4b.jpg","Фото")</f>
      </c>
    </row>
    <row r="126">
      <c r="A126" s="7">
        <f>HYPERLINK("http://www.lingerieopt.ru/item/5149-kruzhevnoe-bodi-rayen-s-glubokim-dekolte/","5149")</f>
      </c>
      <c r="B126" s="8" t="s">
        <v>123</v>
      </c>
      <c r="C126" s="9">
        <v>1210</v>
      </c>
      <c r="D126" s="0">
        <v>3</v>
      </c>
      <c r="E126" s="10">
        <f>HYPERLINK("http://www.lingerieopt.ru/images/original/f5f5ff09-a6b0-4795-b484-af224d6d0f4b.jpg","Фото")</f>
      </c>
    </row>
    <row r="127">
      <c r="A127" s="7">
        <f>HYPERLINK("http://www.lingerieopt.ru/item/5149-kruzhevnoe-bodi-rayen-s-glubokim-dekolte/","5149")</f>
      </c>
      <c r="B127" s="8" t="s">
        <v>124</v>
      </c>
      <c r="C127" s="9">
        <v>1210</v>
      </c>
      <c r="D127" s="0">
        <v>3</v>
      </c>
      <c r="E127" s="10">
        <f>HYPERLINK("http://www.lingerieopt.ru/images/original/f5f5ff09-a6b0-4795-b484-af224d6d0f4b.jpg","Фото")</f>
      </c>
    </row>
    <row r="128">
      <c r="A128" s="7">
        <f>HYPERLINK("http://www.lingerieopt.ru/item/5149-kruzhevnoe-bodi-rayen-s-glubokim-dekolte/","5149")</f>
      </c>
      <c r="B128" s="8" t="s">
        <v>125</v>
      </c>
      <c r="C128" s="9">
        <v>1210</v>
      </c>
      <c r="D128" s="0">
        <v>3</v>
      </c>
      <c r="E128" s="10">
        <f>HYPERLINK("http://www.lingerieopt.ru/images/original/f5f5ff09-a6b0-4795-b484-af224d6d0f4b.jpg","Фото")</f>
      </c>
    </row>
    <row r="129">
      <c r="A129" s="7">
        <f>HYPERLINK("http://www.lingerieopt.ru/item/5254-kruzhevnoe-bodi-linda-s-dostupom/","5254")</f>
      </c>
      <c r="B129" s="8" t="s">
        <v>126</v>
      </c>
      <c r="C129" s="9">
        <v>1734</v>
      </c>
      <c r="D129" s="0">
        <v>4</v>
      </c>
      <c r="E129" s="10">
        <f>HYPERLINK("http://www.lingerieopt.ru/images/original/e952170c-6adb-45a0-9478-7cef4a9195ad.jpg","Фото")</f>
      </c>
    </row>
    <row r="130">
      <c r="A130" s="7">
        <f>HYPERLINK("http://www.lingerieopt.ru/item/5254-kruzhevnoe-bodi-linda-s-dostupom/","5254")</f>
      </c>
      <c r="B130" s="8" t="s">
        <v>127</v>
      </c>
      <c r="C130" s="9">
        <v>1734</v>
      </c>
      <c r="D130" s="0">
        <v>6</v>
      </c>
      <c r="E130" s="10">
        <f>HYPERLINK("http://www.lingerieopt.ru/images/original/e952170c-6adb-45a0-9478-7cef4a9195ad.jpg","Фото")</f>
      </c>
    </row>
    <row r="131">
      <c r="A131" s="7">
        <f>HYPERLINK("http://www.lingerieopt.ru/item/5254-kruzhevnoe-bodi-linda-s-dostupom/","5254")</f>
      </c>
      <c r="B131" s="8" t="s">
        <v>128</v>
      </c>
      <c r="C131" s="9">
        <v>1734</v>
      </c>
      <c r="D131" s="0">
        <v>3</v>
      </c>
      <c r="E131" s="10">
        <f>HYPERLINK("http://www.lingerieopt.ru/images/original/e952170c-6adb-45a0-9478-7cef4a9195ad.jpg","Фото")</f>
      </c>
    </row>
    <row r="132">
      <c r="A132" s="7">
        <f>HYPERLINK("http://www.lingerieopt.ru/item/5254-kruzhevnoe-bodi-linda-s-dostupom/","5254")</f>
      </c>
      <c r="B132" s="8" t="s">
        <v>129</v>
      </c>
      <c r="C132" s="9">
        <v>1734</v>
      </c>
      <c r="D132" s="0">
        <v>0</v>
      </c>
      <c r="E132" s="10">
        <f>HYPERLINK("http://www.lingerieopt.ru/images/original/e952170c-6adb-45a0-9478-7cef4a9195ad.jpg","Фото")</f>
      </c>
    </row>
    <row r="133">
      <c r="A133" s="7">
        <f>HYPERLINK("http://www.lingerieopt.ru/item/5316-soblaznitelnoe-bodi-jovita-s-otkrjtoi-popoi/","5316")</f>
      </c>
      <c r="B133" s="8" t="s">
        <v>130</v>
      </c>
      <c r="C133" s="9">
        <v>1170</v>
      </c>
      <c r="D133" s="0">
        <v>4</v>
      </c>
      <c r="E133" s="10">
        <f>HYPERLINK("http://www.lingerieopt.ru/images/original/1e700996-8f4e-454c-a329-3a61a8084985.jpg","Фото")</f>
      </c>
    </row>
    <row r="134">
      <c r="A134" s="7">
        <f>HYPERLINK("http://www.lingerieopt.ru/item/5316-soblaznitelnoe-bodi-jovita-s-otkrjtoi-popoi/","5316")</f>
      </c>
      <c r="B134" s="8" t="s">
        <v>131</v>
      </c>
      <c r="C134" s="9">
        <v>1170</v>
      </c>
      <c r="D134" s="0">
        <v>1</v>
      </c>
      <c r="E134" s="10">
        <f>HYPERLINK("http://www.lingerieopt.ru/images/original/1e700996-8f4e-454c-a329-3a61a8084985.jpg","Фото")</f>
      </c>
    </row>
    <row r="135">
      <c r="A135" s="7">
        <f>HYPERLINK("http://www.lingerieopt.ru/item/5316-soblaznitelnoe-bodi-jovita-s-otkrjtoi-popoi/","5316")</f>
      </c>
      <c r="B135" s="8" t="s">
        <v>132</v>
      </c>
      <c r="C135" s="9">
        <v>1170</v>
      </c>
      <c r="D135" s="0">
        <v>2</v>
      </c>
      <c r="E135" s="10">
        <f>HYPERLINK("http://www.lingerieopt.ru/images/original/1e700996-8f4e-454c-a329-3a61a8084985.jpg","Фото")</f>
      </c>
    </row>
    <row r="136">
      <c r="A136" s="7">
        <f>HYPERLINK("http://www.lingerieopt.ru/item/5316-soblaznitelnoe-bodi-jovita-s-otkrjtoi-popoi/","5316")</f>
      </c>
      <c r="B136" s="8" t="s">
        <v>133</v>
      </c>
      <c r="C136" s="9">
        <v>1170</v>
      </c>
      <c r="D136" s="0">
        <v>3</v>
      </c>
      <c r="E136" s="10">
        <f>HYPERLINK("http://www.lingerieopt.ru/images/original/1e700996-8f4e-454c-a329-3a61a8084985.jpg","Фото")</f>
      </c>
    </row>
    <row r="137">
      <c r="A137" s="7">
        <f>HYPERLINK("http://www.lingerieopt.ru/item/5319-bodi-harriet-s-vjrezom-na-spine/","5319")</f>
      </c>
      <c r="B137" s="8" t="s">
        <v>134</v>
      </c>
      <c r="C137" s="9">
        <v>1981</v>
      </c>
      <c r="D137" s="0">
        <v>20</v>
      </c>
      <c r="E137" s="10">
        <f>HYPERLINK("http://www.lingerieopt.ru/images/original/f4dd6950-c75f-49c7-b0b9-b609568759df.jpg","Фото")</f>
      </c>
    </row>
    <row r="138">
      <c r="A138" s="7">
        <f>HYPERLINK("http://www.lingerieopt.ru/item/5319-bodi-harriet-s-vjrezom-na-spine/","5319")</f>
      </c>
      <c r="B138" s="8" t="s">
        <v>135</v>
      </c>
      <c r="C138" s="9">
        <v>1981</v>
      </c>
      <c r="D138" s="0">
        <v>0</v>
      </c>
      <c r="E138" s="10">
        <f>HYPERLINK("http://www.lingerieopt.ru/images/original/f4dd6950-c75f-49c7-b0b9-b609568759df.jpg","Фото")</f>
      </c>
    </row>
    <row r="139">
      <c r="A139" s="7">
        <f>HYPERLINK("http://www.lingerieopt.ru/item/5373-kruzhevnoe-bodi-tina-s-pazhami-i-dostupom/","5373")</f>
      </c>
      <c r="B139" s="8" t="s">
        <v>136</v>
      </c>
      <c r="C139" s="9">
        <v>2183</v>
      </c>
      <c r="D139" s="0">
        <v>5</v>
      </c>
      <c r="E139" s="10">
        <f>HYPERLINK("http://www.lingerieopt.ru/images/original/868a09fa-bcbb-4705-8dc3-0f28c3f60f48.jpg","Фото")</f>
      </c>
    </row>
    <row r="140">
      <c r="A140" s="7">
        <f>HYPERLINK("http://www.lingerieopt.ru/item/5373-kruzhevnoe-bodi-tina-s-pazhami-i-dostupom/","5373")</f>
      </c>
      <c r="B140" s="8" t="s">
        <v>137</v>
      </c>
      <c r="C140" s="9">
        <v>2183</v>
      </c>
      <c r="D140" s="0">
        <v>8</v>
      </c>
      <c r="E140" s="10">
        <f>HYPERLINK("http://www.lingerieopt.ru/images/original/868a09fa-bcbb-4705-8dc3-0f28c3f60f48.jpg","Фото")</f>
      </c>
    </row>
    <row r="141">
      <c r="A141" s="7">
        <f>HYPERLINK("http://www.lingerieopt.ru/item/5373-kruzhevnoe-bodi-tina-s-pazhami-i-dostupom/","5373")</f>
      </c>
      <c r="B141" s="8" t="s">
        <v>138</v>
      </c>
      <c r="C141" s="9">
        <v>2183</v>
      </c>
      <c r="D141" s="0">
        <v>3</v>
      </c>
      <c r="E141" s="10">
        <f>HYPERLINK("http://www.lingerieopt.ru/images/original/868a09fa-bcbb-4705-8dc3-0f28c3f60f48.jpg","Фото")</f>
      </c>
    </row>
    <row r="142">
      <c r="A142" s="7">
        <f>HYPERLINK("http://www.lingerieopt.ru/item/5373-kruzhevnoe-bodi-tina-s-pazhami-i-dostupom/","5373")</f>
      </c>
      <c r="B142" s="8" t="s">
        <v>139</v>
      </c>
      <c r="C142" s="9">
        <v>2183</v>
      </c>
      <c r="D142" s="0">
        <v>5</v>
      </c>
      <c r="E142" s="10">
        <f>HYPERLINK("http://www.lingerieopt.ru/images/original/868a09fa-bcbb-4705-8dc3-0f28c3f60f48.jpg","Фото")</f>
      </c>
    </row>
    <row r="143">
      <c r="A143" s="7">
        <f>HYPERLINK("http://www.lingerieopt.ru/item/5377-effektnoe-bodi-olivia-s-otkrjtjm-zhivotom/","5377")</f>
      </c>
      <c r="B143" s="8" t="s">
        <v>140</v>
      </c>
      <c r="C143" s="9">
        <v>1741</v>
      </c>
      <c r="D143" s="0">
        <v>3</v>
      </c>
      <c r="E143" s="10">
        <f>HYPERLINK("http://www.lingerieopt.ru/images/original/ce1cda69-4073-466e-94d9-b528678e4e96.jpg","Фото")</f>
      </c>
    </row>
    <row r="144">
      <c r="A144" s="7">
        <f>HYPERLINK("http://www.lingerieopt.ru/item/5377-effektnoe-bodi-olivia-s-otkrjtjm-zhivotom/","5377")</f>
      </c>
      <c r="B144" s="8" t="s">
        <v>141</v>
      </c>
      <c r="C144" s="9">
        <v>1741</v>
      </c>
      <c r="D144" s="0">
        <v>4</v>
      </c>
      <c r="E144" s="10">
        <f>HYPERLINK("http://www.lingerieopt.ru/images/original/ce1cda69-4073-466e-94d9-b528678e4e96.jpg","Фото")</f>
      </c>
    </row>
    <row r="145">
      <c r="A145" s="7">
        <f>HYPERLINK("http://www.lingerieopt.ru/item/5930-elegantnoe-bodi-kalia-s-kruzhevom/","5930")</f>
      </c>
      <c r="B145" s="8" t="s">
        <v>142</v>
      </c>
      <c r="C145" s="9">
        <v>2039</v>
      </c>
      <c r="D145" s="0">
        <v>9</v>
      </c>
      <c r="E145" s="10">
        <f>HYPERLINK("http://www.lingerieopt.ru/images/original/47413bc1-b389-48ee-9d26-52b8856772d5.jpg","Фото")</f>
      </c>
    </row>
    <row r="146">
      <c r="A146" s="7">
        <f>HYPERLINK("http://www.lingerieopt.ru/item/5931-bodi-creda-so-shnurovkoi-i-kruzhevnjm-lifom/","5931")</f>
      </c>
      <c r="B146" s="8" t="s">
        <v>143</v>
      </c>
      <c r="C146" s="9">
        <v>2125</v>
      </c>
      <c r="D146" s="0">
        <v>3</v>
      </c>
      <c r="E146" s="10">
        <f>HYPERLINK("http://www.lingerieopt.ru/images/original/87efa9d9-e8f3-4cf8-8f72-a98a86ce738f.jpg","Фото")</f>
      </c>
    </row>
    <row r="147">
      <c r="A147" s="7">
        <f>HYPERLINK("http://www.lingerieopt.ru/item/5934-kruzhevnoi-teddi-s-poluotkrjtoi-grudyu/","5934")</f>
      </c>
      <c r="B147" s="8" t="s">
        <v>144</v>
      </c>
      <c r="C147" s="9">
        <v>1031</v>
      </c>
      <c r="D147" s="0">
        <v>3</v>
      </c>
      <c r="E147" s="10">
        <f>HYPERLINK("http://www.lingerieopt.ru/images/original/0bf5474d-a5d0-411d-be10-27e54c7bc2ba.jpg","Фото")</f>
      </c>
    </row>
    <row r="148">
      <c r="A148" s="7">
        <f>HYPERLINK("http://www.lingerieopt.ru/item/5934-kruzhevnoi-teddi-s-poluotkrjtoi-grudyu/","5934")</f>
      </c>
      <c r="B148" s="8" t="s">
        <v>145</v>
      </c>
      <c r="C148" s="9">
        <v>1031</v>
      </c>
      <c r="D148" s="0">
        <v>7</v>
      </c>
      <c r="E148" s="10">
        <f>HYPERLINK("http://www.lingerieopt.ru/images/original/0bf5474d-a5d0-411d-be10-27e54c7bc2ba.jpg","Фото")</f>
      </c>
    </row>
    <row r="149">
      <c r="A149" s="7">
        <f>HYPERLINK("http://www.lingerieopt.ru/item/5934-kruzhevnoi-teddi-s-poluotkrjtoi-grudyu/","5934")</f>
      </c>
      <c r="B149" s="8" t="s">
        <v>146</v>
      </c>
      <c r="C149" s="9">
        <v>1031</v>
      </c>
      <c r="D149" s="0">
        <v>3</v>
      </c>
      <c r="E149" s="10">
        <f>HYPERLINK("http://www.lingerieopt.ru/images/original/0bf5474d-a5d0-411d-be10-27e54c7bc2ba.jpg","Фото")</f>
      </c>
    </row>
    <row r="150">
      <c r="A150" s="7">
        <f>HYPERLINK("http://www.lingerieopt.ru/item/5934-kruzhevnoi-teddi-s-poluotkrjtoi-grudyu/","5934")</f>
      </c>
      <c r="B150" s="8" t="s">
        <v>147</v>
      </c>
      <c r="C150" s="9">
        <v>1031</v>
      </c>
      <c r="D150" s="0">
        <v>3</v>
      </c>
      <c r="E150" s="10">
        <f>HYPERLINK("http://www.lingerieopt.ru/images/original/0bf5474d-a5d0-411d-be10-27e54c7bc2ba.jpg","Фото")</f>
      </c>
    </row>
    <row r="151">
      <c r="A151" s="7">
        <f>HYPERLINK("http://www.lingerieopt.ru/item/5934-kruzhevnoi-teddi-s-poluotkrjtoi-grudyu/","5934")</f>
      </c>
      <c r="B151" s="8" t="s">
        <v>148</v>
      </c>
      <c r="C151" s="9">
        <v>1031</v>
      </c>
      <c r="D151" s="0">
        <v>3</v>
      </c>
      <c r="E151" s="10">
        <f>HYPERLINK("http://www.lingerieopt.ru/images/original/0bf5474d-a5d0-411d-be10-27e54c7bc2ba.jpg","Фото")</f>
      </c>
    </row>
    <row r="152">
      <c r="A152" s="7">
        <f>HYPERLINK("http://www.lingerieopt.ru/item/5934-kruzhevnoi-teddi-s-poluotkrjtoi-grudyu/","5934")</f>
      </c>
      <c r="B152" s="8" t="s">
        <v>149</v>
      </c>
      <c r="C152" s="9">
        <v>1031</v>
      </c>
      <c r="D152" s="0">
        <v>2</v>
      </c>
      <c r="E152" s="10">
        <f>HYPERLINK("http://www.lingerieopt.ru/images/original/0bf5474d-a5d0-411d-be10-27e54c7bc2ba.jpg","Фото")</f>
      </c>
    </row>
    <row r="153">
      <c r="A153" s="7">
        <f>HYPERLINK("http://www.lingerieopt.ru/item/5938-kruzhevnoi-teddi-s-perepleteniem-bretelei-na-zhivote/","5938")</f>
      </c>
      <c r="B153" s="8" t="s">
        <v>150</v>
      </c>
      <c r="C153" s="9">
        <v>1031</v>
      </c>
      <c r="D153" s="0">
        <v>2</v>
      </c>
      <c r="E153" s="10">
        <f>HYPERLINK("http://www.lingerieopt.ru/images/original/07ef521c-dc14-404f-8365-a19d1d34ccf3.jpg","Фото")</f>
      </c>
    </row>
    <row r="154">
      <c r="A154" s="7">
        <f>HYPERLINK("http://www.lingerieopt.ru/item/5938-kruzhevnoi-teddi-s-perepleteniem-bretelei-na-zhivote/","5938")</f>
      </c>
      <c r="B154" s="8" t="s">
        <v>151</v>
      </c>
      <c r="C154" s="9">
        <v>1031</v>
      </c>
      <c r="D154" s="0">
        <v>2</v>
      </c>
      <c r="E154" s="10">
        <f>HYPERLINK("http://www.lingerieopt.ru/images/original/07ef521c-dc14-404f-8365-a19d1d34ccf3.jpg","Фото")</f>
      </c>
    </row>
    <row r="155">
      <c r="A155" s="7">
        <f>HYPERLINK("http://www.lingerieopt.ru/item/5938-kruzhevnoi-teddi-s-perepleteniem-bretelei-na-zhivote/","5938")</f>
      </c>
      <c r="B155" s="8" t="s">
        <v>152</v>
      </c>
      <c r="C155" s="9">
        <v>1031</v>
      </c>
      <c r="D155" s="0">
        <v>2</v>
      </c>
      <c r="E155" s="10">
        <f>HYPERLINK("http://www.lingerieopt.ru/images/original/07ef521c-dc14-404f-8365-a19d1d34ccf3.jpg","Фото")</f>
      </c>
    </row>
    <row r="156">
      <c r="A156" s="7">
        <f>HYPERLINK("http://www.lingerieopt.ru/item/5938-kruzhevnoi-teddi-s-perepleteniem-bretelei-na-zhivote/","5938")</f>
      </c>
      <c r="B156" s="8" t="s">
        <v>153</v>
      </c>
      <c r="C156" s="9">
        <v>1031</v>
      </c>
      <c r="D156" s="0">
        <v>3</v>
      </c>
      <c r="E156" s="10">
        <f>HYPERLINK("http://www.lingerieopt.ru/images/original/07ef521c-dc14-404f-8365-a19d1d34ccf3.jpg","Фото")</f>
      </c>
    </row>
    <row r="157">
      <c r="A157" s="7">
        <f>HYPERLINK("http://www.lingerieopt.ru/item/5938-kruzhevnoi-teddi-s-perepleteniem-bretelei-na-zhivote/","5938")</f>
      </c>
      <c r="B157" s="8" t="s">
        <v>154</v>
      </c>
      <c r="C157" s="9">
        <v>1031</v>
      </c>
      <c r="D157" s="0">
        <v>7</v>
      </c>
      <c r="E157" s="10">
        <f>HYPERLINK("http://www.lingerieopt.ru/images/original/07ef521c-dc14-404f-8365-a19d1d34ccf3.jpg","Фото")</f>
      </c>
    </row>
    <row r="158">
      <c r="A158" s="7">
        <f>HYPERLINK("http://www.lingerieopt.ru/item/5938-kruzhevnoi-teddi-s-perepleteniem-bretelei-na-zhivote/","5938")</f>
      </c>
      <c r="B158" s="8" t="s">
        <v>155</v>
      </c>
      <c r="C158" s="9">
        <v>1031</v>
      </c>
      <c r="D158" s="0">
        <v>3</v>
      </c>
      <c r="E158" s="10">
        <f>HYPERLINK("http://www.lingerieopt.ru/images/original/07ef521c-dc14-404f-8365-a19d1d34ccf3.jpg","Фото")</f>
      </c>
    </row>
    <row r="159">
      <c r="A159" s="7">
        <f>HYPERLINK("http://www.lingerieopt.ru/item/5945-bodi-blanche-na-molnii/","5945")</f>
      </c>
      <c r="B159" s="8" t="s">
        <v>156</v>
      </c>
      <c r="C159" s="9">
        <v>1591</v>
      </c>
      <c r="D159" s="0">
        <v>22</v>
      </c>
      <c r="E159" s="10">
        <f>HYPERLINK("http://www.lingerieopt.ru/images/original/982e02a6-21e8-4eb6-b492-8925af847472.jpg","Фото")</f>
      </c>
    </row>
    <row r="160">
      <c r="A160" s="7">
        <f>HYPERLINK("http://www.lingerieopt.ru/item/5945-bodi-blanche-na-molnii/","5945")</f>
      </c>
      <c r="B160" s="8" t="s">
        <v>157</v>
      </c>
      <c r="C160" s="9">
        <v>1591</v>
      </c>
      <c r="D160" s="0">
        <v>37</v>
      </c>
      <c r="E160" s="10">
        <f>HYPERLINK("http://www.lingerieopt.ru/images/original/982e02a6-21e8-4eb6-b492-8925af847472.jpg","Фото")</f>
      </c>
    </row>
    <row r="161">
      <c r="A161" s="7">
        <f>HYPERLINK("http://www.lingerieopt.ru/item/6012-nezhnji-kruzhevnoi-teddi/","6012")</f>
      </c>
      <c r="B161" s="8" t="s">
        <v>158</v>
      </c>
      <c r="C161" s="9">
        <v>3249</v>
      </c>
      <c r="D161" s="0">
        <v>6</v>
      </c>
      <c r="E161" s="10">
        <f>HYPERLINK("http://www.lingerieopt.ru/images/original/a23d0dca-b970-4c25-acf7-499cac13f5dd.jpg","Фото")</f>
      </c>
    </row>
    <row r="162">
      <c r="A162" s="7">
        <f>HYPERLINK("http://www.lingerieopt.ru/item/6012-nezhnji-kruzhevnoi-teddi/","6012")</f>
      </c>
      <c r="B162" s="8" t="s">
        <v>159</v>
      </c>
      <c r="C162" s="9">
        <v>3249</v>
      </c>
      <c r="D162" s="0">
        <v>6</v>
      </c>
      <c r="E162" s="10">
        <f>HYPERLINK("http://www.lingerieopt.ru/images/original/a23d0dca-b970-4c25-acf7-499cac13f5dd.jpg","Фото")</f>
      </c>
    </row>
    <row r="163">
      <c r="A163" s="7">
        <f>HYPERLINK("http://www.lingerieopt.ru/item/6135-atlasnji-romper-so-shnurovkoi-na-spine/","6135")</f>
      </c>
      <c r="B163" s="8" t="s">
        <v>160</v>
      </c>
      <c r="C163" s="9">
        <v>3168</v>
      </c>
      <c r="D163" s="0">
        <v>6</v>
      </c>
      <c r="E163" s="10">
        <f>HYPERLINK("http://www.lingerieopt.ru/images/original/42d261c9-7ce3-4363-bf78-6c4832b08012.jpg","Фото")</f>
      </c>
    </row>
    <row r="164">
      <c r="A164" s="7">
        <f>HYPERLINK("http://www.lingerieopt.ru/item/6135-atlasnji-romper-so-shnurovkoi-na-spine/","6135")</f>
      </c>
      <c r="B164" s="8" t="s">
        <v>161</v>
      </c>
      <c r="C164" s="9">
        <v>3168</v>
      </c>
      <c r="D164" s="0">
        <v>3</v>
      </c>
      <c r="E164" s="10">
        <f>HYPERLINK("http://www.lingerieopt.ru/images/original/42d261c9-7ce3-4363-bf78-6c4832b08012.jpg","Фото")</f>
      </c>
    </row>
    <row r="165">
      <c r="A165" s="7">
        <f>HYPERLINK("http://www.lingerieopt.ru/item/6135-atlasnji-romper-so-shnurovkoi-na-spine/","6135")</f>
      </c>
      <c r="B165" s="8" t="s">
        <v>162</v>
      </c>
      <c r="C165" s="9">
        <v>3168</v>
      </c>
      <c r="D165" s="0">
        <v>6</v>
      </c>
      <c r="E165" s="10">
        <f>HYPERLINK("http://www.lingerieopt.ru/images/original/42d261c9-7ce3-4363-bf78-6c4832b08012.jpg","Фото")</f>
      </c>
    </row>
    <row r="166">
      <c r="A166" s="7">
        <f>HYPERLINK("http://www.lingerieopt.ru/item/6138-poluprozrachnji-svobodnji-teddi/","6138")</f>
      </c>
      <c r="B166" s="8" t="s">
        <v>163</v>
      </c>
      <c r="C166" s="9">
        <v>2012</v>
      </c>
      <c r="D166" s="0">
        <v>6</v>
      </c>
      <c r="E166" s="10">
        <f>HYPERLINK("http://www.lingerieopt.ru/images/original/b0682645-d829-4545-8cbf-b0f71caf1462.jpg","Фото")</f>
      </c>
    </row>
    <row r="167">
      <c r="A167" s="7">
        <f>HYPERLINK("http://www.lingerieopt.ru/item/6144-shifonovji-teddi-s-lifom-iz-kruzheva/","6144")</f>
      </c>
      <c r="B167" s="8" t="s">
        <v>164</v>
      </c>
      <c r="C167" s="9">
        <v>1949</v>
      </c>
      <c r="D167" s="0">
        <v>31</v>
      </c>
      <c r="E167" s="10">
        <f>HYPERLINK("http://www.lingerieopt.ru/images/original/b98f1faa-edd7-4333-85f5-e91ec9a7e2d6.jpg","Фото")</f>
      </c>
    </row>
    <row r="168">
      <c r="A168" s="7">
        <f>HYPERLINK("http://www.lingerieopt.ru/item/6248-bodi-na-tonkih-bretelyah-s-dostupom/","6248")</f>
      </c>
      <c r="B168" s="8" t="s">
        <v>165</v>
      </c>
      <c r="C168" s="9">
        <v>636</v>
      </c>
      <c r="D168" s="0">
        <v>29</v>
      </c>
      <c r="E168" s="10">
        <f>HYPERLINK("http://www.lingerieopt.ru/images/original/c49efdc5-0d99-40be-b6ea-390db3c7dc73.jpg","Фото")</f>
      </c>
    </row>
    <row r="169">
      <c r="A169" s="7">
        <f>HYPERLINK("http://www.lingerieopt.ru/item/6248-bodi-na-tonkih-bretelyah-s-dostupom/","6248")</f>
      </c>
      <c r="B169" s="8" t="s">
        <v>166</v>
      </c>
      <c r="C169" s="9">
        <v>636</v>
      </c>
      <c r="D169" s="0">
        <v>43</v>
      </c>
      <c r="E169" s="10">
        <f>HYPERLINK("http://www.lingerieopt.ru/images/original/c49efdc5-0d99-40be-b6ea-390db3c7dc73.jpg","Фото")</f>
      </c>
    </row>
    <row r="170">
      <c r="A170" s="7">
        <f>HYPERLINK("http://www.lingerieopt.ru/item/6248-bodi-na-tonkih-bretelyah-s-dostupom/","6248")</f>
      </c>
      <c r="B170" s="8" t="s">
        <v>167</v>
      </c>
      <c r="C170" s="9">
        <v>636</v>
      </c>
      <c r="D170" s="0">
        <v>15</v>
      </c>
      <c r="E170" s="10">
        <f>HYPERLINK("http://www.lingerieopt.ru/images/original/c49efdc5-0d99-40be-b6ea-390db3c7dc73.jpg","Фото")</f>
      </c>
    </row>
    <row r="171">
      <c r="A171" s="7">
        <f>HYPERLINK("http://www.lingerieopt.ru/item/6248-bodi-na-tonkih-bretelyah-s-dostupom/","6248")</f>
      </c>
      <c r="B171" s="8" t="s">
        <v>168</v>
      </c>
      <c r="C171" s="9">
        <v>636</v>
      </c>
      <c r="D171" s="0">
        <v>4</v>
      </c>
      <c r="E171" s="10">
        <f>HYPERLINK("http://www.lingerieopt.ru/images/original/c49efdc5-0d99-40be-b6ea-390db3c7dc73.jpg","Фото")</f>
      </c>
    </row>
    <row r="172">
      <c r="A172" s="7">
        <f>HYPERLINK("http://www.lingerieopt.ru/item/6279-bodi-claudia-so-shnurovkoi-na-grudi-i-setchatjmi-vstavkami/","6279")</f>
      </c>
      <c r="B172" s="8" t="s">
        <v>169</v>
      </c>
      <c r="C172" s="9">
        <v>2183</v>
      </c>
      <c r="D172" s="0">
        <v>2</v>
      </c>
      <c r="E172" s="10">
        <f>HYPERLINK("http://www.lingerieopt.ru/images/original/f9838898-8f54-48ba-947a-966acdbd983b.jpg","Фото")</f>
      </c>
    </row>
    <row r="173">
      <c r="A173" s="7">
        <f>HYPERLINK("http://www.lingerieopt.ru/item/6279-bodi-claudia-so-shnurovkoi-na-grudi-i-setchatjmi-vstavkami/","6279")</f>
      </c>
      <c r="B173" s="8" t="s">
        <v>170</v>
      </c>
      <c r="C173" s="9">
        <v>2183</v>
      </c>
      <c r="D173" s="0">
        <v>4</v>
      </c>
      <c r="E173" s="10">
        <f>HYPERLINK("http://www.lingerieopt.ru/images/original/f9838898-8f54-48ba-947a-966acdbd983b.jpg","Фото")</f>
      </c>
    </row>
    <row r="174">
      <c r="A174" s="7">
        <f>HYPERLINK("http://www.lingerieopt.ru/item/6280-teddi-esther-s-otkrjtoi-popoi/","6280")</f>
      </c>
      <c r="B174" s="8" t="s">
        <v>171</v>
      </c>
      <c r="C174" s="9">
        <v>1812</v>
      </c>
      <c r="D174" s="0">
        <v>12</v>
      </c>
      <c r="E174" s="10">
        <f>HYPERLINK("http://www.lingerieopt.ru/images/original/3c1347aa-fd51-410b-8ebf-d8cfb00ce26e.jpg","Фото")</f>
      </c>
    </row>
    <row r="175">
      <c r="A175" s="7">
        <f>HYPERLINK("http://www.lingerieopt.ru/item/6280-teddi-esther-s-otkrjtoi-popoi/","6280")</f>
      </c>
      <c r="B175" s="8" t="s">
        <v>172</v>
      </c>
      <c r="C175" s="9">
        <v>1812</v>
      </c>
      <c r="D175" s="0">
        <v>10</v>
      </c>
      <c r="E175" s="10">
        <f>HYPERLINK("http://www.lingerieopt.ru/images/original/3c1347aa-fd51-410b-8ebf-d8cfb00ce26e.jpg","Фото")</f>
      </c>
    </row>
    <row r="176">
      <c r="A176" s="7">
        <f>HYPERLINK("http://www.lingerieopt.ru/item/6281-bodi-evelyne-s-kontrastnoi-shnurovkoi-i-perchatkami/","6281")</f>
      </c>
      <c r="B176" s="8" t="s">
        <v>173</v>
      </c>
      <c r="C176" s="9">
        <v>1858</v>
      </c>
      <c r="D176" s="0">
        <v>0</v>
      </c>
      <c r="E176" s="10">
        <f>HYPERLINK("http://www.lingerieopt.ru/images/original/aaeff1a4-8c7d-422d-9a18-8712d04223d8.jpg","Фото")</f>
      </c>
    </row>
    <row r="177">
      <c r="A177" s="7">
        <f>HYPERLINK("http://www.lingerieopt.ru/item/6281-bodi-evelyne-s-kontrastnoi-shnurovkoi-i-perchatkami/","6281")</f>
      </c>
      <c r="B177" s="8" t="s">
        <v>174</v>
      </c>
      <c r="C177" s="9">
        <v>1858</v>
      </c>
      <c r="D177" s="0">
        <v>3</v>
      </c>
      <c r="E177" s="10">
        <f>HYPERLINK("http://www.lingerieopt.ru/images/original/aaeff1a4-8c7d-422d-9a18-8712d04223d8.jpg","Фото")</f>
      </c>
    </row>
    <row r="178">
      <c r="A178" s="7">
        <f>HYPERLINK("http://www.lingerieopt.ru/item/6282-bodi-inez-s-effektom-mokroi-tkani/","6282")</f>
      </c>
      <c r="B178" s="8" t="s">
        <v>175</v>
      </c>
      <c r="C178" s="9">
        <v>1858</v>
      </c>
      <c r="D178" s="0">
        <v>4</v>
      </c>
      <c r="E178" s="10">
        <f>HYPERLINK("http://www.lingerieopt.ru/images/original/ea8bd362-0476-494b-93d4-914f46e12593.jpg","Фото")</f>
      </c>
    </row>
    <row r="179">
      <c r="A179" s="7">
        <f>HYPERLINK("http://www.lingerieopt.ru/item/6282-bodi-inez-s-effektom-mokroi-tkani/","6282")</f>
      </c>
      <c r="B179" s="8" t="s">
        <v>176</v>
      </c>
      <c r="C179" s="9">
        <v>1858</v>
      </c>
      <c r="D179" s="0">
        <v>12</v>
      </c>
      <c r="E179" s="10">
        <f>HYPERLINK("http://www.lingerieopt.ru/images/original/ea8bd362-0476-494b-93d4-914f46e12593.jpg","Фото")</f>
      </c>
    </row>
    <row r="180">
      <c r="A180" s="7">
        <f>HYPERLINK("http://www.lingerieopt.ru/item/6285-bodi-zoe-s-azhurnjm-lifom-i-otkrjtoi-spinoi/","6285")</f>
      </c>
      <c r="B180" s="8" t="s">
        <v>177</v>
      </c>
      <c r="C180" s="9">
        <v>2045</v>
      </c>
      <c r="D180" s="0">
        <v>1</v>
      </c>
      <c r="E180" s="10">
        <f>HYPERLINK("http://www.lingerieopt.ru/images/original/e9666d06-a26d-493e-989a-8916767680c9.jpg","Фото")</f>
      </c>
    </row>
    <row r="181">
      <c r="A181" s="7">
        <f>HYPERLINK("http://www.lingerieopt.ru/item/6285-bodi-zoe-s-azhurnjm-lifom-i-otkrjtoi-spinoi/","6285")</f>
      </c>
      <c r="B181" s="8" t="s">
        <v>178</v>
      </c>
      <c r="C181" s="9">
        <v>2045</v>
      </c>
      <c r="D181" s="0">
        <v>1</v>
      </c>
      <c r="E181" s="10">
        <f>HYPERLINK("http://www.lingerieopt.ru/images/original/e9666d06-a26d-493e-989a-8916767680c9.jpg","Фото")</f>
      </c>
    </row>
    <row r="182">
      <c r="A182" s="7">
        <f>HYPERLINK("http://www.lingerieopt.ru/item/6286-poluprozrachnoe-bodi-simone-s-azhurnoi-maskoi-dlya-glaz/","6286")</f>
      </c>
      <c r="B182" s="8" t="s">
        <v>179</v>
      </c>
      <c r="C182" s="9">
        <v>1749</v>
      </c>
      <c r="D182" s="0">
        <v>2</v>
      </c>
      <c r="E182" s="10">
        <f>HYPERLINK("http://www.lingerieopt.ru/images/original/67a5f764-d627-45b9-ac03-603742cf4e99.jpg","Фото")</f>
      </c>
    </row>
    <row r="183">
      <c r="A183" s="7">
        <f>HYPERLINK("http://www.lingerieopt.ru/item/6286-poluprozrachnoe-bodi-simone-s-azhurnoi-maskoi-dlya-glaz/","6286")</f>
      </c>
      <c r="B183" s="8" t="s">
        <v>180</v>
      </c>
      <c r="C183" s="9">
        <v>1749</v>
      </c>
      <c r="D183" s="0">
        <v>2</v>
      </c>
      <c r="E183" s="10">
        <f>HYPERLINK("http://www.lingerieopt.ru/images/original/67a5f764-d627-45b9-ac03-603742cf4e99.jpg","Фото")</f>
      </c>
    </row>
    <row r="184">
      <c r="A184" s="7">
        <f>HYPERLINK("http://www.lingerieopt.ru/item/6286-poluprozrachnoe-bodi-simone-s-azhurnoi-maskoi-dlya-glaz/","6286")</f>
      </c>
      <c r="B184" s="8" t="s">
        <v>181</v>
      </c>
      <c r="C184" s="9">
        <v>1749</v>
      </c>
      <c r="D184" s="0">
        <v>0</v>
      </c>
      <c r="E184" s="10">
        <f>HYPERLINK("http://www.lingerieopt.ru/images/original/67a5f764-d627-45b9-ac03-603742cf4e99.jpg","Фото")</f>
      </c>
    </row>
    <row r="185">
      <c r="A185" s="7">
        <f>HYPERLINK("http://www.lingerieopt.ru/item/6286-poluprozrachnoe-bodi-simone-s-azhurnoi-maskoi-dlya-glaz/","6286")</f>
      </c>
      <c r="B185" s="8" t="s">
        <v>182</v>
      </c>
      <c r="C185" s="9">
        <v>1749</v>
      </c>
      <c r="D185" s="0">
        <v>0</v>
      </c>
      <c r="E185" s="10">
        <f>HYPERLINK("http://www.lingerieopt.ru/images/original/67a5f764-d627-45b9-ac03-603742cf4e99.jpg","Фото")</f>
      </c>
    </row>
    <row r="186">
      <c r="A186" s="7">
        <f>HYPERLINK("http://www.lingerieopt.ru/item/6286-poluprozrachnoe-bodi-simone-s-azhurnoi-maskoi-dlya-glaz/","6286")</f>
      </c>
      <c r="B186" s="8" t="s">
        <v>183</v>
      </c>
      <c r="C186" s="9">
        <v>1749</v>
      </c>
      <c r="D186" s="0">
        <v>0</v>
      </c>
      <c r="E186" s="10">
        <f>HYPERLINK("http://www.lingerieopt.ru/images/original/67a5f764-d627-45b9-ac03-603742cf4e99.jpg","Фото")</f>
      </c>
    </row>
    <row r="187">
      <c r="A187" s="7">
        <f>HYPERLINK("http://www.lingerieopt.ru/item/6309-bodi-isabelle-s-prozrachnoi-vstavkoi-na-licevoi-chasti/","6309")</f>
      </c>
      <c r="B187" s="8" t="s">
        <v>184</v>
      </c>
      <c r="C187" s="9">
        <v>2055</v>
      </c>
      <c r="D187" s="0">
        <v>20</v>
      </c>
      <c r="E187" s="10">
        <f>HYPERLINK("http://www.lingerieopt.ru/images/original/199e89aa-0823-4bf7-a60d-22e8424699b8.jpg","Фото")</f>
      </c>
    </row>
    <row r="188">
      <c r="A188" s="7">
        <f>HYPERLINK("http://www.lingerieopt.ru/item/6309-bodi-isabelle-s-prozrachnoi-vstavkoi-na-licevoi-chasti/","6309")</f>
      </c>
      <c r="B188" s="8" t="s">
        <v>185</v>
      </c>
      <c r="C188" s="9">
        <v>2055</v>
      </c>
      <c r="D188" s="0">
        <v>0</v>
      </c>
      <c r="E188" s="10">
        <f>HYPERLINK("http://www.lingerieopt.ru/images/original/199e89aa-0823-4bf7-a60d-22e8424699b8.jpg","Фото")</f>
      </c>
    </row>
    <row r="189">
      <c r="A189" s="7">
        <f>HYPERLINK("http://www.lingerieopt.ru/item/6350-effektnoe-bodi-ogon-s-otkrjtoi-grudyu/","6350")</f>
      </c>
      <c r="B189" s="8" t="s">
        <v>186</v>
      </c>
      <c r="C189" s="9">
        <v>1643</v>
      </c>
      <c r="D189" s="0">
        <v>10</v>
      </c>
      <c r="E189" s="10">
        <f>HYPERLINK("http://www.lingerieopt.ru/images/original/b071b6fa-1e96-4d29-9768-edf306fe4389.jpg","Фото")</f>
      </c>
    </row>
    <row r="190">
      <c r="A190" s="7">
        <f>HYPERLINK("http://www.lingerieopt.ru/item/6351-bodi-rozovaya-koketka-s-poluprozrachnjm-lifom/","6351")</f>
      </c>
      <c r="B190" s="8" t="s">
        <v>187</v>
      </c>
      <c r="C190" s="9">
        <v>1670</v>
      </c>
      <c r="D190" s="0">
        <v>8</v>
      </c>
      <c r="E190" s="10">
        <f>HYPERLINK("http://www.lingerieopt.ru/images/original/e3d959af-a527-4379-8c9f-75739008889b.jpg","Фото")</f>
      </c>
    </row>
    <row r="191">
      <c r="A191" s="7">
        <f>HYPERLINK("http://www.lingerieopt.ru/item/6352-ocharovatelnoe-bodi-nezhnost-s-poluprozrachnoi-vstavkoi-na-zhivote/","6352")</f>
      </c>
      <c r="B191" s="8" t="s">
        <v>188</v>
      </c>
      <c r="C191" s="9">
        <v>1699</v>
      </c>
      <c r="D191" s="0">
        <v>14</v>
      </c>
      <c r="E191" s="10">
        <f>HYPERLINK("http://www.lingerieopt.ru/images/original/5f9ff1a2-6dcf-4728-a2d9-88fe89dd7c98.jpg","Фото")</f>
      </c>
    </row>
    <row r="192">
      <c r="A192" s="7">
        <f>HYPERLINK("http://www.lingerieopt.ru/item/6353-ultraprivlekatelnoe-bodi-soblazn-s-prozrachnjmi-vstavkami/","6353")</f>
      </c>
      <c r="B192" s="8" t="s">
        <v>189</v>
      </c>
      <c r="C192" s="9">
        <v>1808</v>
      </c>
      <c r="D192" s="0">
        <v>6</v>
      </c>
      <c r="E192" s="10">
        <f>HYPERLINK("http://www.lingerieopt.ru/images/original/ec3491b4-a11e-4aa6-af3f-dd8bb1480543.jpg","Фото")</f>
      </c>
    </row>
    <row r="193">
      <c r="A193" s="7">
        <f>HYPERLINK("http://www.lingerieopt.ru/item/6354-otkrovennoe-bodi-strast-s-otkrjtoi-grudyu/","6354")</f>
      </c>
      <c r="B193" s="8" t="s">
        <v>190</v>
      </c>
      <c r="C193" s="9">
        <v>1388</v>
      </c>
      <c r="D193" s="0">
        <v>7</v>
      </c>
      <c r="E193" s="10">
        <f>HYPERLINK("http://www.lingerieopt.ru/images/original/c57d065c-4e1a-45b7-bd6e-04d647bd1b6a.jpg","Фото")</f>
      </c>
    </row>
    <row r="194">
      <c r="A194" s="7">
        <f>HYPERLINK("http://www.lingerieopt.ru/item/6355-otkrovennoe-bodi-s-naruchnikami/","6355")</f>
      </c>
      <c r="B194" s="8" t="s">
        <v>191</v>
      </c>
      <c r="C194" s="9">
        <v>1416</v>
      </c>
      <c r="D194" s="0">
        <v>10</v>
      </c>
      <c r="E194" s="10">
        <f>HYPERLINK("http://www.lingerieopt.ru/images/original/887c0dec-d637-4466-9677-d06336a04986.jpg","Фото")</f>
      </c>
    </row>
    <row r="195">
      <c r="A195" s="7">
        <f>HYPERLINK("http://www.lingerieopt.ru/item/6387-effektnoe-bodi-claudia-premium-so-shnurovkoi-na-grudi-setchatjmi-vstavkami-i-chulkami-v-komplekte/","6387")</f>
      </c>
      <c r="B195" s="8" t="s">
        <v>192</v>
      </c>
      <c r="C195" s="9">
        <v>2601</v>
      </c>
      <c r="D195" s="0">
        <v>5</v>
      </c>
      <c r="E195" s="10">
        <f>HYPERLINK("http://www.lingerieopt.ru/images/original/cf417071-afe4-4418-a1b3-dc27e24ea6d7.jpg","Фото")</f>
      </c>
    </row>
    <row r="196">
      <c r="A196" s="7">
        <f>HYPERLINK("http://www.lingerieopt.ru/item/6387-effektnoe-bodi-claudia-premium-so-shnurovkoi-na-grudi-setchatjmi-vstavkami-i-chulkami-v-komplekte/","6387")</f>
      </c>
      <c r="B196" s="8" t="s">
        <v>193</v>
      </c>
      <c r="C196" s="9">
        <v>2601</v>
      </c>
      <c r="D196" s="0">
        <v>0</v>
      </c>
      <c r="E196" s="10">
        <f>HYPERLINK("http://www.lingerieopt.ru/images/original/cf417071-afe4-4418-a1b3-dc27e24ea6d7.jpg","Фото")</f>
      </c>
    </row>
    <row r="197">
      <c r="A197" s="7">
        <f>HYPERLINK("http://www.lingerieopt.ru/item/6388-soblaznitelnoe-bodi-hannah-s-krasnjmi-shnurovkami-i-perchatkami/","6388")</f>
      </c>
      <c r="B197" s="8" t="s">
        <v>194</v>
      </c>
      <c r="C197" s="9">
        <v>2152</v>
      </c>
      <c r="D197" s="0">
        <v>1</v>
      </c>
      <c r="E197" s="10">
        <f>HYPERLINK("http://www.lingerieopt.ru/images/original/1237d5bf-6e0a-42e7-884e-d7fc74a2f466.jpg","Фото")</f>
      </c>
    </row>
    <row r="198">
      <c r="A198" s="7">
        <f>HYPERLINK("http://www.lingerieopt.ru/item/6480-originalnoe-bodi-v-obraznoi-formj/","6480")</f>
      </c>
      <c r="B198" s="8" t="s">
        <v>195</v>
      </c>
      <c r="C198" s="9">
        <v>824</v>
      </c>
      <c r="D198" s="0">
        <v>6</v>
      </c>
      <c r="E198" s="10">
        <f>HYPERLINK("http://www.lingerieopt.ru/images/original/a3fc04f2-b29e-4d3b-a5c2-9f2825444198.jpg","Фото")</f>
      </c>
    </row>
    <row r="199">
      <c r="A199" s="7">
        <f>HYPERLINK("http://www.lingerieopt.ru/item/6485-kruzhevnoe-bodi-s-dlinnjmi-rukavchikami/","6485")</f>
      </c>
      <c r="B199" s="8" t="s">
        <v>196</v>
      </c>
      <c r="C199" s="9">
        <v>1147</v>
      </c>
      <c r="D199" s="0">
        <v>1</v>
      </c>
      <c r="E199" s="10">
        <f>HYPERLINK("http://www.lingerieopt.ru/images/original/1e645eb2-3f0b-42ae-949b-f44a170564de.jpg","Фото")</f>
      </c>
    </row>
    <row r="200">
      <c r="A200" s="7">
        <f>HYPERLINK("http://www.lingerieopt.ru/item/6486-ocharovatelnji-teddi-s-kruzhevnjmi-rukavchikami-i-strazami/","6486")</f>
      </c>
      <c r="B200" s="8" t="s">
        <v>197</v>
      </c>
      <c r="C200" s="9">
        <v>1954</v>
      </c>
      <c r="D200" s="0">
        <v>1</v>
      </c>
      <c r="E200" s="10">
        <f>HYPERLINK("http://www.lingerieopt.ru/images/original/8e7a0275-227d-4ac4-bb19-9e2d8b9e930a.jpg","Фото")</f>
      </c>
    </row>
    <row r="201">
      <c r="A201" s="7">
        <f>HYPERLINK("http://www.lingerieopt.ru/item/6486-ocharovatelnji-teddi-s-kruzhevnjmi-rukavchikami-i-strazami/","6486")</f>
      </c>
      <c r="B201" s="8" t="s">
        <v>198</v>
      </c>
      <c r="C201" s="9">
        <v>1954</v>
      </c>
      <c r="D201" s="0">
        <v>1</v>
      </c>
      <c r="E201" s="10">
        <f>HYPERLINK("http://www.lingerieopt.ru/images/original/8e7a0275-227d-4ac4-bb19-9e2d8b9e930a.jpg","Фото")</f>
      </c>
    </row>
    <row r="202">
      <c r="A202" s="7">
        <f>HYPERLINK("http://www.lingerieopt.ru/item/6588-kruzhevnoe-bodi-alexandra-s-maskoi-na-glaza/","6588")</f>
      </c>
      <c r="B202" s="8" t="s">
        <v>199</v>
      </c>
      <c r="C202" s="9">
        <v>827</v>
      </c>
      <c r="D202" s="0">
        <v>7</v>
      </c>
      <c r="E202" s="10">
        <f>HYPERLINK("http://www.lingerieopt.ru/images/original/5cb3682b-d6e7-4cf0-9ebd-568dfc51625c.jpg","Фото")</f>
      </c>
    </row>
    <row r="203">
      <c r="A203" s="7">
        <f>HYPERLINK("http://www.lingerieopt.ru/item/6588-kruzhevnoe-bodi-alexandra-s-maskoi-na-glaza/","6588")</f>
      </c>
      <c r="B203" s="8" t="s">
        <v>200</v>
      </c>
      <c r="C203" s="9">
        <v>827</v>
      </c>
      <c r="D203" s="0">
        <v>9</v>
      </c>
      <c r="E203" s="10">
        <f>HYPERLINK("http://www.lingerieopt.ru/images/original/5cb3682b-d6e7-4cf0-9ebd-568dfc51625c.jpg","Фото")</f>
      </c>
    </row>
    <row r="204">
      <c r="A204" s="7">
        <f>HYPERLINK("http://www.lingerieopt.ru/item/6588-kruzhevnoe-bodi-alexandra-s-maskoi-na-glaza/","6588")</f>
      </c>
      <c r="B204" s="8" t="s">
        <v>201</v>
      </c>
      <c r="C204" s="9">
        <v>827</v>
      </c>
      <c r="D204" s="0">
        <v>3</v>
      </c>
      <c r="E204" s="10">
        <f>HYPERLINK("http://www.lingerieopt.ru/images/original/5cb3682b-d6e7-4cf0-9ebd-568dfc51625c.jpg","Фото")</f>
      </c>
    </row>
    <row r="205">
      <c r="A205" s="7">
        <f>HYPERLINK("http://www.lingerieopt.ru/item/6588-kruzhevnoe-bodi-alexandra-s-maskoi-na-glaza/","6588")</f>
      </c>
      <c r="B205" s="8" t="s">
        <v>202</v>
      </c>
      <c r="C205" s="9">
        <v>827</v>
      </c>
      <c r="D205" s="0">
        <v>7</v>
      </c>
      <c r="E205" s="10">
        <f>HYPERLINK("http://www.lingerieopt.ru/images/original/5cb3682b-d6e7-4cf0-9ebd-568dfc51625c.jpg","Фото")</f>
      </c>
    </row>
    <row r="206">
      <c r="A206" s="7">
        <f>HYPERLINK("http://www.lingerieopt.ru/item/6591-bodi-aurea-s-otkrjtjm-byustom-i-vjrezami/","6591")</f>
      </c>
      <c r="B206" s="8" t="s">
        <v>203</v>
      </c>
      <c r="C206" s="9">
        <v>1817</v>
      </c>
      <c r="D206" s="0">
        <v>3</v>
      </c>
      <c r="E206" s="10">
        <f>HYPERLINK("http://www.lingerieopt.ru/images/original/aab33dc5-eeb4-4c26-9a0c-d982f5069b35.jpg","Фото")</f>
      </c>
    </row>
    <row r="207">
      <c r="A207" s="7">
        <f>HYPERLINK("http://www.lingerieopt.ru/item/6591-bodi-aurea-s-otkrjtjm-byustom-i-vjrezami/","6591")</f>
      </c>
      <c r="B207" s="8" t="s">
        <v>204</v>
      </c>
      <c r="C207" s="9">
        <v>1817</v>
      </c>
      <c r="D207" s="0">
        <v>0</v>
      </c>
      <c r="E207" s="10">
        <f>HYPERLINK("http://www.lingerieopt.ru/images/original/aab33dc5-eeb4-4c26-9a0c-d982f5069b35.jpg","Фото")</f>
      </c>
    </row>
    <row r="208">
      <c r="A208" s="7">
        <f>HYPERLINK("http://www.lingerieopt.ru/item/6591-bodi-aurea-s-otkrjtjm-byustom-i-vjrezami/","6591")</f>
      </c>
      <c r="B208" s="8" t="s">
        <v>205</v>
      </c>
      <c r="C208" s="9">
        <v>1817</v>
      </c>
      <c r="D208" s="0">
        <v>4</v>
      </c>
      <c r="E208" s="10">
        <f>HYPERLINK("http://www.lingerieopt.ru/images/original/aab33dc5-eeb4-4c26-9a0c-d982f5069b35.jpg","Фото")</f>
      </c>
    </row>
    <row r="209">
      <c r="A209" s="7">
        <f>HYPERLINK("http://www.lingerieopt.ru/item/6624-igrivoe-bodi-cassandra-s-zastezhkami-molniyami/","6624")</f>
      </c>
      <c r="B209" s="8" t="s">
        <v>206</v>
      </c>
      <c r="C209" s="9">
        <v>1521</v>
      </c>
      <c r="D209" s="0">
        <v>16</v>
      </c>
      <c r="E209" s="10">
        <f>HYPERLINK("http://www.lingerieopt.ru/images/original/717b5a1e-f1a5-458f-90c6-35f105797fcc.jpg","Фото")</f>
      </c>
    </row>
    <row r="210">
      <c r="A210" s="7">
        <f>HYPERLINK("http://www.lingerieopt.ru/item/6624-igrivoe-bodi-cassandra-s-zastezhkami-molniyami/","6624")</f>
      </c>
      <c r="B210" s="8" t="s">
        <v>207</v>
      </c>
      <c r="C210" s="9">
        <v>1521</v>
      </c>
      <c r="D210" s="0">
        <v>6</v>
      </c>
      <c r="E210" s="10">
        <f>HYPERLINK("http://www.lingerieopt.ru/images/original/717b5a1e-f1a5-458f-90c6-35f105797fcc.jpg","Фото")</f>
      </c>
    </row>
    <row r="211">
      <c r="A211" s="7">
        <f>HYPERLINK("http://www.lingerieopt.ru/item/6850-teddi-slevika-s-intimnjm-dostupom/","6850")</f>
      </c>
      <c r="B211" s="8" t="s">
        <v>208</v>
      </c>
      <c r="C211" s="9">
        <v>1603</v>
      </c>
      <c r="D211" s="0">
        <v>3</v>
      </c>
      <c r="E211" s="10">
        <f>HYPERLINK("http://www.lingerieopt.ru/images/original/32c2dfc7-99cb-4a0a-8d29-1e7a2b8816b1.jpg","Фото")</f>
      </c>
    </row>
    <row r="212">
      <c r="A212" s="7">
        <f>HYPERLINK("http://www.lingerieopt.ru/item/6850-teddi-slevika-s-intimnjm-dostupom/","6850")</f>
      </c>
      <c r="B212" s="8" t="s">
        <v>209</v>
      </c>
      <c r="C212" s="9">
        <v>1603</v>
      </c>
      <c r="D212" s="0">
        <v>0</v>
      </c>
      <c r="E212" s="10">
        <f>HYPERLINK("http://www.lingerieopt.ru/images/original/32c2dfc7-99cb-4a0a-8d29-1e7a2b8816b1.jpg","Фото")</f>
      </c>
    </row>
    <row r="213">
      <c r="A213" s="7">
        <f>HYPERLINK("http://www.lingerieopt.ru/item/6881-poluprozrachnji-teddi-amanta-s-kruzhevnjm-uzorom-po-bokam/","6881")</f>
      </c>
      <c r="B213" s="8" t="s">
        <v>210</v>
      </c>
      <c r="C213" s="9">
        <v>1577</v>
      </c>
      <c r="D213" s="0">
        <v>6</v>
      </c>
      <c r="E213" s="10">
        <f>HYPERLINK("http://www.lingerieopt.ru/images/original/23411b32-8972-4cd6-870f-17bc4d051bfa.jpg","Фото")</f>
      </c>
    </row>
    <row r="214">
      <c r="A214" s="7">
        <f>HYPERLINK("http://www.lingerieopt.ru/item/6881-poluprozrachnji-teddi-amanta-s-kruzhevnjm-uzorom-po-bokam/","6881")</f>
      </c>
      <c r="B214" s="8" t="s">
        <v>211</v>
      </c>
      <c r="C214" s="9">
        <v>1577</v>
      </c>
      <c r="D214" s="0">
        <v>8</v>
      </c>
      <c r="E214" s="10">
        <f>HYPERLINK("http://www.lingerieopt.ru/images/original/23411b32-8972-4cd6-870f-17bc4d051bfa.jpg","Фото")</f>
      </c>
    </row>
    <row r="215">
      <c r="A215" s="7">
        <f>HYPERLINK("http://www.lingerieopt.ru/item/6910-kruzhevnoi-teddi-imperia-s-perepleteniem-lent/","6910")</f>
      </c>
      <c r="B215" s="8" t="s">
        <v>212</v>
      </c>
      <c r="C215" s="9">
        <v>978</v>
      </c>
      <c r="D215" s="0">
        <v>9</v>
      </c>
      <c r="E215" s="10">
        <f>HYPERLINK("http://www.lingerieopt.ru/images/original/8fae9e00-0853-4c6f-8a1a-c8a1a21ca244.jpg","Фото")</f>
      </c>
    </row>
    <row r="216">
      <c r="A216" s="7">
        <f>HYPERLINK("http://www.lingerieopt.ru/item/6911-poluprozrachnji-teddi-bondy-s-shirokimi-lentami/","6911")</f>
      </c>
      <c r="B216" s="8" t="s">
        <v>213</v>
      </c>
      <c r="C216" s="9">
        <v>1346</v>
      </c>
      <c r="D216" s="0">
        <v>7</v>
      </c>
      <c r="E216" s="10">
        <f>HYPERLINK("http://www.lingerieopt.ru/images/original/9fe02cff-6ebd-4e16-b46c-b1243d62ea25.jpg","Фото")</f>
      </c>
    </row>
    <row r="217">
      <c r="A217" s="7">
        <f>HYPERLINK("http://www.lingerieopt.ru/item/6911-poluprozrachnji-teddi-bondy-s-shirokimi-lentami/","6911")</f>
      </c>
      <c r="B217" s="8" t="s">
        <v>214</v>
      </c>
      <c r="C217" s="9">
        <v>1346</v>
      </c>
      <c r="D217" s="0">
        <v>10</v>
      </c>
      <c r="E217" s="10">
        <f>HYPERLINK("http://www.lingerieopt.ru/images/original/9fe02cff-6ebd-4e16-b46c-b1243d62ea25.jpg","Фото")</f>
      </c>
    </row>
    <row r="218">
      <c r="A218" s="7">
        <f>HYPERLINK("http://www.lingerieopt.ru/item/6913-teddi-luiza-s-kruzhevnjmi-uzorami/","6913")</f>
      </c>
      <c r="B218" s="8" t="s">
        <v>215</v>
      </c>
      <c r="C218" s="9">
        <v>911</v>
      </c>
      <c r="D218" s="0">
        <v>3</v>
      </c>
      <c r="E218" s="10">
        <f>HYPERLINK("http://www.lingerieopt.ru/images/original/dcd6067d-b923-4c00-be39-d60af9119ebc.jpg","Фото")</f>
      </c>
    </row>
    <row r="219">
      <c r="A219" s="7">
        <f>HYPERLINK("http://www.lingerieopt.ru/item/6913-teddi-luiza-s-kruzhevnjmi-uzorami/","6913")</f>
      </c>
      <c r="B219" s="8" t="s">
        <v>216</v>
      </c>
      <c r="C219" s="9">
        <v>911</v>
      </c>
      <c r="D219" s="0">
        <v>6</v>
      </c>
      <c r="E219" s="10">
        <f>HYPERLINK("http://www.lingerieopt.ru/images/original/dcd6067d-b923-4c00-be39-d60af9119ebc.jpg","Фото")</f>
      </c>
    </row>
    <row r="220">
      <c r="A220" s="7">
        <f>HYPERLINK("http://www.lingerieopt.ru/item/6920-bodi-miss-whiplash-na-molnii-vo-vsyu-dlinu/","6920")</f>
      </c>
      <c r="B220" s="8" t="s">
        <v>217</v>
      </c>
      <c r="C220" s="9">
        <v>2107</v>
      </c>
      <c r="D220" s="0">
        <v>3</v>
      </c>
      <c r="E220" s="10">
        <f>HYPERLINK("http://www.lingerieopt.ru/images/original/b9eb7dfe-73b4-46ca-89f1-6608994039e4.jpg","Фото")</f>
      </c>
    </row>
    <row r="221">
      <c r="A221" s="7">
        <f>HYPERLINK("http://www.lingerieopt.ru/item/6920-bodi-miss-whiplash-na-molnii-vo-vsyu-dlinu/","6920")</f>
      </c>
      <c r="B221" s="8" t="s">
        <v>218</v>
      </c>
      <c r="C221" s="9">
        <v>2107</v>
      </c>
      <c r="D221" s="0">
        <v>0</v>
      </c>
      <c r="E221" s="10">
        <f>HYPERLINK("http://www.lingerieopt.ru/images/original/b9eb7dfe-73b4-46ca-89f1-6608994039e4.jpg","Фото")</f>
      </c>
    </row>
    <row r="222">
      <c r="A222" s="7">
        <f>HYPERLINK("http://www.lingerieopt.ru/item/6920-bodi-miss-whiplash-na-molnii-vo-vsyu-dlinu/","6920")</f>
      </c>
      <c r="B222" s="8" t="s">
        <v>219</v>
      </c>
      <c r="C222" s="9">
        <v>2107</v>
      </c>
      <c r="D222" s="0">
        <v>3</v>
      </c>
      <c r="E222" s="10">
        <f>HYPERLINK("http://www.lingerieopt.ru/images/original/b9eb7dfe-73b4-46ca-89f1-6608994039e4.jpg","Фото")</f>
      </c>
    </row>
    <row r="223">
      <c r="A223" s="7">
        <f>HYPERLINK("http://www.lingerieopt.ru/item/6951-poluprozrachnoe-bodi-cloe-so-shnurovkoi/","6951")</f>
      </c>
      <c r="B223" s="8" t="s">
        <v>220</v>
      </c>
      <c r="C223" s="9">
        <v>1701</v>
      </c>
      <c r="D223" s="0">
        <v>2</v>
      </c>
      <c r="E223" s="10">
        <f>HYPERLINK("http://www.lingerieopt.ru/images/original/7f2fc6f2-6673-4d41-8269-97fda6429997.jpg","Фото")</f>
      </c>
    </row>
    <row r="224">
      <c r="A224" s="7">
        <f>HYPERLINK("http://www.lingerieopt.ru/item/6951-poluprozrachnoe-bodi-cloe-so-shnurovkoi/","6951")</f>
      </c>
      <c r="B224" s="8" t="s">
        <v>221</v>
      </c>
      <c r="C224" s="9">
        <v>1701</v>
      </c>
      <c r="D224" s="0">
        <v>20</v>
      </c>
      <c r="E224" s="10">
        <f>HYPERLINK("http://www.lingerieopt.ru/images/original/7f2fc6f2-6673-4d41-8269-97fda6429997.jpg","Фото")</f>
      </c>
    </row>
    <row r="225">
      <c r="A225" s="7">
        <f>HYPERLINK("http://www.lingerieopt.ru/item/7018-otkrovennoe-elastichnoe-bodi-charj/","7018")</f>
      </c>
      <c r="B225" s="8" t="s">
        <v>222</v>
      </c>
      <c r="C225" s="9">
        <v>1472</v>
      </c>
      <c r="D225" s="0">
        <v>2</v>
      </c>
      <c r="E225" s="10">
        <f>HYPERLINK("http://www.lingerieopt.ru/images/original/0e1553b6-37de-42b6-88a1-6b02f1d968e2.jpg","Фото")</f>
      </c>
    </row>
    <row r="226">
      <c r="A226" s="7">
        <f>HYPERLINK("http://www.lingerieopt.ru/item/7144-v-obraznoe-bodi-blink-iz-oborochek/","7144")</f>
      </c>
      <c r="B226" s="8" t="s">
        <v>223</v>
      </c>
      <c r="C226" s="9">
        <v>1052</v>
      </c>
      <c r="D226" s="0">
        <v>4</v>
      </c>
      <c r="E226" s="10">
        <f>HYPERLINK("http://www.lingerieopt.ru/images/original/071fae91-f4d7-430c-9aba-90bf26b3433c.jpg","Фото")</f>
      </c>
    </row>
    <row r="227">
      <c r="A227" s="7">
        <f>HYPERLINK("http://www.lingerieopt.ru/item/7144-v-obraznoe-bodi-blink-iz-oborochek/","7144")</f>
      </c>
      <c r="B227" s="8" t="s">
        <v>224</v>
      </c>
      <c r="C227" s="9">
        <v>1052</v>
      </c>
      <c r="D227" s="0">
        <v>2</v>
      </c>
      <c r="E227" s="10">
        <f>HYPERLINK("http://www.lingerieopt.ru/images/original/071fae91-f4d7-430c-9aba-90bf26b3433c.jpg","Фото")</f>
      </c>
    </row>
    <row r="228">
      <c r="A228" s="7">
        <f>HYPERLINK("http://www.lingerieopt.ru/item/7144-v-obraznoe-bodi-blink-iz-oborochek/","7144")</f>
      </c>
      <c r="B228" s="8" t="s">
        <v>225</v>
      </c>
      <c r="C228" s="9">
        <v>1052</v>
      </c>
      <c r="D228" s="0">
        <v>3</v>
      </c>
      <c r="E228" s="10">
        <f>HYPERLINK("http://www.lingerieopt.ru/images/original/071fae91-f4d7-430c-9aba-90bf26b3433c.jpg","Фото")</f>
      </c>
    </row>
    <row r="229">
      <c r="A229" s="7">
        <f>HYPERLINK("http://www.lingerieopt.ru/item/7145-originalnoe-bodi-naked-shadow-s-dostupom-i-otkrjtoi-popoi/","7145")</f>
      </c>
      <c r="B229" s="8" t="s">
        <v>226</v>
      </c>
      <c r="C229" s="9">
        <v>1741</v>
      </c>
      <c r="D229" s="0">
        <v>2</v>
      </c>
      <c r="E229" s="10">
        <f>HYPERLINK("http://www.lingerieopt.ru/images/original/9ff8751c-1ecf-4802-b6af-979f93f311b5.jpg","Фото")</f>
      </c>
    </row>
    <row r="230">
      <c r="A230" s="7">
        <f>HYPERLINK("http://www.lingerieopt.ru/item/7145-originalnoe-bodi-naked-shadow-s-dostupom-i-otkrjtoi-popoi/","7145")</f>
      </c>
      <c r="B230" s="8" t="s">
        <v>227</v>
      </c>
      <c r="C230" s="9">
        <v>1741</v>
      </c>
      <c r="D230" s="0">
        <v>3</v>
      </c>
      <c r="E230" s="10">
        <f>HYPERLINK("http://www.lingerieopt.ru/images/original/9ff8751c-1ecf-4802-b6af-979f93f311b5.jpg","Фото")</f>
      </c>
    </row>
    <row r="231">
      <c r="A231" s="7">
        <f>HYPERLINK("http://www.lingerieopt.ru/item/7145-originalnoe-bodi-naked-shadow-s-dostupom-i-otkrjtoi-popoi/","7145")</f>
      </c>
      <c r="B231" s="8" t="s">
        <v>228</v>
      </c>
      <c r="C231" s="9">
        <v>1741</v>
      </c>
      <c r="D231" s="0">
        <v>2</v>
      </c>
      <c r="E231" s="10">
        <f>HYPERLINK("http://www.lingerieopt.ru/images/original/9ff8751c-1ecf-4802-b6af-979f93f311b5.jpg","Фото")</f>
      </c>
    </row>
    <row r="232">
      <c r="A232" s="7">
        <f>HYPERLINK("http://www.lingerieopt.ru/item/7146-otkrjtoe-bodi-monique/","7146")</f>
      </c>
      <c r="B232" s="8" t="s">
        <v>229</v>
      </c>
      <c r="C232" s="9">
        <v>827</v>
      </c>
      <c r="D232" s="0">
        <v>4</v>
      </c>
      <c r="E232" s="10">
        <f>HYPERLINK("http://www.lingerieopt.ru/images/original/5286d360-413d-432b-8468-1bcabbdc34c2.jpg","Фото")</f>
      </c>
    </row>
    <row r="233">
      <c r="A233" s="7">
        <f>HYPERLINK("http://www.lingerieopt.ru/item/7146-otkrjtoe-bodi-monique/","7146")</f>
      </c>
      <c r="B233" s="8" t="s">
        <v>230</v>
      </c>
      <c r="C233" s="9">
        <v>827</v>
      </c>
      <c r="D233" s="0">
        <v>4</v>
      </c>
      <c r="E233" s="10">
        <f>HYPERLINK("http://www.lingerieopt.ru/images/original/5286d360-413d-432b-8468-1bcabbdc34c2.jpg","Фото")</f>
      </c>
    </row>
    <row r="234">
      <c r="A234" s="7">
        <f>HYPERLINK("http://www.lingerieopt.ru/item/7146-otkrjtoe-bodi-monique/","7146")</f>
      </c>
      <c r="B234" s="8" t="s">
        <v>231</v>
      </c>
      <c r="C234" s="9">
        <v>827</v>
      </c>
      <c r="D234" s="0">
        <v>5</v>
      </c>
      <c r="E234" s="10">
        <f>HYPERLINK("http://www.lingerieopt.ru/images/original/5286d360-413d-432b-8468-1bcabbdc34c2.jpg","Фото")</f>
      </c>
    </row>
    <row r="235">
      <c r="A235" s="7">
        <f>HYPERLINK("http://www.lingerieopt.ru/item/7146-otkrjtoe-bodi-monique/","7146")</f>
      </c>
      <c r="B235" s="8" t="s">
        <v>232</v>
      </c>
      <c r="C235" s="9">
        <v>827</v>
      </c>
      <c r="D235" s="0">
        <v>6</v>
      </c>
      <c r="E235" s="10">
        <f>HYPERLINK("http://www.lingerieopt.ru/images/original/5286d360-413d-432b-8468-1bcabbdc34c2.jpg","Фото")</f>
      </c>
    </row>
    <row r="236">
      <c r="A236" s="7">
        <f>HYPERLINK("http://www.lingerieopt.ru/item/7147-otkrjtoe-bodi-inez-s-atlasnjmi-bantikami/","7147")</f>
      </c>
      <c r="B236" s="8" t="s">
        <v>233</v>
      </c>
      <c r="C236" s="9">
        <v>694</v>
      </c>
      <c r="D236" s="0">
        <v>0</v>
      </c>
      <c r="E236" s="10">
        <f>HYPERLINK("http://www.lingerieopt.ru/images/original/c49ded71-5fe0-4ef2-9522-d1da849af83b.jpg","Фото")</f>
      </c>
    </row>
    <row r="237">
      <c r="A237" s="7">
        <f>HYPERLINK("http://www.lingerieopt.ru/item/7147-otkrjtoe-bodi-inez-s-atlasnjmi-bantikami/","7147")</f>
      </c>
      <c r="B237" s="8" t="s">
        <v>234</v>
      </c>
      <c r="C237" s="9">
        <v>694</v>
      </c>
      <c r="D237" s="0">
        <v>3</v>
      </c>
      <c r="E237" s="10">
        <f>HYPERLINK("http://www.lingerieopt.ru/images/original/c49ded71-5fe0-4ef2-9522-d1da849af83b.jpg","Фото")</f>
      </c>
    </row>
    <row r="238">
      <c r="A238" s="7">
        <f>HYPERLINK("http://www.lingerieopt.ru/item/7147-otkrjtoe-bodi-inez-s-atlasnjmi-bantikami/","7147")</f>
      </c>
      <c r="B238" s="8" t="s">
        <v>235</v>
      </c>
      <c r="C238" s="9">
        <v>694</v>
      </c>
      <c r="D238" s="0">
        <v>0</v>
      </c>
      <c r="E238" s="10">
        <f>HYPERLINK("http://www.lingerieopt.ru/images/original/c49ded71-5fe0-4ef2-9522-d1da849af83b.jpg","Фото")</f>
      </c>
    </row>
    <row r="239">
      <c r="A239" s="7">
        <f>HYPERLINK("http://www.lingerieopt.ru/item/7147-otkrjtoe-bodi-inez-s-atlasnjmi-bantikami/","7147")</f>
      </c>
      <c r="B239" s="8" t="s">
        <v>236</v>
      </c>
      <c r="C239" s="9">
        <v>694</v>
      </c>
      <c r="D239" s="0">
        <v>0</v>
      </c>
      <c r="E239" s="10">
        <f>HYPERLINK("http://www.lingerieopt.ru/images/original/c49ded71-5fe0-4ef2-9522-d1da849af83b.jpg","Фото")</f>
      </c>
    </row>
    <row r="240">
      <c r="A240" s="7">
        <f>HYPERLINK("http://www.lingerieopt.ru/item/7154-soblaznitelnoe-bodi-amelia-s-dostupom/","7154")</f>
      </c>
      <c r="B240" s="8" t="s">
        <v>237</v>
      </c>
      <c r="C240" s="9">
        <v>2586</v>
      </c>
      <c r="D240" s="0">
        <v>0</v>
      </c>
      <c r="E240" s="10">
        <f>HYPERLINK("http://www.lingerieopt.ru/images/original/97ada822-7c73-4905-8ddf-0b22bf2f7e4e.jpg","Фото")</f>
      </c>
    </row>
    <row r="241">
      <c r="A241" s="7">
        <f>HYPERLINK("http://www.lingerieopt.ru/item/7154-soblaznitelnoe-bodi-amelia-s-dostupom/","7154")</f>
      </c>
      <c r="B241" s="8" t="s">
        <v>238</v>
      </c>
      <c r="C241" s="9">
        <v>2586</v>
      </c>
      <c r="D241" s="0">
        <v>0</v>
      </c>
      <c r="E241" s="10">
        <f>HYPERLINK("http://www.lingerieopt.ru/images/original/97ada822-7c73-4905-8ddf-0b22bf2f7e4e.jpg","Фото")</f>
      </c>
    </row>
    <row r="242">
      <c r="A242" s="7">
        <f>HYPERLINK("http://www.lingerieopt.ru/item/7154-soblaznitelnoe-bodi-amelia-s-dostupom/","7154")</f>
      </c>
      <c r="B242" s="8" t="s">
        <v>239</v>
      </c>
      <c r="C242" s="9">
        <v>2586</v>
      </c>
      <c r="D242" s="0">
        <v>3</v>
      </c>
      <c r="E242" s="10">
        <f>HYPERLINK("http://www.lingerieopt.ru/images/original/97ada822-7c73-4905-8ddf-0b22bf2f7e4e.jpg","Фото")</f>
      </c>
    </row>
    <row r="243">
      <c r="A243" s="7">
        <f>HYPERLINK("http://www.lingerieopt.ru/item/7154-soblaznitelnoe-bodi-amelia-s-dostupom/","7154")</f>
      </c>
      <c r="B243" s="8" t="s">
        <v>240</v>
      </c>
      <c r="C243" s="9">
        <v>2586</v>
      </c>
      <c r="D243" s="0">
        <v>3</v>
      </c>
      <c r="E243" s="10">
        <f>HYPERLINK("http://www.lingerieopt.ru/images/original/97ada822-7c73-4905-8ddf-0b22bf2f7e4e.jpg","Фото")</f>
      </c>
    </row>
    <row r="244">
      <c r="A244" s="7">
        <f>HYPERLINK("http://www.lingerieopt.ru/item/7154-soblaznitelnoe-bodi-amelia-s-dostupom/","7154")</f>
      </c>
      <c r="B244" s="8" t="s">
        <v>241</v>
      </c>
      <c r="C244" s="9">
        <v>2586</v>
      </c>
      <c r="D244" s="0">
        <v>4</v>
      </c>
      <c r="E244" s="10">
        <f>HYPERLINK("http://www.lingerieopt.ru/images/original/97ada822-7c73-4905-8ddf-0b22bf2f7e4e.jpg","Фото")</f>
      </c>
    </row>
    <row r="245">
      <c r="A245" s="7">
        <f>HYPERLINK("http://www.lingerieopt.ru/item/7154-soblaznitelnoe-bodi-amelia-s-dostupom/","7154")</f>
      </c>
      <c r="B245" s="8" t="s">
        <v>242</v>
      </c>
      <c r="C245" s="9">
        <v>2586</v>
      </c>
      <c r="D245" s="0">
        <v>3</v>
      </c>
      <c r="E245" s="10">
        <f>HYPERLINK("http://www.lingerieopt.ru/images/original/97ada822-7c73-4905-8ddf-0b22bf2f7e4e.jpg","Фото")</f>
      </c>
    </row>
    <row r="246">
      <c r="A246" s="7">
        <f>HYPERLINK("http://www.lingerieopt.ru/item/7195-bodi-aimi-s-dlinnjmi-rukavami-i-verevkami-dlya-svyazjvaniya/","7195")</f>
      </c>
      <c r="B246" s="8" t="s">
        <v>243</v>
      </c>
      <c r="C246" s="9">
        <v>3341</v>
      </c>
      <c r="D246" s="0">
        <v>6</v>
      </c>
      <c r="E246" s="10">
        <f>HYPERLINK("http://www.lingerieopt.ru/images/original/0d396f89-293b-42a8-aad3-c566576ccf1e.jpg","Фото")</f>
      </c>
    </row>
    <row r="247">
      <c r="A247" s="7">
        <f>HYPERLINK("http://www.lingerieopt.ru/item/7205-bodi-agnes-s-setchatjmi-vstavkami-pazhami-dlya-chulok-i-aloi-shnurovkoi-na-spinke/","7205")</f>
      </c>
      <c r="B247" s="8" t="s">
        <v>244</v>
      </c>
      <c r="C247" s="9">
        <v>2544</v>
      </c>
      <c r="D247" s="0">
        <v>5</v>
      </c>
      <c r="E247" s="10">
        <f>HYPERLINK("http://www.lingerieopt.ru/images/original/7524cc50-5803-4bf7-abb2-c82eef644ca3.jpg","Фото")</f>
      </c>
    </row>
    <row r="248">
      <c r="A248" s="7">
        <f>HYPERLINK("http://www.lingerieopt.ru/item/7211-bodi-anita-iz-strep-lent/","7211")</f>
      </c>
      <c r="B248" s="8" t="s">
        <v>245</v>
      </c>
      <c r="C248" s="9">
        <v>1416</v>
      </c>
      <c r="D248" s="0">
        <v>4</v>
      </c>
      <c r="E248" s="10">
        <f>HYPERLINK("http://www.lingerieopt.ru/images/original/341c4f88-cf5a-4cb6-a625-2a5257717bed.jpg","Фото")</f>
      </c>
    </row>
    <row r="249">
      <c r="A249" s="7">
        <f>HYPERLINK("http://www.lingerieopt.ru/item/7211-bodi-anita-iz-strep-lent/","7211")</f>
      </c>
      <c r="B249" s="8" t="s">
        <v>246</v>
      </c>
      <c r="C249" s="9">
        <v>1416</v>
      </c>
      <c r="D249" s="0">
        <v>5</v>
      </c>
      <c r="E249" s="10">
        <f>HYPERLINK("http://www.lingerieopt.ru/images/original/341c4f88-cf5a-4cb6-a625-2a5257717bed.jpg","Фото")</f>
      </c>
    </row>
    <row r="250">
      <c r="A250" s="7">
        <f>HYPERLINK("http://www.lingerieopt.ru/item/7211-bodi-anita-iz-strep-lent/","7211")</f>
      </c>
      <c r="B250" s="8" t="s">
        <v>247</v>
      </c>
      <c r="C250" s="9">
        <v>1416</v>
      </c>
      <c r="D250" s="0">
        <v>4</v>
      </c>
      <c r="E250" s="10">
        <f>HYPERLINK("http://www.lingerieopt.ru/images/original/341c4f88-cf5a-4cb6-a625-2a5257717bed.jpg","Фото")</f>
      </c>
    </row>
    <row r="251">
      <c r="A251" s="7">
        <f>HYPERLINK("http://www.lingerieopt.ru/item/7211-bodi-anita-iz-strep-lent/","7211")</f>
      </c>
      <c r="B251" s="8" t="s">
        <v>248</v>
      </c>
      <c r="C251" s="9">
        <v>1416</v>
      </c>
      <c r="D251" s="0">
        <v>7</v>
      </c>
      <c r="E251" s="10">
        <f>HYPERLINK("http://www.lingerieopt.ru/images/original/341c4f88-cf5a-4cb6-a625-2a5257717bed.jpg","Фото")</f>
      </c>
    </row>
    <row r="252">
      <c r="A252" s="7">
        <f>HYPERLINK("http://www.lingerieopt.ru/item/7211-bodi-anita-iz-strep-lent/","7211")</f>
      </c>
      <c r="B252" s="8" t="s">
        <v>249</v>
      </c>
      <c r="C252" s="9">
        <v>1416</v>
      </c>
      <c r="D252" s="0">
        <v>6</v>
      </c>
      <c r="E252" s="10">
        <f>HYPERLINK("http://www.lingerieopt.ru/images/original/341c4f88-cf5a-4cb6-a625-2a5257717bed.jpg","Фото")</f>
      </c>
    </row>
    <row r="253">
      <c r="A253" s="7">
        <f>HYPERLINK("http://www.lingerieopt.ru/item/7211-bodi-anita-iz-strep-lent/","7211")</f>
      </c>
      <c r="B253" s="8" t="s">
        <v>250</v>
      </c>
      <c r="C253" s="9">
        <v>1416</v>
      </c>
      <c r="D253" s="0">
        <v>6</v>
      </c>
      <c r="E253" s="10">
        <f>HYPERLINK("http://www.lingerieopt.ru/images/original/341c4f88-cf5a-4cb6-a625-2a5257717bed.jpg","Фото")</f>
      </c>
    </row>
    <row r="254">
      <c r="A254" s="7">
        <f>HYPERLINK("http://www.lingerieopt.ru/item/7230-kruzhevnoi-teddi-s-otkrjtjmi-bokami-i-spinoi/","7230")</f>
      </c>
      <c r="B254" s="8" t="s">
        <v>251</v>
      </c>
      <c r="C254" s="9">
        <v>1180</v>
      </c>
      <c r="D254" s="0">
        <v>3</v>
      </c>
      <c r="E254" s="10">
        <f>HYPERLINK("http://www.lingerieopt.ru/images/original/0ef7d2d8-a216-4b44-9482-45d03253d071.jpg","Фото")</f>
      </c>
    </row>
    <row r="255">
      <c r="A255" s="7">
        <f>HYPERLINK("http://www.lingerieopt.ru/item/7230-kruzhevnoi-teddi-s-otkrjtjmi-bokami-i-spinoi/","7230")</f>
      </c>
      <c r="B255" s="8" t="s">
        <v>252</v>
      </c>
      <c r="C255" s="9">
        <v>1180</v>
      </c>
      <c r="D255" s="0">
        <v>2</v>
      </c>
      <c r="E255" s="10">
        <f>HYPERLINK("http://www.lingerieopt.ru/images/original/0ef7d2d8-a216-4b44-9482-45d03253d071.jpg","Фото")</f>
      </c>
    </row>
    <row r="256">
      <c r="A256" s="7">
        <f>HYPERLINK("http://www.lingerieopt.ru/item/7230-kruzhevnoi-teddi-s-otkrjtjmi-bokami-i-spinoi/","7230")</f>
      </c>
      <c r="B256" s="8" t="s">
        <v>253</v>
      </c>
      <c r="C256" s="9">
        <v>1180</v>
      </c>
      <c r="D256" s="0">
        <v>3</v>
      </c>
      <c r="E256" s="10">
        <f>HYPERLINK("http://www.lingerieopt.ru/images/original/0ef7d2d8-a216-4b44-9482-45d03253d071.jpg","Фото")</f>
      </c>
    </row>
    <row r="257">
      <c r="A257" s="7">
        <f>HYPERLINK("http://www.lingerieopt.ru/item/7230-kruzhevnoi-teddi-s-otkrjtjmi-bokami-i-spinoi/","7230")</f>
      </c>
      <c r="B257" s="8" t="s">
        <v>254</v>
      </c>
      <c r="C257" s="9">
        <v>1180</v>
      </c>
      <c r="D257" s="0">
        <v>8</v>
      </c>
      <c r="E257" s="10">
        <f>HYPERLINK("http://www.lingerieopt.ru/images/original/0ef7d2d8-a216-4b44-9482-45d03253d071.jpg","Фото")</f>
      </c>
    </row>
    <row r="258">
      <c r="A258" s="7">
        <f>HYPERLINK("http://www.lingerieopt.ru/item/7230-kruzhevnoi-teddi-s-otkrjtjmi-bokami-i-spinoi/","7230")</f>
      </c>
      <c r="B258" s="8" t="s">
        <v>255</v>
      </c>
      <c r="C258" s="9">
        <v>1180</v>
      </c>
      <c r="D258" s="0">
        <v>2</v>
      </c>
      <c r="E258" s="10">
        <f>HYPERLINK("http://www.lingerieopt.ru/images/original/0ef7d2d8-a216-4b44-9482-45d03253d071.jpg","Фото")</f>
      </c>
    </row>
    <row r="259">
      <c r="A259" s="7">
        <f>HYPERLINK("http://www.lingerieopt.ru/item/7230-kruzhevnoi-teddi-s-otkrjtjmi-bokami-i-spinoi/","7230")</f>
      </c>
      <c r="B259" s="8" t="s">
        <v>256</v>
      </c>
      <c r="C259" s="9">
        <v>1180</v>
      </c>
      <c r="D259" s="0">
        <v>3</v>
      </c>
      <c r="E259" s="10">
        <f>HYPERLINK("http://www.lingerieopt.ru/images/original/0ef7d2d8-a216-4b44-9482-45d03253d071.jpg","Фото")</f>
      </c>
    </row>
    <row r="260">
      <c r="A260" s="7">
        <f>HYPERLINK("http://www.lingerieopt.ru/item/7248-kruzhevnoi-v-obraznji-teddi-merossa-s-poyaskom-i-dostupom/","7248")</f>
      </c>
      <c r="B260" s="8" t="s">
        <v>257</v>
      </c>
      <c r="C260" s="9">
        <v>1701</v>
      </c>
      <c r="D260" s="0">
        <v>3</v>
      </c>
      <c r="E260" s="10">
        <f>HYPERLINK("http://www.lingerieopt.ru/images/original/247ba3cc-13e9-42c0-8a23-2d39d8bec404.jpg","Фото")</f>
      </c>
    </row>
    <row r="261">
      <c r="A261" s="7">
        <f>HYPERLINK("http://www.lingerieopt.ru/item/7248-kruzhevnoi-v-obraznji-teddi-merossa-s-poyaskom-i-dostupom/","7248")</f>
      </c>
      <c r="B261" s="8" t="s">
        <v>258</v>
      </c>
      <c r="C261" s="9">
        <v>1701</v>
      </c>
      <c r="D261" s="0">
        <v>5</v>
      </c>
      <c r="E261" s="10">
        <f>HYPERLINK("http://www.lingerieopt.ru/images/original/247ba3cc-13e9-42c0-8a23-2d39d8bec404.jpg","Фото")</f>
      </c>
    </row>
    <row r="262">
      <c r="A262" s="7">
        <f>HYPERLINK("http://www.lingerieopt.ru/item/7304-charuyuschee-bodi-s-dostupom-ashley-i-aksessuarami/","7304")</f>
      </c>
      <c r="B262" s="8" t="s">
        <v>259</v>
      </c>
      <c r="C262" s="9">
        <v>1232</v>
      </c>
      <c r="D262" s="0">
        <v>2</v>
      </c>
      <c r="E262" s="10">
        <f>HYPERLINK("http://www.lingerieopt.ru/images/original/ca46cad4-e755-4a8b-ba58-60a59f2be6c8.jpg","Фото")</f>
      </c>
    </row>
    <row r="263">
      <c r="A263" s="7">
        <f>HYPERLINK("http://www.lingerieopt.ru/item/7304-charuyuschee-bodi-s-dostupom-ashley-i-aksessuarami/","7304")</f>
      </c>
      <c r="B263" s="8" t="s">
        <v>260</v>
      </c>
      <c r="C263" s="9">
        <v>1232</v>
      </c>
      <c r="D263" s="0">
        <v>8</v>
      </c>
      <c r="E263" s="10">
        <f>HYPERLINK("http://www.lingerieopt.ru/images/original/ca46cad4-e755-4a8b-ba58-60a59f2be6c8.jpg","Фото")</f>
      </c>
    </row>
    <row r="264">
      <c r="A264" s="7">
        <f>HYPERLINK("http://www.lingerieopt.ru/item/7304-charuyuschee-bodi-s-dostupom-ashley-i-aksessuarami/","7304")</f>
      </c>
      <c r="B264" s="8" t="s">
        <v>261</v>
      </c>
      <c r="C264" s="9">
        <v>1232</v>
      </c>
      <c r="D264" s="0">
        <v>6</v>
      </c>
      <c r="E264" s="10">
        <f>HYPERLINK("http://www.lingerieopt.ru/images/original/ca46cad4-e755-4a8b-ba58-60a59f2be6c8.jpg","Фото")</f>
      </c>
    </row>
    <row r="265">
      <c r="A265" s="7">
        <f>HYPERLINK("http://www.lingerieopt.ru/item/7304-charuyuschee-bodi-s-dostupom-ashley-i-aksessuarami/","7304")</f>
      </c>
      <c r="B265" s="8" t="s">
        <v>262</v>
      </c>
      <c r="C265" s="9">
        <v>1232</v>
      </c>
      <c r="D265" s="0">
        <v>6</v>
      </c>
      <c r="E265" s="10">
        <f>HYPERLINK("http://www.lingerieopt.ru/images/original/ca46cad4-e755-4a8b-ba58-60a59f2be6c8.jpg","Фото")</f>
      </c>
    </row>
    <row r="266">
      <c r="A266" s="7">
        <f>HYPERLINK("http://www.lingerieopt.ru/item/7381-bodi-fumi-v-komplekte-s-verevkami-dlya-svyazjvaniya/","7381")</f>
      </c>
      <c r="B266" s="8" t="s">
        <v>263</v>
      </c>
      <c r="C266" s="9">
        <v>3302</v>
      </c>
      <c r="D266" s="0">
        <v>4</v>
      </c>
      <c r="E266" s="10">
        <f>HYPERLINK("http://www.lingerieopt.ru/images/original/07fb84d1-476f-4e99-a77a-cfbec1d28f7c.jpg","Фото")</f>
      </c>
    </row>
    <row r="267">
      <c r="A267" s="7">
        <f>HYPERLINK("http://www.lingerieopt.ru/item/7381-bodi-fumi-v-komplekte-s-verevkami-dlya-svyazjvaniya/","7381")</f>
      </c>
      <c r="B267" s="8" t="s">
        <v>264</v>
      </c>
      <c r="C267" s="9">
        <v>3302</v>
      </c>
      <c r="D267" s="0">
        <v>8</v>
      </c>
      <c r="E267" s="10">
        <f>HYPERLINK("http://www.lingerieopt.ru/images/original/07fb84d1-476f-4e99-a77a-cfbec1d28f7c.jpg","Фото")</f>
      </c>
    </row>
    <row r="268">
      <c r="A268" s="7">
        <f>HYPERLINK("http://www.lingerieopt.ru/item/7422-bodi-iz-lent-lola/","7422")</f>
      </c>
      <c r="B268" s="8" t="s">
        <v>265</v>
      </c>
      <c r="C268" s="9">
        <v>1193</v>
      </c>
      <c r="D268" s="0">
        <v>8</v>
      </c>
      <c r="E268" s="10">
        <f>HYPERLINK("http://www.lingerieopt.ru/images/original/31df1c7c-778e-4059-a538-284c47036ac4.jpg","Фото")</f>
      </c>
    </row>
    <row r="269">
      <c r="A269" s="7">
        <f>HYPERLINK("http://www.lingerieopt.ru/item/7422-bodi-iz-lent-lola/","7422")</f>
      </c>
      <c r="B269" s="8" t="s">
        <v>266</v>
      </c>
      <c r="C269" s="9">
        <v>1193</v>
      </c>
      <c r="D269" s="0">
        <v>12</v>
      </c>
      <c r="E269" s="10">
        <f>HYPERLINK("http://www.lingerieopt.ru/images/original/31df1c7c-778e-4059-a538-284c47036ac4.jpg","Фото")</f>
      </c>
    </row>
    <row r="270">
      <c r="A270" s="7">
        <f>HYPERLINK("http://www.lingerieopt.ru/item/7422-bodi-iz-lent-lola/","7422")</f>
      </c>
      <c r="B270" s="8" t="s">
        <v>267</v>
      </c>
      <c r="C270" s="9">
        <v>1193</v>
      </c>
      <c r="D270" s="0">
        <v>14</v>
      </c>
      <c r="E270" s="10">
        <f>HYPERLINK("http://www.lingerieopt.ru/images/original/31df1c7c-778e-4059-a538-284c47036ac4.jpg","Фото")</f>
      </c>
    </row>
    <row r="271">
      <c r="A271" s="7">
        <f>HYPERLINK("http://www.lingerieopt.ru/item/7422-bodi-iz-lent-lola/","7422")</f>
      </c>
      <c r="B271" s="8" t="s">
        <v>268</v>
      </c>
      <c r="C271" s="9">
        <v>1193</v>
      </c>
      <c r="D271" s="0">
        <v>10</v>
      </c>
      <c r="E271" s="10">
        <f>HYPERLINK("http://www.lingerieopt.ru/images/original/31df1c7c-778e-4059-a538-284c47036ac4.jpg","Фото")</f>
      </c>
    </row>
    <row r="272">
      <c r="A272" s="7">
        <f>HYPERLINK("http://www.lingerieopt.ru/item/7422-bodi-iz-lent-lola/","7422")</f>
      </c>
      <c r="B272" s="8" t="s">
        <v>269</v>
      </c>
      <c r="C272" s="9">
        <v>1193</v>
      </c>
      <c r="D272" s="0">
        <v>9</v>
      </c>
      <c r="E272" s="10">
        <f>HYPERLINK("http://www.lingerieopt.ru/images/original/31df1c7c-778e-4059-a538-284c47036ac4.jpg","Фото")</f>
      </c>
    </row>
    <row r="273">
      <c r="A273" s="7">
        <f>HYPERLINK("http://www.lingerieopt.ru/item/7422-bodi-iz-lent-lola/","7422")</f>
      </c>
      <c r="B273" s="8" t="s">
        <v>270</v>
      </c>
      <c r="C273" s="9">
        <v>1193</v>
      </c>
      <c r="D273" s="0">
        <v>8</v>
      </c>
      <c r="E273" s="10">
        <f>HYPERLINK("http://www.lingerieopt.ru/images/original/31df1c7c-778e-4059-a538-284c47036ac4.jpg","Фото")</f>
      </c>
    </row>
    <row r="274">
      <c r="A274" s="7">
        <f>HYPERLINK("http://www.lingerieopt.ru/item/7423-elastichnoe-bodi-venus-s-pazhami-dlya-chulok/","7423")</f>
      </c>
      <c r="B274" s="8" t="s">
        <v>271</v>
      </c>
      <c r="C274" s="9">
        <v>1068</v>
      </c>
      <c r="D274" s="0">
        <v>5</v>
      </c>
      <c r="E274" s="10">
        <f>HYPERLINK("http://www.lingerieopt.ru/images/original/c307f58f-2cc4-42cd-9d00-484c308984e2.jpg","Фото")</f>
      </c>
    </row>
    <row r="275">
      <c r="A275" s="7">
        <f>HYPERLINK("http://www.lingerieopt.ru/item/7423-elastichnoe-bodi-venus-s-pazhami-dlya-chulok/","7423")</f>
      </c>
      <c r="B275" s="8" t="s">
        <v>272</v>
      </c>
      <c r="C275" s="9">
        <v>1068</v>
      </c>
      <c r="D275" s="0">
        <v>5</v>
      </c>
      <c r="E275" s="10">
        <f>HYPERLINK("http://www.lingerieopt.ru/images/original/c307f58f-2cc4-42cd-9d00-484c308984e2.jpg","Фото")</f>
      </c>
    </row>
    <row r="276">
      <c r="A276" s="7">
        <f>HYPERLINK("http://www.lingerieopt.ru/item/7426-nezhnoe-bodi-bianca-s-aksessuarami/","7426")</f>
      </c>
      <c r="B276" s="8" t="s">
        <v>273</v>
      </c>
      <c r="C276" s="9">
        <v>1310</v>
      </c>
      <c r="D276" s="0">
        <v>4</v>
      </c>
      <c r="E276" s="10">
        <f>HYPERLINK("http://www.lingerieopt.ru/images/original/a74dcdb6-0a6f-47eb-bbe8-1053a35f704c.jpg","Фото")</f>
      </c>
    </row>
    <row r="277">
      <c r="A277" s="7">
        <f>HYPERLINK("http://www.lingerieopt.ru/item/7426-nezhnoe-bodi-bianca-s-aksessuarami/","7426")</f>
      </c>
      <c r="B277" s="8" t="s">
        <v>274</v>
      </c>
      <c r="C277" s="9">
        <v>1310</v>
      </c>
      <c r="D277" s="0">
        <v>8</v>
      </c>
      <c r="E277" s="10">
        <f>HYPERLINK("http://www.lingerieopt.ru/images/original/a74dcdb6-0a6f-47eb-bbe8-1053a35f704c.jpg","Фото")</f>
      </c>
    </row>
    <row r="278">
      <c r="A278" s="7">
        <f>HYPERLINK("http://www.lingerieopt.ru/item/7453-bodi-nathalie-s-glubokim-vjrezom-i-cvetochnoi-vjshivkoi/","7453")</f>
      </c>
      <c r="B278" s="8" t="s">
        <v>275</v>
      </c>
      <c r="C278" s="9">
        <v>2577</v>
      </c>
      <c r="D278" s="0">
        <v>10</v>
      </c>
      <c r="E278" s="10">
        <f>HYPERLINK("http://www.lingerieopt.ru/images/original/9ad49c6f-9efa-4e5e-8eb0-a65829d617c6.jpg","Фото")</f>
      </c>
    </row>
    <row r="279">
      <c r="A279" s="7">
        <f>HYPERLINK("http://www.lingerieopt.ru/item/7453-bodi-nathalie-s-glubokim-vjrezom-i-cvetochnoi-vjshivkoi/","7453")</f>
      </c>
      <c r="B279" s="8" t="s">
        <v>276</v>
      </c>
      <c r="C279" s="9">
        <v>2577</v>
      </c>
      <c r="D279" s="0">
        <v>6</v>
      </c>
      <c r="E279" s="10">
        <f>HYPERLINK("http://www.lingerieopt.ru/images/original/9ad49c6f-9efa-4e5e-8eb0-a65829d617c6.jpg","Фото")</f>
      </c>
    </row>
    <row r="280">
      <c r="A280" s="7">
        <f>HYPERLINK("http://www.lingerieopt.ru/item/7453-bodi-nathalie-s-glubokim-vjrezom-i-cvetochnoi-vjshivkoi/","7453")</f>
      </c>
      <c r="B280" s="8" t="s">
        <v>277</v>
      </c>
      <c r="C280" s="9">
        <v>2577</v>
      </c>
      <c r="D280" s="0">
        <v>13</v>
      </c>
      <c r="E280" s="10">
        <f>HYPERLINK("http://www.lingerieopt.ru/images/original/9ad49c6f-9efa-4e5e-8eb0-a65829d617c6.jpg","Фото")</f>
      </c>
    </row>
    <row r="281">
      <c r="A281" s="7">
        <f>HYPERLINK("http://www.lingerieopt.ru/item/7622-effektnoe-bodi-gill-s-malenkoi-shnurovkoi-na-life/","7622")</f>
      </c>
      <c r="B281" s="8" t="s">
        <v>278</v>
      </c>
      <c r="C281" s="9">
        <v>2067</v>
      </c>
      <c r="D281" s="0">
        <v>3</v>
      </c>
      <c r="E281" s="10">
        <f>HYPERLINK("http://www.lingerieopt.ru/images/original/43037a58-ad10-4f10-8d81-8fa934419be7.jpg","Фото")</f>
      </c>
    </row>
    <row r="282">
      <c r="A282" s="7">
        <f>HYPERLINK("http://www.lingerieopt.ru/item/7622-effektnoe-bodi-gill-s-malenkoi-shnurovkoi-na-life/","7622")</f>
      </c>
      <c r="B282" s="8" t="s">
        <v>279</v>
      </c>
      <c r="C282" s="9">
        <v>2067</v>
      </c>
      <c r="D282" s="0">
        <v>0</v>
      </c>
      <c r="E282" s="10">
        <f>HYPERLINK("http://www.lingerieopt.ru/images/original/43037a58-ad10-4f10-8d81-8fa934419be7.jpg","Фото")</f>
      </c>
    </row>
    <row r="283">
      <c r="A283" s="7">
        <f>HYPERLINK("http://www.lingerieopt.ru/item/7635-bodi-connie-s-kruzhevnjmi-vstavkami-na-life-i-spine/","7635")</f>
      </c>
      <c r="B283" s="8" t="s">
        <v>280</v>
      </c>
      <c r="C283" s="9">
        <v>2141</v>
      </c>
      <c r="D283" s="0">
        <v>3</v>
      </c>
      <c r="E283" s="10">
        <f>HYPERLINK("http://www.lingerieopt.ru/images/original/d768c7dd-5fdc-4887-8893-889f35d5509f.jpg","Фото")</f>
      </c>
    </row>
    <row r="284">
      <c r="A284" s="7">
        <f>HYPERLINK("http://www.lingerieopt.ru/item/7635-bodi-connie-s-kruzhevnjmi-vstavkami-na-life-i-spine/","7635")</f>
      </c>
      <c r="B284" s="8" t="s">
        <v>281</v>
      </c>
      <c r="C284" s="9">
        <v>2141</v>
      </c>
      <c r="D284" s="0">
        <v>1</v>
      </c>
      <c r="E284" s="10">
        <f>HYPERLINK("http://www.lingerieopt.ru/images/original/d768c7dd-5fdc-4887-8893-889f35d5509f.jpg","Фото")</f>
      </c>
    </row>
    <row r="285">
      <c r="A285" s="7">
        <f>HYPERLINK("http://www.lingerieopt.ru/item/7636-bodi-dallas-s-poluprozrachnoi-centralnoi-chastyu/","7636")</f>
      </c>
      <c r="B285" s="8" t="s">
        <v>282</v>
      </c>
      <c r="C285" s="9">
        <v>2055</v>
      </c>
      <c r="D285" s="0">
        <v>2</v>
      </c>
      <c r="E285" s="10">
        <f>HYPERLINK("http://www.lingerieopt.ru/images/original/c40b0866-4c93-4e6a-87c4-3525d899fd73.jpg","Фото")</f>
      </c>
    </row>
    <row r="286">
      <c r="A286" s="7">
        <f>HYPERLINK("http://www.lingerieopt.ru/item/7636-bodi-dallas-s-poluprozrachnoi-centralnoi-chastyu/","7636")</f>
      </c>
      <c r="B286" s="8" t="s">
        <v>283</v>
      </c>
      <c r="C286" s="9">
        <v>2055</v>
      </c>
      <c r="D286" s="0">
        <v>1</v>
      </c>
      <c r="E286" s="10">
        <f>HYPERLINK("http://www.lingerieopt.ru/images/original/c40b0866-4c93-4e6a-87c4-3525d899fd73.jpg","Фото")</f>
      </c>
    </row>
    <row r="287">
      <c r="A287" s="7">
        <f>HYPERLINK("http://www.lingerieopt.ru/item/7637-bodi-giorgia-s-originalno-oformlennjm-lifom/","7637")</f>
      </c>
      <c r="B287" s="8" t="s">
        <v>284</v>
      </c>
      <c r="C287" s="9">
        <v>2153</v>
      </c>
      <c r="D287" s="0">
        <v>1</v>
      </c>
      <c r="E287" s="10">
        <f>HYPERLINK("http://www.lingerieopt.ru/images/original/e3c51e83-fac2-4190-b9ca-bd63826d547f.jpg","Фото")</f>
      </c>
    </row>
    <row r="288">
      <c r="A288" s="7">
        <f>HYPERLINK("http://www.lingerieopt.ru/item/7639-shikarnoe-poluprozrachnoe-bodi-keith-s-blestyaschim-kruzhevom/","7639")</f>
      </c>
      <c r="B288" s="8" t="s">
        <v>285</v>
      </c>
      <c r="C288" s="9">
        <v>2155</v>
      </c>
      <c r="D288" s="0">
        <v>4</v>
      </c>
      <c r="E288" s="10">
        <f>HYPERLINK("http://www.lingerieopt.ru/images/original/3cd58528-8e70-454f-bf13-1b145ec7765b.jpg","Фото")</f>
      </c>
    </row>
    <row r="289">
      <c r="A289" s="7">
        <f>HYPERLINK("http://www.lingerieopt.ru/item/7639-shikarnoe-poluprozrachnoe-bodi-keith-s-blestyaschim-kruzhevom/","7639")</f>
      </c>
      <c r="B289" s="8" t="s">
        <v>286</v>
      </c>
      <c r="C289" s="9">
        <v>2155</v>
      </c>
      <c r="D289" s="0">
        <v>2</v>
      </c>
      <c r="E289" s="10">
        <f>HYPERLINK("http://www.lingerieopt.ru/images/original/3cd58528-8e70-454f-bf13-1b145ec7765b.jpg","Фото")</f>
      </c>
    </row>
    <row r="290">
      <c r="A290" s="7">
        <f>HYPERLINK("http://www.lingerieopt.ru/item/7639-shikarnoe-poluprozrachnoe-bodi-keith-s-blestyaschim-kruzhevom/","7639")</f>
      </c>
      <c r="B290" s="8" t="s">
        <v>287</v>
      </c>
      <c r="C290" s="9">
        <v>2155</v>
      </c>
      <c r="D290" s="0">
        <v>2</v>
      </c>
      <c r="E290" s="10">
        <f>HYPERLINK("http://www.lingerieopt.ru/images/original/3cd58528-8e70-454f-bf13-1b145ec7765b.jpg","Фото")</f>
      </c>
    </row>
    <row r="291">
      <c r="A291" s="7">
        <f>HYPERLINK("http://www.lingerieopt.ru/item/7640-bodi-sissey-s-poluprozrachnjmi-vstavkami/","7640")</f>
      </c>
      <c r="B291" s="8" t="s">
        <v>288</v>
      </c>
      <c r="C291" s="9">
        <v>2077</v>
      </c>
      <c r="D291" s="0">
        <v>1</v>
      </c>
      <c r="E291" s="10">
        <f>HYPERLINK("http://www.lingerieopt.ru/images/original/bb6d110a-ec98-43e2-83be-19d4ebff2bca.jpg","Фото")</f>
      </c>
    </row>
    <row r="292">
      <c r="A292" s="7">
        <f>HYPERLINK("http://www.lingerieopt.ru/item/7656-effektnoe-bodi-lanka-s-kontrastnjm-kruzhevom/","7656")</f>
      </c>
      <c r="B292" s="8" t="s">
        <v>289</v>
      </c>
      <c r="C292" s="9">
        <v>2269</v>
      </c>
      <c r="D292" s="0">
        <v>1</v>
      </c>
      <c r="E292" s="10">
        <f>HYPERLINK("http://www.lingerieopt.ru/images/original/b8797f6e-6ae3-4fb0-9922-a5852673ede9.jpg","Фото")</f>
      </c>
    </row>
    <row r="293">
      <c r="A293" s="7">
        <f>HYPERLINK("http://www.lingerieopt.ru/item/7657-kruzhevnoe-bodi-nell-plus-size-s-zolotistoi-shnurovkoi-na-zhivotike/","7657")</f>
      </c>
      <c r="B293" s="8" t="s">
        <v>290</v>
      </c>
      <c r="C293" s="9">
        <v>1819</v>
      </c>
      <c r="D293" s="0">
        <v>2</v>
      </c>
      <c r="E293" s="10">
        <f>HYPERLINK("http://www.lingerieopt.ru/images/original/9777cd5b-c2c9-4cb1-a038-c5ee1e0336dc.jpg","Фото")</f>
      </c>
    </row>
    <row r="294">
      <c r="A294" s="7">
        <f>HYPERLINK("http://www.lingerieopt.ru/item/7703-bodi-moketta-s-setchatjmi-vstavkami-i-korotenkimi-rukavchikami/","7703")</f>
      </c>
      <c r="B294" s="8" t="s">
        <v>291</v>
      </c>
      <c r="C294" s="9">
        <v>1863</v>
      </c>
      <c r="D294" s="0">
        <v>0</v>
      </c>
      <c r="E294" s="10">
        <f>HYPERLINK("http://www.lingerieopt.ru/images/original/7f64bf65-ecc3-419a-8c5e-8ead75510c90.jpg","Фото")</f>
      </c>
    </row>
    <row r="295">
      <c r="A295" s="7">
        <f>HYPERLINK("http://www.lingerieopt.ru/item/7703-bodi-moketta-s-setchatjmi-vstavkami-i-korotenkimi-rukavchikami/","7703")</f>
      </c>
      <c r="B295" s="8" t="s">
        <v>292</v>
      </c>
      <c r="C295" s="9">
        <v>1863</v>
      </c>
      <c r="D295" s="0">
        <v>2</v>
      </c>
      <c r="E295" s="10">
        <f>HYPERLINK("http://www.lingerieopt.ru/images/original/7f64bf65-ecc3-419a-8c5e-8ead75510c90.jpg","Фото")</f>
      </c>
    </row>
    <row r="296">
      <c r="A296" s="7">
        <f>HYPERLINK("http://www.lingerieopt.ru/item/7704-bodi-lago-s-peremjchkami-po-bokam/","7704")</f>
      </c>
      <c r="B296" s="8" t="s">
        <v>293</v>
      </c>
      <c r="C296" s="9">
        <v>1128</v>
      </c>
      <c r="D296" s="0">
        <v>0</v>
      </c>
      <c r="E296" s="10">
        <f>HYPERLINK("http://www.lingerieopt.ru/images/original/2ac357ba-ede6-4fba-a678-fed027dcbd64.jpg","Фото")</f>
      </c>
    </row>
    <row r="297">
      <c r="A297" s="7">
        <f>HYPERLINK("http://www.lingerieopt.ru/item/7704-bodi-lago-s-peremjchkami-po-bokam/","7704")</f>
      </c>
      <c r="B297" s="8" t="s">
        <v>294</v>
      </c>
      <c r="C297" s="9">
        <v>1128</v>
      </c>
      <c r="D297" s="0">
        <v>6</v>
      </c>
      <c r="E297" s="10">
        <f>HYPERLINK("http://www.lingerieopt.ru/images/original/2ac357ba-ede6-4fba-a678-fed027dcbd64.jpg","Фото")</f>
      </c>
    </row>
    <row r="298">
      <c r="A298" s="7">
        <f>HYPERLINK("http://www.lingerieopt.ru/item/7729-kruzhevnoe-bodi-frivolla-s-dekorativnjmi-peremjchkami/","7729")</f>
      </c>
      <c r="B298" s="8" t="s">
        <v>295</v>
      </c>
      <c r="C298" s="9">
        <v>1310</v>
      </c>
      <c r="D298" s="0">
        <v>8</v>
      </c>
      <c r="E298" s="10">
        <f>HYPERLINK("http://www.lingerieopt.ru/images/original/5e90b13c-1941-463b-be6a-b9f668223783.jpg","Фото")</f>
      </c>
    </row>
    <row r="299">
      <c r="A299" s="7">
        <f>HYPERLINK("http://www.lingerieopt.ru/item/7730-teddi-scandalia-iz-materiala-s-wet-effektom/","7730")</f>
      </c>
      <c r="B299" s="8" t="s">
        <v>296</v>
      </c>
      <c r="C299" s="9">
        <v>1152</v>
      </c>
      <c r="D299" s="0">
        <v>1</v>
      </c>
      <c r="E299" s="10">
        <f>HYPERLINK("http://www.lingerieopt.ru/images/original/1a333620-3cca-47da-8b15-89c967cec95a.jpg","Фото")</f>
      </c>
    </row>
    <row r="300">
      <c r="A300" s="7">
        <f>HYPERLINK("http://www.lingerieopt.ru/item/7730-teddi-scandalia-iz-materiala-s-wet-effektom/","7730")</f>
      </c>
      <c r="B300" s="8" t="s">
        <v>297</v>
      </c>
      <c r="C300" s="9">
        <v>1152</v>
      </c>
      <c r="D300" s="0">
        <v>3</v>
      </c>
      <c r="E300" s="10">
        <f>HYPERLINK("http://www.lingerieopt.ru/images/original/1a333620-3cca-47da-8b15-89c967cec95a.jpg","Фото")</f>
      </c>
    </row>
    <row r="301">
      <c r="A301" s="7">
        <f>HYPERLINK("http://www.lingerieopt.ru/item/7745-kruzhevnoe-bodi-v-komplekte-s-manzhetami/","7745")</f>
      </c>
      <c r="B301" s="8" t="s">
        <v>298</v>
      </c>
      <c r="C301" s="9">
        <v>1176</v>
      </c>
      <c r="D301" s="0">
        <v>12</v>
      </c>
      <c r="E301" s="10">
        <f>HYPERLINK("http://www.lingerieopt.ru/images/original/50c18533-ffa0-493a-b4b7-ec4c27fa97aa.jpg","Фото")</f>
      </c>
    </row>
    <row r="302">
      <c r="A302" s="7">
        <f>HYPERLINK("http://www.lingerieopt.ru/item/7755-originalnji-teddi-s-otkrjtjm-zhivotom-i-spinkoi/","7755")</f>
      </c>
      <c r="B302" s="8" t="s">
        <v>299</v>
      </c>
      <c r="C302" s="9">
        <v>1060</v>
      </c>
      <c r="D302" s="0">
        <v>20</v>
      </c>
      <c r="E302" s="10">
        <f>HYPERLINK("http://www.lingerieopt.ru/images/original/fefb97dc-4327-4561-a62e-c4fb29246f73.jpg","Фото")</f>
      </c>
    </row>
    <row r="303">
      <c r="A303" s="7">
        <f>HYPERLINK("http://www.lingerieopt.ru/item/7802-azhurnoe-bodi-s-imitaciei-shnurovki/","7802")</f>
      </c>
      <c r="B303" s="8" t="s">
        <v>300</v>
      </c>
      <c r="C303" s="9">
        <v>642</v>
      </c>
      <c r="D303" s="0">
        <v>36</v>
      </c>
      <c r="E303" s="10">
        <f>HYPERLINK("http://www.lingerieopt.ru/images/original/327e0c0a-7597-4312-9565-effd1237ec19.jpg","Фото")</f>
      </c>
    </row>
    <row r="304">
      <c r="A304" s="7">
        <f>HYPERLINK("http://www.lingerieopt.ru/item/7806-bodi-kombinezon-s-chulkami/","7806")</f>
      </c>
      <c r="B304" s="8" t="s">
        <v>301</v>
      </c>
      <c r="C304" s="9">
        <v>1164</v>
      </c>
      <c r="D304" s="0">
        <v>3</v>
      </c>
      <c r="E304" s="10">
        <f>HYPERLINK("http://www.lingerieopt.ru/images/original/82cf34a1-1fc0-478d-9ba7-4751dd50de11.jpg","Фото")</f>
      </c>
    </row>
    <row r="305">
      <c r="A305" s="7">
        <f>HYPERLINK("http://www.lingerieopt.ru/item/7823-bodi-kombinezon-s-chulochkami/","7823")</f>
      </c>
      <c r="B305" s="8" t="s">
        <v>302</v>
      </c>
      <c r="C305" s="9">
        <v>661</v>
      </c>
      <c r="D305" s="0">
        <v>10</v>
      </c>
      <c r="E305" s="10">
        <f>HYPERLINK("http://www.lingerieopt.ru/images/original/bbe1485c-7006-448e-a6d4-71453ddc6582.jpg","Фото")</f>
      </c>
    </row>
    <row r="306">
      <c r="A306" s="7">
        <f>HYPERLINK("http://www.lingerieopt.ru/item/7833-originalnji-teddi-v-vide-podarochnjh-lent/","7833")</f>
      </c>
      <c r="B306" s="8" t="s">
        <v>303</v>
      </c>
      <c r="C306" s="9">
        <v>1153</v>
      </c>
      <c r="D306" s="0">
        <v>43</v>
      </c>
      <c r="E306" s="10">
        <f>HYPERLINK("http://www.lingerieopt.ru/images/original/5ea5a181-5440-4daa-acba-a949969165bf.jpg","Фото")</f>
      </c>
    </row>
    <row r="307">
      <c r="A307" s="7">
        <f>HYPERLINK("http://www.lingerieopt.ru/item/8293-setchatoe-bodi-musca-s-kruzhevnjmi-vstavkami-i-dostupom/","8293")</f>
      </c>
      <c r="B307" s="8" t="s">
        <v>304</v>
      </c>
      <c r="C307" s="9">
        <v>1472</v>
      </c>
      <c r="D307" s="0">
        <v>18</v>
      </c>
      <c r="E307" s="10">
        <f>HYPERLINK("http://www.lingerieopt.ru/images/original/ab66480b-f3f7-490e-8188-ca41aaf43f7b.jpg","Фото")</f>
      </c>
    </row>
    <row r="308">
      <c r="A308" s="7">
        <f>HYPERLINK("http://www.lingerieopt.ru/item/8293-setchatoe-bodi-musca-s-kruzhevnjmi-vstavkami-i-dostupom/","8293")</f>
      </c>
      <c r="B308" s="8" t="s">
        <v>305</v>
      </c>
      <c r="C308" s="9">
        <v>1472</v>
      </c>
      <c r="D308" s="0">
        <v>0</v>
      </c>
      <c r="E308" s="10">
        <f>HYPERLINK("http://www.lingerieopt.ru/images/original/ab66480b-f3f7-490e-8188-ca41aaf43f7b.jpg","Фото")</f>
      </c>
    </row>
    <row r="309">
      <c r="A309" s="7">
        <f>HYPERLINK("http://www.lingerieopt.ru/item/8294-bodi-charms-iz-cvetochnogo-kruzheva-s-intimnjm-dostupom/","8294")</f>
      </c>
      <c r="B309" s="8" t="s">
        <v>306</v>
      </c>
      <c r="C309" s="9">
        <v>1439</v>
      </c>
      <c r="D309" s="0">
        <v>2</v>
      </c>
      <c r="E309" s="10">
        <f>HYPERLINK("http://www.lingerieopt.ru/images/original/b192749d-c45d-409a-b9f8-1da3741357c3.jpg","Фото")</f>
      </c>
    </row>
    <row r="310">
      <c r="A310" s="7">
        <f>HYPERLINK("http://www.lingerieopt.ru/item/8294-bodi-charms-iz-cvetochnogo-kruzheva-s-intimnjm-dostupom/","8294")</f>
      </c>
      <c r="B310" s="8" t="s">
        <v>307</v>
      </c>
      <c r="C310" s="9">
        <v>1439</v>
      </c>
      <c r="D310" s="0">
        <v>2</v>
      </c>
      <c r="E310" s="10">
        <f>HYPERLINK("http://www.lingerieopt.ru/images/original/b192749d-c45d-409a-b9f8-1da3741357c3.jpg","Фото")</f>
      </c>
    </row>
    <row r="311">
      <c r="A311" s="7">
        <f>HYPERLINK("http://www.lingerieopt.ru/item/8294-bodi-charms-iz-cvetochnogo-kruzheva-s-intimnjm-dostupom/","8294")</f>
      </c>
      <c r="B311" s="8" t="s">
        <v>308</v>
      </c>
      <c r="C311" s="9">
        <v>1439</v>
      </c>
      <c r="D311" s="0">
        <v>0</v>
      </c>
      <c r="E311" s="10">
        <f>HYPERLINK("http://www.lingerieopt.ru/images/original/b192749d-c45d-409a-b9f8-1da3741357c3.jpg","Фото")</f>
      </c>
    </row>
    <row r="312">
      <c r="A312" s="7">
        <f>HYPERLINK("http://www.lingerieopt.ru/item/8294-bodi-charms-iz-cvetochnogo-kruzheva-s-intimnjm-dostupom/","8294")</f>
      </c>
      <c r="B312" s="8" t="s">
        <v>309</v>
      </c>
      <c r="C312" s="9">
        <v>1439</v>
      </c>
      <c r="D312" s="0">
        <v>0</v>
      </c>
      <c r="E312" s="10">
        <f>HYPERLINK("http://www.lingerieopt.ru/images/original/b192749d-c45d-409a-b9f8-1da3741357c3.jpg","Фото")</f>
      </c>
    </row>
    <row r="313">
      <c r="A313" s="7">
        <f>HYPERLINK("http://www.lingerieopt.ru/item/8404-kruzhevnoe-bodi-fiorenta-s-intimnjm-dostupom/","8404")</f>
      </c>
      <c r="B313" s="8" t="s">
        <v>310</v>
      </c>
      <c r="C313" s="9">
        <v>1825</v>
      </c>
      <c r="D313" s="0">
        <v>15</v>
      </c>
      <c r="E313" s="10">
        <f>HYPERLINK("http://www.lingerieopt.ru/images/original/11b500ad-79d3-4364-a7d9-35b8222fe664.jpg","Фото")</f>
      </c>
    </row>
    <row r="314">
      <c r="A314" s="7">
        <f>HYPERLINK("http://www.lingerieopt.ru/item/8411-roskoshnji-kruzhevnoi-teddi-alluria/","8411")</f>
      </c>
      <c r="B314" s="8" t="s">
        <v>311</v>
      </c>
      <c r="C314" s="9">
        <v>1693</v>
      </c>
      <c r="D314" s="0">
        <v>12</v>
      </c>
      <c r="E314" s="10">
        <f>HYPERLINK("http://www.lingerieopt.ru/images/original/5cb66227-e661-4c41-9b6d-05175a5f501e.jpg","Фото")</f>
      </c>
    </row>
    <row r="315">
      <c r="A315" s="7">
        <f>HYPERLINK("http://www.lingerieopt.ru/item/8411-roskoshnji-kruzhevnoi-teddi-alluria/","8411")</f>
      </c>
      <c r="B315" s="8" t="s">
        <v>312</v>
      </c>
      <c r="C315" s="9">
        <v>1693</v>
      </c>
      <c r="D315" s="0">
        <v>5</v>
      </c>
      <c r="E315" s="10">
        <f>HYPERLINK("http://www.lingerieopt.ru/images/original/5cb66227-e661-4c41-9b6d-05175a5f501e.jpg","Фото")</f>
      </c>
    </row>
    <row r="316">
      <c r="A316" s="7">
        <f>HYPERLINK("http://www.lingerieopt.ru/item/8412-poluprozrachnoe-bodi-julitta-s-kruzhevnoi-otdelkoi/","8412")</f>
      </c>
      <c r="B316" s="8" t="s">
        <v>313</v>
      </c>
      <c r="C316" s="9">
        <v>1577</v>
      </c>
      <c r="D316" s="0">
        <v>11</v>
      </c>
      <c r="E316" s="10">
        <f>HYPERLINK("http://www.lingerieopt.ru/images/original/4babf3c7-e822-40d1-a068-89df7504a10c.jpg","Фото")</f>
      </c>
    </row>
    <row r="317">
      <c r="A317" s="7">
        <f>HYPERLINK("http://www.lingerieopt.ru/item/8412-poluprozrachnoe-bodi-julitta-s-kruzhevnoi-otdelkoi/","8412")</f>
      </c>
      <c r="B317" s="8" t="s">
        <v>314</v>
      </c>
      <c r="C317" s="9">
        <v>1577</v>
      </c>
      <c r="D317" s="0">
        <v>0</v>
      </c>
      <c r="E317" s="10">
        <f>HYPERLINK("http://www.lingerieopt.ru/images/original/4babf3c7-e822-40d1-a068-89df7504a10c.jpg","Фото")</f>
      </c>
    </row>
    <row r="318">
      <c r="A318" s="7">
        <f>HYPERLINK("http://www.lingerieopt.ru/item/8414-effektnoe-bodi-suella-s-ukrasheniem-na-life/","8414")</f>
      </c>
      <c r="B318" s="8" t="s">
        <v>315</v>
      </c>
      <c r="C318" s="9">
        <v>1287</v>
      </c>
      <c r="D318" s="0">
        <v>3</v>
      </c>
      <c r="E318" s="10">
        <f>HYPERLINK("http://www.lingerieopt.ru/images/original/b7010fd8-bc94-4195-90eb-5cf4fb788f28.jpg","Фото")</f>
      </c>
    </row>
    <row r="319">
      <c r="A319" s="7">
        <f>HYPERLINK("http://www.lingerieopt.ru/item/8414-effektnoe-bodi-suella-s-ukrasheniem-na-life/","8414")</f>
      </c>
      <c r="B319" s="8" t="s">
        <v>316</v>
      </c>
      <c r="C319" s="9">
        <v>1287</v>
      </c>
      <c r="D319" s="0">
        <v>6</v>
      </c>
      <c r="E319" s="10">
        <f>HYPERLINK("http://www.lingerieopt.ru/images/original/b7010fd8-bc94-4195-90eb-5cf4fb788f28.jpg","Фото")</f>
      </c>
    </row>
    <row r="320">
      <c r="A320" s="7">
        <f>HYPERLINK("http://www.lingerieopt.ru/item/8459-teddi-s-kruzhevnjm-lifom-i-pazhami-dlya-chulok/","8459")</f>
      </c>
      <c r="B320" s="8" t="s">
        <v>317</v>
      </c>
      <c r="C320" s="9">
        <v>1603</v>
      </c>
      <c r="D320" s="0">
        <v>12</v>
      </c>
      <c r="E320" s="10">
        <f>HYPERLINK("http://www.lingerieopt.ru/images/original/647c68e6-ed01-45a2-927b-70e60d9c0d9e.jpg","Фото")</f>
      </c>
    </row>
    <row r="321">
      <c r="A321" s="7">
        <f>HYPERLINK("http://www.lingerieopt.ru/item/8462-fioletovoe-kruzhevnoe-bodi/","8462")</f>
      </c>
      <c r="B321" s="8" t="s">
        <v>318</v>
      </c>
      <c r="C321" s="9">
        <v>840</v>
      </c>
      <c r="D321" s="0">
        <v>6</v>
      </c>
      <c r="E321" s="10">
        <f>HYPERLINK("http://www.lingerieopt.ru/images/original/4ef92cdb-73fe-4a17-a81d-af5419efac10.jpg","Фото")</f>
      </c>
    </row>
    <row r="322">
      <c r="A322" s="7">
        <f>HYPERLINK("http://www.lingerieopt.ru/item/8464-myagkoe-bodi-monokini/","8464")</f>
      </c>
      <c r="B322" s="8" t="s">
        <v>319</v>
      </c>
      <c r="C322" s="9">
        <v>1197</v>
      </c>
      <c r="D322" s="0">
        <v>10</v>
      </c>
      <c r="E322" s="10">
        <f>HYPERLINK("http://www.lingerieopt.ru/images/original/80273a39-f81c-4f22-8ed0-f84926f21ffb.jpg","Фото")</f>
      </c>
    </row>
    <row r="323">
      <c r="A323" s="7">
        <f>HYPERLINK("http://www.lingerieopt.ru/item/8465-bodi-s-prodolnjmi-regulyatorami-i-chulkami/","8465")</f>
      </c>
      <c r="B323" s="8" t="s">
        <v>320</v>
      </c>
      <c r="C323" s="9">
        <v>1175</v>
      </c>
      <c r="D323" s="0">
        <v>13</v>
      </c>
      <c r="E323" s="10">
        <f>HYPERLINK("http://www.lingerieopt.ru/images/original/28bdd517-3f0f-4ba0-86a2-8459ac77c512.jpg","Фото")</f>
      </c>
    </row>
    <row r="324">
      <c r="A324" s="7">
        <f>HYPERLINK("http://www.lingerieopt.ru/item/8466-bodi-s-kruzhevnjm-lifom-na-kostochkah/","8466")</f>
      </c>
      <c r="B324" s="8" t="s">
        <v>321</v>
      </c>
      <c r="C324" s="9">
        <v>1338</v>
      </c>
      <c r="D324" s="0">
        <v>12</v>
      </c>
      <c r="E324" s="10">
        <f>HYPERLINK("http://www.lingerieopt.ru/images/original/593ee7ef-7d5c-4036-9812-e58225d3cbbf.jpg","Фото")</f>
      </c>
    </row>
    <row r="325">
      <c r="A325" s="7">
        <f>HYPERLINK("http://www.lingerieopt.ru/item/8466-bodi-s-kruzhevnjm-lifom-na-kostochkah/","8466")</f>
      </c>
      <c r="B325" s="8" t="s">
        <v>322</v>
      </c>
      <c r="C325" s="9">
        <v>1338</v>
      </c>
      <c r="D325" s="0">
        <v>16</v>
      </c>
      <c r="E325" s="10">
        <f>HYPERLINK("http://www.lingerieopt.ru/images/original/593ee7ef-7d5c-4036-9812-e58225d3cbbf.jpg","Фото")</f>
      </c>
    </row>
    <row r="326">
      <c r="A326" s="7">
        <f>HYPERLINK("http://www.lingerieopt.ru/item/8470-azhurnoe-bodi-s-otkrjtoi-spinoi/","8470")</f>
      </c>
      <c r="B326" s="8" t="s">
        <v>323</v>
      </c>
      <c r="C326" s="9">
        <v>1213</v>
      </c>
      <c r="D326" s="0">
        <v>19</v>
      </c>
      <c r="E326" s="10">
        <f>HYPERLINK("http://www.lingerieopt.ru/images/original/7d423eb4-5e8e-4f2c-ad42-875f7b32e048.jpg","Фото")</f>
      </c>
    </row>
    <row r="327">
      <c r="A327" s="7">
        <f>HYPERLINK("http://www.lingerieopt.ru/item/8470-azhurnoe-bodi-s-otkrjtoi-spinoi/","8470")</f>
      </c>
      <c r="B327" s="8" t="s">
        <v>324</v>
      </c>
      <c r="C327" s="9">
        <v>1213</v>
      </c>
      <c r="D327" s="0">
        <v>11</v>
      </c>
      <c r="E327" s="10">
        <f>HYPERLINK("http://www.lingerieopt.ru/images/original/7d423eb4-5e8e-4f2c-ad42-875f7b32e048.jpg","Фото")</f>
      </c>
    </row>
    <row r="328">
      <c r="A328" s="7">
        <f>HYPERLINK("http://www.lingerieopt.ru/item/8478-chernoe-bodi-portupeya-naomi/","8478")</f>
      </c>
      <c r="B328" s="8" t="s">
        <v>325</v>
      </c>
      <c r="C328" s="9">
        <v>4396</v>
      </c>
      <c r="D328" s="0">
        <v>8</v>
      </c>
      <c r="E328" s="10">
        <f>HYPERLINK("http://www.lingerieopt.ru/images/original/9adc2a9e-11bc-4147-89a1-ea85b59d5b6d.jpg","Фото")</f>
      </c>
    </row>
    <row r="329">
      <c r="A329" s="7">
        <f>HYPERLINK("http://www.lingerieopt.ru/item/8494-effektnoe-bodi-jean-iz-tkani-s-mokrjm-bleskom/","8494")</f>
      </c>
      <c r="B329" s="8" t="s">
        <v>326</v>
      </c>
      <c r="C329" s="9">
        <v>1299</v>
      </c>
      <c r="D329" s="0">
        <v>3</v>
      </c>
      <c r="E329" s="10">
        <f>HYPERLINK("http://www.lingerieopt.ru/images/original/cd714bca-f747-4361-9be2-5ecc94bc8490.jpg","Фото")</f>
      </c>
    </row>
    <row r="330">
      <c r="A330" s="7">
        <f>HYPERLINK("http://www.lingerieopt.ru/item/8494-effektnoe-bodi-jean-iz-tkani-s-mokrjm-bleskom/","8494")</f>
      </c>
      <c r="B330" s="8" t="s">
        <v>327</v>
      </c>
      <c r="C330" s="9">
        <v>1299</v>
      </c>
      <c r="D330" s="0">
        <v>2</v>
      </c>
      <c r="E330" s="10">
        <f>HYPERLINK("http://www.lingerieopt.ru/images/original/cd714bca-f747-4361-9be2-5ecc94bc8490.jpg","Фото")</f>
      </c>
    </row>
    <row r="331">
      <c r="A331" s="7">
        <f>HYPERLINK("http://www.lingerieopt.ru/item/8495-bodi-will-s-bantami-i-podvyazkami/","8495")</f>
      </c>
      <c r="B331" s="8" t="s">
        <v>328</v>
      </c>
      <c r="C331" s="9">
        <v>1299</v>
      </c>
      <c r="D331" s="0">
        <v>4</v>
      </c>
      <c r="E331" s="10">
        <f>HYPERLINK("http://www.lingerieopt.ru/images/original/57f52cab-9aef-4a77-9c16-760aa037810d.jpg","Фото")</f>
      </c>
    </row>
    <row r="332">
      <c r="A332" s="7">
        <f>HYPERLINK("http://www.lingerieopt.ru/item/8495-bodi-will-s-bantami-i-podvyazkami/","8495")</f>
      </c>
      <c r="B332" s="8" t="s">
        <v>329</v>
      </c>
      <c r="C332" s="9">
        <v>1299</v>
      </c>
      <c r="D332" s="0">
        <v>2</v>
      </c>
      <c r="E332" s="10">
        <f>HYPERLINK("http://www.lingerieopt.ru/images/original/57f52cab-9aef-4a77-9c16-760aa037810d.jpg","Фото")</f>
      </c>
    </row>
    <row r="333">
      <c r="A333" s="7">
        <f>HYPERLINK("http://www.lingerieopt.ru/item/8518-bodi-iz-kruzhevnogo-polotna/","8518")</f>
      </c>
      <c r="B333" s="8" t="s">
        <v>330</v>
      </c>
      <c r="C333" s="9">
        <v>752</v>
      </c>
      <c r="D333" s="0">
        <v>0</v>
      </c>
      <c r="E333" s="10">
        <f>HYPERLINK("http://www.lingerieopt.ru/images/original/c6baaa83-7d6a-472c-9ce1-435f926d700f.jpg","Фото")</f>
      </c>
    </row>
    <row r="334">
      <c r="A334" s="7">
        <f>HYPERLINK("http://www.lingerieopt.ru/item/8518-bodi-iz-kruzhevnogo-polotna/","8518")</f>
      </c>
      <c r="B334" s="8" t="s">
        <v>331</v>
      </c>
      <c r="C334" s="9">
        <v>752</v>
      </c>
      <c r="D334" s="0">
        <v>5</v>
      </c>
      <c r="E334" s="10">
        <f>HYPERLINK("http://www.lingerieopt.ru/images/original/c6baaa83-7d6a-472c-9ce1-435f926d700f.jpg","Фото")</f>
      </c>
    </row>
    <row r="335">
      <c r="A335" s="7">
        <f>HYPERLINK("http://www.lingerieopt.ru/item/8518-bodi-iz-kruzhevnogo-polotna/","8518")</f>
      </c>
      <c r="B335" s="8" t="s">
        <v>332</v>
      </c>
      <c r="C335" s="9">
        <v>752</v>
      </c>
      <c r="D335" s="0">
        <v>1</v>
      </c>
      <c r="E335" s="10">
        <f>HYPERLINK("http://www.lingerieopt.ru/images/original/c6baaa83-7d6a-472c-9ce1-435f926d700f.jpg","Фото")</f>
      </c>
    </row>
    <row r="336">
      <c r="A336" s="7">
        <f>HYPERLINK("http://www.lingerieopt.ru/item/8519-bodi-s-kruzhevnjm-zhabo/","8519")</f>
      </c>
      <c r="B336" s="8" t="s">
        <v>333</v>
      </c>
      <c r="C336" s="9">
        <v>811</v>
      </c>
      <c r="D336" s="0">
        <v>10</v>
      </c>
      <c r="E336" s="10">
        <f>HYPERLINK("http://www.lingerieopt.ru/images/original/a4bee73f-f191-44b4-8f3d-195ac5d9ff60.jpg","Фото")</f>
      </c>
    </row>
    <row r="337">
      <c r="A337" s="7">
        <f>HYPERLINK("http://www.lingerieopt.ru/item/8519-bodi-s-kruzhevnjm-zhabo/","8519")</f>
      </c>
      <c r="B337" s="8" t="s">
        <v>334</v>
      </c>
      <c r="C337" s="9">
        <v>811</v>
      </c>
      <c r="D337" s="0">
        <v>20</v>
      </c>
      <c r="E337" s="10">
        <f>HYPERLINK("http://www.lingerieopt.ru/images/original/a4bee73f-f191-44b4-8f3d-195ac5d9ff60.jpg","Фото")</f>
      </c>
    </row>
    <row r="338">
      <c r="A338" s="7">
        <f>HYPERLINK("http://www.lingerieopt.ru/item/8519-bodi-s-kruzhevnjm-zhabo/","8519")</f>
      </c>
      <c r="B338" s="8" t="s">
        <v>335</v>
      </c>
      <c r="C338" s="9">
        <v>811</v>
      </c>
      <c r="D338" s="0">
        <v>0</v>
      </c>
      <c r="E338" s="10">
        <f>HYPERLINK("http://www.lingerieopt.ru/images/original/a4bee73f-f191-44b4-8f3d-195ac5d9ff60.jpg","Фото")</f>
      </c>
    </row>
    <row r="339">
      <c r="A339" s="7">
        <f>HYPERLINK("http://www.lingerieopt.ru/item/8520-kruzhevnoe-elastichnoe-bodi-s-glubokim-dekolte/","8520")</f>
      </c>
      <c r="B339" s="8" t="s">
        <v>336</v>
      </c>
      <c r="C339" s="9">
        <v>881</v>
      </c>
      <c r="D339" s="0">
        <v>10</v>
      </c>
      <c r="E339" s="10">
        <f>HYPERLINK("http://www.lingerieopt.ru/images/original/fb18a6f6-3f1b-49f1-b102-da527b2e3172.jpg","Фото")</f>
      </c>
    </row>
    <row r="340">
      <c r="A340" s="7">
        <f>HYPERLINK("http://www.lingerieopt.ru/item/8520-kruzhevnoe-elastichnoe-bodi-s-glubokim-dekolte/","8520")</f>
      </c>
      <c r="B340" s="8" t="s">
        <v>337</v>
      </c>
      <c r="C340" s="9">
        <v>881</v>
      </c>
      <c r="D340" s="0">
        <v>10</v>
      </c>
      <c r="E340" s="10">
        <f>HYPERLINK("http://www.lingerieopt.ru/images/original/fb18a6f6-3f1b-49f1-b102-da527b2e3172.jpg","Фото")</f>
      </c>
    </row>
    <row r="341">
      <c r="A341" s="7">
        <f>HYPERLINK("http://www.lingerieopt.ru/item/8520-kruzhevnoe-elastichnoe-bodi-s-glubokim-dekolte/","8520")</f>
      </c>
      <c r="B341" s="8" t="s">
        <v>338</v>
      </c>
      <c r="C341" s="9">
        <v>881</v>
      </c>
      <c r="D341" s="0">
        <v>0</v>
      </c>
      <c r="E341" s="10">
        <f>HYPERLINK("http://www.lingerieopt.ru/images/original/fb18a6f6-3f1b-49f1-b102-da527b2e3172.jpg","Фото")</f>
      </c>
    </row>
    <row r="342">
      <c r="A342" s="7">
        <f>HYPERLINK("http://www.lingerieopt.ru/item/8526-soblaznitelnoe-bodi-clover-s-effektom-wetlook/","8526")</f>
      </c>
      <c r="B342" s="8" t="s">
        <v>339</v>
      </c>
      <c r="C342" s="9">
        <v>1299</v>
      </c>
      <c r="D342" s="0">
        <v>8</v>
      </c>
      <c r="E342" s="10">
        <f>HYPERLINK("http://www.lingerieopt.ru/images/original/0bfa16be-465f-44f4-9b4b-9b96ecacb947.jpg","Фото")</f>
      </c>
    </row>
    <row r="343">
      <c r="A343" s="7">
        <f>HYPERLINK("http://www.lingerieopt.ru/item/8526-soblaznitelnoe-bodi-clover-s-effektom-wetlook/","8526")</f>
      </c>
      <c r="B343" s="8" t="s">
        <v>340</v>
      </c>
      <c r="C343" s="9">
        <v>1299</v>
      </c>
      <c r="D343" s="0">
        <v>8</v>
      </c>
      <c r="E343" s="10">
        <f>HYPERLINK("http://www.lingerieopt.ru/images/original/0bfa16be-465f-44f4-9b4b-9b96ecacb947.jpg","Фото")</f>
      </c>
    </row>
    <row r="344">
      <c r="A344" s="7">
        <f>HYPERLINK("http://www.lingerieopt.ru/item/8542-bodi-eltero-s-aksessuarami/","8542")</f>
      </c>
      <c r="B344" s="8" t="s">
        <v>341</v>
      </c>
      <c r="C344" s="9">
        <v>768</v>
      </c>
      <c r="D344" s="0">
        <v>6</v>
      </c>
      <c r="E344" s="10">
        <f>HYPERLINK("http://www.lingerieopt.ru/images/original/e1afe554-1777-4727-bcd4-bc85154bf348.jpg","Фото")</f>
      </c>
    </row>
    <row r="345">
      <c r="A345" s="7">
        <f>HYPERLINK("http://www.lingerieopt.ru/item/8542-bodi-eltero-s-aksessuarami/","8542")</f>
      </c>
      <c r="B345" s="8" t="s">
        <v>342</v>
      </c>
      <c r="C345" s="9">
        <v>768</v>
      </c>
      <c r="D345" s="0">
        <v>4</v>
      </c>
      <c r="E345" s="10">
        <f>HYPERLINK("http://www.lingerieopt.ru/images/original/e1afe554-1777-4727-bcd4-bc85154bf348.jpg","Фото")</f>
      </c>
    </row>
    <row r="346">
      <c r="A346" s="7">
        <f>HYPERLINK("http://www.lingerieopt.ru/item/8542-bodi-eltero-s-aksessuarami/","8542")</f>
      </c>
      <c r="B346" s="8" t="s">
        <v>343</v>
      </c>
      <c r="C346" s="9">
        <v>768</v>
      </c>
      <c r="D346" s="0">
        <v>4</v>
      </c>
      <c r="E346" s="10">
        <f>HYPERLINK("http://www.lingerieopt.ru/images/original/e1afe554-1777-4727-bcd4-bc85154bf348.jpg","Фото")</f>
      </c>
    </row>
    <row r="347">
      <c r="A347" s="7">
        <f>HYPERLINK("http://www.lingerieopt.ru/item/8542-bodi-eltero-s-aksessuarami/","8542")</f>
      </c>
      <c r="B347" s="8" t="s">
        <v>344</v>
      </c>
      <c r="C347" s="9">
        <v>768</v>
      </c>
      <c r="D347" s="0">
        <v>4</v>
      </c>
      <c r="E347" s="10">
        <f>HYPERLINK("http://www.lingerieopt.ru/images/original/e1afe554-1777-4727-bcd4-bc85154bf348.jpg","Фото")</f>
      </c>
    </row>
    <row r="348">
      <c r="A348" s="7">
        <f>HYPERLINK("http://www.lingerieopt.ru/item/8585-prozrachnoe-bodi-aisha-s-vjshivkoi/","8585")</f>
      </c>
      <c r="B348" s="8" t="s">
        <v>345</v>
      </c>
      <c r="C348" s="9">
        <v>1227</v>
      </c>
      <c r="D348" s="0">
        <v>2</v>
      </c>
      <c r="E348" s="10">
        <f>HYPERLINK("http://www.lingerieopt.ru/images/original/6410ef37-fe73-48ca-848b-09ab030768b3.jpg","Фото")</f>
      </c>
    </row>
    <row r="349">
      <c r="A349" s="7">
        <f>HYPERLINK("http://www.lingerieopt.ru/item/8585-prozrachnoe-bodi-aisha-s-vjshivkoi/","8585")</f>
      </c>
      <c r="B349" s="8" t="s">
        <v>346</v>
      </c>
      <c r="C349" s="9">
        <v>1227</v>
      </c>
      <c r="D349" s="0">
        <v>1</v>
      </c>
      <c r="E349" s="10">
        <f>HYPERLINK("http://www.lingerieopt.ru/images/original/6410ef37-fe73-48ca-848b-09ab030768b3.jpg","Фото")</f>
      </c>
    </row>
    <row r="350">
      <c r="A350" s="7">
        <f>HYPERLINK("http://www.lingerieopt.ru/item/8585-prozrachnoe-bodi-aisha-s-vjshivkoi/","8585")</f>
      </c>
      <c r="B350" s="8" t="s">
        <v>347</v>
      </c>
      <c r="C350" s="9">
        <v>1227</v>
      </c>
      <c r="D350" s="0">
        <v>0</v>
      </c>
      <c r="E350" s="10">
        <f>HYPERLINK("http://www.lingerieopt.ru/images/original/6410ef37-fe73-48ca-848b-09ab030768b3.jpg","Фото")</f>
      </c>
    </row>
    <row r="351">
      <c r="A351" s="7">
        <f>HYPERLINK("http://www.lingerieopt.ru/item/8585-prozrachnoe-bodi-aisha-s-vjshivkoi/","8585")</f>
      </c>
      <c r="B351" s="8" t="s">
        <v>348</v>
      </c>
      <c r="C351" s="9">
        <v>1227</v>
      </c>
      <c r="D351" s="0">
        <v>0</v>
      </c>
      <c r="E351" s="10">
        <f>HYPERLINK("http://www.lingerieopt.ru/images/original/6410ef37-fe73-48ca-848b-09ab030768b3.jpg","Фото")</f>
      </c>
    </row>
    <row r="352">
      <c r="A352" s="7">
        <f>HYPERLINK("http://www.lingerieopt.ru/item/8586-elegantnoe-bodi-inspiration/","8586")</f>
      </c>
      <c r="B352" s="8" t="s">
        <v>349</v>
      </c>
      <c r="C352" s="9">
        <v>1334</v>
      </c>
      <c r="D352" s="0">
        <v>2</v>
      </c>
      <c r="E352" s="10">
        <f>HYPERLINK("http://www.lingerieopt.ru/images/original/4a6b3982-4881-4212-848e-f634493b82b7.jpg","Фото")</f>
      </c>
    </row>
    <row r="353">
      <c r="A353" s="7">
        <f>HYPERLINK("http://www.lingerieopt.ru/item/8607-bodi-wonderia-s-malenkimi-bantami/","8607")</f>
      </c>
      <c r="B353" s="8" t="s">
        <v>350</v>
      </c>
      <c r="C353" s="9">
        <v>1022</v>
      </c>
      <c r="D353" s="0">
        <v>7</v>
      </c>
      <c r="E353" s="10">
        <f>HYPERLINK("http://www.lingerieopt.ru/images/original/5dd59ddd-63da-47c0-8d1f-e757e6670140.jpg","Фото")</f>
      </c>
    </row>
    <row r="354">
      <c r="A354" s="7">
        <f>HYPERLINK("http://www.lingerieopt.ru/item/8649-otkrjtoe-bodi-antara/","8649")</f>
      </c>
      <c r="B354" s="8" t="s">
        <v>351</v>
      </c>
      <c r="C354" s="9">
        <v>1937</v>
      </c>
      <c r="D354" s="0">
        <v>3</v>
      </c>
      <c r="E354" s="10">
        <f>HYPERLINK("http://www.lingerieopt.ru/images/original/1f3fe1d5-74e7-44aa-87b5-409e32b94021.jpg","Фото")</f>
      </c>
    </row>
    <row r="355">
      <c r="A355" s="7">
        <f>HYPERLINK("http://www.lingerieopt.ru/item/8649-otkrjtoe-bodi-antara/","8649")</f>
      </c>
      <c r="B355" s="8" t="s">
        <v>352</v>
      </c>
      <c r="C355" s="9">
        <v>1937</v>
      </c>
      <c r="D355" s="0">
        <v>6</v>
      </c>
      <c r="E355" s="10">
        <f>HYPERLINK("http://www.lingerieopt.ru/images/original/1f3fe1d5-74e7-44aa-87b5-409e32b94021.jpg","Фото")</f>
      </c>
    </row>
    <row r="356">
      <c r="A356" s="7">
        <f>HYPERLINK("http://www.lingerieopt.ru/item/8649-otkrjtoe-bodi-antara/","8649")</f>
      </c>
      <c r="B356" s="8" t="s">
        <v>353</v>
      </c>
      <c r="C356" s="9">
        <v>1937</v>
      </c>
      <c r="D356" s="0">
        <v>7</v>
      </c>
      <c r="E356" s="10">
        <f>HYPERLINK("http://www.lingerieopt.ru/images/original/1f3fe1d5-74e7-44aa-87b5-409e32b94021.jpg","Фото")</f>
      </c>
    </row>
    <row r="357">
      <c r="A357" s="7">
        <f>HYPERLINK("http://www.lingerieopt.ru/item/8649-otkrjtoe-bodi-antara/","8649")</f>
      </c>
      <c r="B357" s="8" t="s">
        <v>354</v>
      </c>
      <c r="C357" s="9">
        <v>1937</v>
      </c>
      <c r="D357" s="0">
        <v>3</v>
      </c>
      <c r="E357" s="10">
        <f>HYPERLINK("http://www.lingerieopt.ru/images/original/1f3fe1d5-74e7-44aa-87b5-409e32b94021.jpg","Фото")</f>
      </c>
    </row>
    <row r="358">
      <c r="A358" s="7">
        <f>HYPERLINK("http://www.lingerieopt.ru/item/8657-prozrachnoe-bodi-s-businkami-na-dekolte/","8657")</f>
      </c>
      <c r="B358" s="8" t="s">
        <v>355</v>
      </c>
      <c r="C358" s="9">
        <v>1510</v>
      </c>
      <c r="D358" s="0">
        <v>5</v>
      </c>
      <c r="E358" s="10">
        <f>HYPERLINK("http://www.lingerieopt.ru/images/original/1b9ae2b4-ca4a-4c3a-a040-fd327ab2b7dc.jpg","Фото")</f>
      </c>
    </row>
    <row r="359">
      <c r="A359" s="7">
        <f>HYPERLINK("http://www.lingerieopt.ru/item/8657-prozrachnoe-bodi-s-businkami-na-dekolte/","8657")</f>
      </c>
      <c r="B359" s="8" t="s">
        <v>356</v>
      </c>
      <c r="C359" s="9">
        <v>1510</v>
      </c>
      <c r="D359" s="0">
        <v>3</v>
      </c>
      <c r="E359" s="10">
        <f>HYPERLINK("http://www.lingerieopt.ru/images/original/1b9ae2b4-ca4a-4c3a-a040-fd327ab2b7dc.jpg","Фото")</f>
      </c>
    </row>
    <row r="360">
      <c r="A360" s="7">
        <f>HYPERLINK("http://www.lingerieopt.ru/item/8691-bodi-dagoma-s-aksessuarami-dlya-lyubovnoi-igrj/","8691")</f>
      </c>
      <c r="B360" s="8" t="s">
        <v>357</v>
      </c>
      <c r="C360" s="9">
        <v>1063</v>
      </c>
      <c r="D360" s="0">
        <v>4</v>
      </c>
      <c r="E360" s="10">
        <f>HYPERLINK("http://www.lingerieopt.ru/images/original/4e01252e-83f2-4493-bf49-77231256571a.jpg","Фото")</f>
      </c>
    </row>
    <row r="361">
      <c r="A361" s="7">
        <f>HYPERLINK("http://www.lingerieopt.ru/item/8691-bodi-dagoma-s-aksessuarami-dlya-lyubovnoi-igrj/","8691")</f>
      </c>
      <c r="B361" s="8" t="s">
        <v>358</v>
      </c>
      <c r="C361" s="9">
        <v>1063</v>
      </c>
      <c r="D361" s="0">
        <v>7</v>
      </c>
      <c r="E361" s="10">
        <f>HYPERLINK("http://www.lingerieopt.ru/images/original/4e01252e-83f2-4493-bf49-77231256571a.jpg","Фото")</f>
      </c>
    </row>
    <row r="362">
      <c r="A362" s="7">
        <f>HYPERLINK("http://www.lingerieopt.ru/item/8691-bodi-dagoma-s-aksessuarami-dlya-lyubovnoi-igrj/","8691")</f>
      </c>
      <c r="B362" s="8" t="s">
        <v>359</v>
      </c>
      <c r="C362" s="9">
        <v>1063</v>
      </c>
      <c r="D362" s="0">
        <v>1</v>
      </c>
      <c r="E362" s="10">
        <f>HYPERLINK("http://www.lingerieopt.ru/images/original/4e01252e-83f2-4493-bf49-77231256571a.jpg","Фото")</f>
      </c>
    </row>
    <row r="363">
      <c r="A363" s="7">
        <f>HYPERLINK("http://www.lingerieopt.ru/item/8691-bodi-dagoma-s-aksessuarami-dlya-lyubovnoi-igrj/","8691")</f>
      </c>
      <c r="B363" s="8" t="s">
        <v>360</v>
      </c>
      <c r="C363" s="9">
        <v>1063</v>
      </c>
      <c r="D363" s="0">
        <v>2</v>
      </c>
      <c r="E363" s="10">
        <f>HYPERLINK("http://www.lingerieopt.ru/images/original/4e01252e-83f2-4493-bf49-77231256571a.jpg","Фото")</f>
      </c>
    </row>
    <row r="364">
      <c r="A364" s="7">
        <f>HYPERLINK("http://www.lingerieopt.ru/item/8710-kruzhevnoe-bodi-penny/","8710")</f>
      </c>
      <c r="B364" s="8" t="s">
        <v>361</v>
      </c>
      <c r="C364" s="9">
        <v>780</v>
      </c>
      <c r="D364" s="0">
        <v>0</v>
      </c>
      <c r="E364" s="10">
        <f>HYPERLINK("http://www.lingerieopt.ru/images/original/b47ac924-5348-4503-8c43-e45b1889eba0.jpg","Фото")</f>
      </c>
    </row>
    <row r="365">
      <c r="A365" s="7">
        <f>HYPERLINK("http://www.lingerieopt.ru/item/8710-kruzhevnoe-bodi-penny/","8710")</f>
      </c>
      <c r="B365" s="8" t="s">
        <v>362</v>
      </c>
      <c r="C365" s="9">
        <v>780</v>
      </c>
      <c r="D365" s="0">
        <v>0</v>
      </c>
      <c r="E365" s="10">
        <f>HYPERLINK("http://www.lingerieopt.ru/images/original/b47ac924-5348-4503-8c43-e45b1889eba0.jpg","Фото")</f>
      </c>
    </row>
    <row r="366">
      <c r="A366" s="7">
        <f>HYPERLINK("http://www.lingerieopt.ru/item/8710-kruzhevnoe-bodi-penny/","8710")</f>
      </c>
      <c r="B366" s="8" t="s">
        <v>363</v>
      </c>
      <c r="C366" s="9">
        <v>780</v>
      </c>
      <c r="D366" s="0">
        <v>5</v>
      </c>
      <c r="E366" s="10">
        <f>HYPERLINK("http://www.lingerieopt.ru/images/original/b47ac924-5348-4503-8c43-e45b1889eba0.jpg","Фото")</f>
      </c>
    </row>
    <row r="367">
      <c r="A367" s="7">
        <f>HYPERLINK("http://www.lingerieopt.ru/item/8710-kruzhevnoe-bodi-penny/","8710")</f>
      </c>
      <c r="B367" s="8" t="s">
        <v>364</v>
      </c>
      <c r="C367" s="9">
        <v>780</v>
      </c>
      <c r="D367" s="0">
        <v>0</v>
      </c>
      <c r="E367" s="10">
        <f>HYPERLINK("http://www.lingerieopt.ru/images/original/b47ac924-5348-4503-8c43-e45b1889eba0.jpg","Фото")</f>
      </c>
    </row>
    <row r="368">
      <c r="A368" s="7">
        <f>HYPERLINK("http://www.lingerieopt.ru/item/8770-bodi-brida-s-otkrjtoi-spinoi/","8770")</f>
      </c>
      <c r="B368" s="8" t="s">
        <v>365</v>
      </c>
      <c r="C368" s="9">
        <v>1755</v>
      </c>
      <c r="D368" s="0">
        <v>4</v>
      </c>
      <c r="E368" s="10">
        <f>HYPERLINK("http://www.lingerieopt.ru/images/original/eebe94f6-7515-4d9f-836f-2f3d1f7f1c60.jpg","Фото")</f>
      </c>
    </row>
    <row r="369">
      <c r="A369" s="7">
        <f>HYPERLINK("http://www.lingerieopt.ru/item/8770-bodi-brida-s-otkrjtoi-spinoi/","8770")</f>
      </c>
      <c r="B369" s="8" t="s">
        <v>366</v>
      </c>
      <c r="C369" s="9">
        <v>1755</v>
      </c>
      <c r="D369" s="0">
        <v>4</v>
      </c>
      <c r="E369" s="10">
        <f>HYPERLINK("http://www.lingerieopt.ru/images/original/eebe94f6-7515-4d9f-836f-2f3d1f7f1c60.jpg","Фото")</f>
      </c>
    </row>
    <row r="370">
      <c r="A370" s="7">
        <f>HYPERLINK("http://www.lingerieopt.ru/item/8770-bodi-brida-s-otkrjtoi-spinoi/","8770")</f>
      </c>
      <c r="B370" s="8" t="s">
        <v>367</v>
      </c>
      <c r="C370" s="9">
        <v>1755</v>
      </c>
      <c r="D370" s="0">
        <v>2</v>
      </c>
      <c r="E370" s="10">
        <f>HYPERLINK("http://www.lingerieopt.ru/images/original/eebe94f6-7515-4d9f-836f-2f3d1f7f1c60.jpg","Фото")</f>
      </c>
    </row>
    <row r="371">
      <c r="A371" s="7">
        <f>HYPERLINK("http://www.lingerieopt.ru/item/8770-bodi-brida-s-otkrjtoi-spinoi/","8770")</f>
      </c>
      <c r="B371" s="8" t="s">
        <v>368</v>
      </c>
      <c r="C371" s="9">
        <v>1755</v>
      </c>
      <c r="D371" s="0">
        <v>2</v>
      </c>
      <c r="E371" s="10">
        <f>HYPERLINK("http://www.lingerieopt.ru/images/original/eebe94f6-7515-4d9f-836f-2f3d1f7f1c60.jpg","Фото")</f>
      </c>
    </row>
    <row r="372">
      <c r="A372" s="7">
        <f>HYPERLINK("http://www.lingerieopt.ru/item/8796-bodi-nadya-s-nebolshimi-vjrezami-na-life/","8796")</f>
      </c>
      <c r="B372" s="8" t="s">
        <v>369</v>
      </c>
      <c r="C372" s="9">
        <v>1299</v>
      </c>
      <c r="D372" s="0">
        <v>5</v>
      </c>
      <c r="E372" s="10">
        <f>HYPERLINK("http://www.lingerieopt.ru/images/original/477a7a47-6da0-48b3-852c-b5d7575d9c35.jpg","Фото")</f>
      </c>
    </row>
    <row r="373">
      <c r="A373" s="7">
        <f>HYPERLINK("http://www.lingerieopt.ru/item/8796-bodi-nadya-s-nebolshimi-vjrezami-na-life/","8796")</f>
      </c>
      <c r="B373" s="8" t="s">
        <v>370</v>
      </c>
      <c r="C373" s="9">
        <v>1299</v>
      </c>
      <c r="D373" s="0">
        <v>5</v>
      </c>
      <c r="E373" s="10">
        <f>HYPERLINK("http://www.lingerieopt.ru/images/original/477a7a47-6da0-48b3-852c-b5d7575d9c35.jpg","Фото")</f>
      </c>
    </row>
    <row r="374">
      <c r="A374" s="7">
        <f>HYPERLINK("http://www.lingerieopt.ru/item/8809-kruzhevnoe-bodi-otavia-s-oborkami/","8809")</f>
      </c>
      <c r="B374" s="8" t="s">
        <v>371</v>
      </c>
      <c r="C374" s="9">
        <v>1299</v>
      </c>
      <c r="D374" s="0">
        <v>5</v>
      </c>
      <c r="E374" s="10">
        <f>HYPERLINK("http://www.lingerieopt.ru/images/original/661959fb-aaa7-4fa7-b13e-cd3beca42257.jpg","Фото")</f>
      </c>
    </row>
    <row r="375">
      <c r="A375" s="7">
        <f>HYPERLINK("http://www.lingerieopt.ru/item/8809-kruzhevnoe-bodi-otavia-s-oborkami/","8809")</f>
      </c>
      <c r="B375" s="8" t="s">
        <v>372</v>
      </c>
      <c r="C375" s="9">
        <v>1299</v>
      </c>
      <c r="D375" s="0">
        <v>2</v>
      </c>
      <c r="E375" s="10">
        <f>HYPERLINK("http://www.lingerieopt.ru/images/original/661959fb-aaa7-4fa7-b13e-cd3beca42257.jpg","Фото")</f>
      </c>
    </row>
    <row r="376">
      <c r="A376" s="7">
        <f>HYPERLINK("http://www.lingerieopt.ru/item/8820-poluprozrachnoe-bodi-lumia/","8820")</f>
      </c>
      <c r="B376" s="8" t="s">
        <v>373</v>
      </c>
      <c r="C376" s="9">
        <v>1299</v>
      </c>
      <c r="D376" s="0">
        <v>3</v>
      </c>
      <c r="E376" s="10">
        <f>HYPERLINK("http://www.lingerieopt.ru/images/original/5bba58cd-64f8-435f-b09f-0aa21a3be852.jpg","Фото")</f>
      </c>
    </row>
    <row r="377">
      <c r="A377" s="7">
        <f>HYPERLINK("http://www.lingerieopt.ru/item/8820-poluprozrachnoe-bodi-lumia/","8820")</f>
      </c>
      <c r="B377" s="8" t="s">
        <v>374</v>
      </c>
      <c r="C377" s="9">
        <v>1299</v>
      </c>
      <c r="D377" s="0">
        <v>4</v>
      </c>
      <c r="E377" s="10">
        <f>HYPERLINK("http://www.lingerieopt.ru/images/original/5bba58cd-64f8-435f-b09f-0aa21a3be852.jpg","Фото")</f>
      </c>
    </row>
    <row r="378">
      <c r="A378" s="7">
        <f>HYPERLINK("http://www.lingerieopt.ru/item/8829-kruzhevnoe-bodi-adara-s-poluotkrjtoi-grudyu/","8829")</f>
      </c>
      <c r="B378" s="8" t="s">
        <v>375</v>
      </c>
      <c r="C378" s="9">
        <v>1299</v>
      </c>
      <c r="D378" s="0">
        <v>0</v>
      </c>
      <c r="E378" s="10">
        <f>HYPERLINK("http://www.lingerieopt.ru/images/original/6fd97d93-78b1-4a1a-ac58-b220762b0456.jpg","Фото")</f>
      </c>
    </row>
    <row r="379">
      <c r="A379" s="7">
        <f>HYPERLINK("http://www.lingerieopt.ru/item/8829-kruzhevnoe-bodi-adara-s-poluotkrjtoi-grudyu/","8829")</f>
      </c>
      <c r="B379" s="8" t="s">
        <v>376</v>
      </c>
      <c r="C379" s="9">
        <v>1299</v>
      </c>
      <c r="D379" s="0">
        <v>1</v>
      </c>
      <c r="E379" s="10">
        <f>HYPERLINK("http://www.lingerieopt.ru/images/original/6fd97d93-78b1-4a1a-ac58-b220762b0456.jpg","Фото")</f>
      </c>
    </row>
    <row r="380">
      <c r="A380" s="7">
        <f>HYPERLINK("http://www.lingerieopt.ru/item/8829-kruzhevnoe-bodi-adara-s-poluotkrjtoi-grudyu/","8829")</f>
      </c>
      <c r="B380" s="8" t="s">
        <v>377</v>
      </c>
      <c r="C380" s="9">
        <v>1299</v>
      </c>
      <c r="D380" s="0">
        <v>4</v>
      </c>
      <c r="E380" s="10">
        <f>HYPERLINK("http://www.lingerieopt.ru/images/original/6fd97d93-78b1-4a1a-ac58-b220762b0456.jpg","Фото")</f>
      </c>
    </row>
    <row r="381">
      <c r="A381" s="7">
        <f>HYPERLINK("http://www.lingerieopt.ru/item/8833-effektnoe-bodi-daryl-s-materialom-pod-kozhu/","8833")</f>
      </c>
      <c r="B381" s="8" t="s">
        <v>378</v>
      </c>
      <c r="C381" s="9">
        <v>1299</v>
      </c>
      <c r="D381" s="0">
        <v>4</v>
      </c>
      <c r="E381" s="10">
        <f>HYPERLINK("http://www.lingerieopt.ru/images/original/462af50d-b18d-4df8-bc7c-f1e98eaceeed.jpg","Фото")</f>
      </c>
    </row>
    <row r="382">
      <c r="A382" s="7">
        <f>HYPERLINK("http://www.lingerieopt.ru/item/8833-effektnoe-bodi-daryl-s-materialom-pod-kozhu/","8833")</f>
      </c>
      <c r="B382" s="8" t="s">
        <v>379</v>
      </c>
      <c r="C382" s="9">
        <v>1299</v>
      </c>
      <c r="D382" s="0">
        <v>2</v>
      </c>
      <c r="E382" s="10">
        <f>HYPERLINK("http://www.lingerieopt.ru/images/original/462af50d-b18d-4df8-bc7c-f1e98eaceeed.jpg","Фото")</f>
      </c>
    </row>
    <row r="383">
      <c r="A383" s="7">
        <f>HYPERLINK("http://www.lingerieopt.ru/item/8834-bodi-fabiana-so-skreschennjmi-bretelyami-na-spine/","8834")</f>
      </c>
      <c r="B383" s="8" t="s">
        <v>380</v>
      </c>
      <c r="C383" s="9">
        <v>1299</v>
      </c>
      <c r="D383" s="0">
        <v>1</v>
      </c>
      <c r="E383" s="10">
        <f>HYPERLINK("http://www.lingerieopt.ru/images/original/56336a1b-54d2-468f-9703-716c197bec32.jpg","Фото")</f>
      </c>
    </row>
    <row r="384">
      <c r="A384" s="7">
        <f>HYPERLINK("http://www.lingerieopt.ru/item/8834-bodi-fabiana-so-skreschennjmi-bretelyami-na-spine/","8834")</f>
      </c>
      <c r="B384" s="8" t="s">
        <v>381</v>
      </c>
      <c r="C384" s="9">
        <v>1299</v>
      </c>
      <c r="D384" s="0">
        <v>0</v>
      </c>
      <c r="E384" s="10">
        <f>HYPERLINK("http://www.lingerieopt.ru/images/original/56336a1b-54d2-468f-9703-716c197bec32.jpg","Фото")</f>
      </c>
    </row>
    <row r="385">
      <c r="A385" s="7">
        <f>HYPERLINK("http://www.lingerieopt.ru/item/8840-poluprozrachnoe-bodi-joana/","8840")</f>
      </c>
      <c r="B385" s="8" t="s">
        <v>382</v>
      </c>
      <c r="C385" s="9">
        <v>1276</v>
      </c>
      <c r="D385" s="0">
        <v>1</v>
      </c>
      <c r="E385" s="10">
        <f>HYPERLINK("http://www.lingerieopt.ru/images/original/ef4c2a4c-684e-4664-8f4b-3da1877487da.jpg","Фото")</f>
      </c>
    </row>
    <row r="386">
      <c r="A386" s="7">
        <f>HYPERLINK("http://www.lingerieopt.ru/item/8840-poluprozrachnoe-bodi-joana/","8840")</f>
      </c>
      <c r="B386" s="8" t="s">
        <v>383</v>
      </c>
      <c r="C386" s="9">
        <v>1276</v>
      </c>
      <c r="D386" s="0">
        <v>1</v>
      </c>
      <c r="E386" s="10">
        <f>HYPERLINK("http://www.lingerieopt.ru/images/original/ef4c2a4c-684e-4664-8f4b-3da1877487da.jpg","Фото")</f>
      </c>
    </row>
    <row r="387">
      <c r="A387" s="7">
        <f>HYPERLINK("http://www.lingerieopt.ru/item/8841-otkrovennoe-bodi-justina/","8841")</f>
      </c>
      <c r="B387" s="8" t="s">
        <v>384</v>
      </c>
      <c r="C387" s="9">
        <v>1299</v>
      </c>
      <c r="D387" s="0">
        <v>5</v>
      </c>
      <c r="E387" s="10">
        <f>HYPERLINK("http://www.lingerieopt.ru/images/original/c569e9e7-0da1-4b9a-9acb-49d3cea56752.jpg","Фото")</f>
      </c>
    </row>
    <row r="388">
      <c r="A388" s="7">
        <f>HYPERLINK("http://www.lingerieopt.ru/item/8841-otkrovennoe-bodi-justina/","8841")</f>
      </c>
      <c r="B388" s="8" t="s">
        <v>385</v>
      </c>
      <c r="C388" s="9">
        <v>1299</v>
      </c>
      <c r="D388" s="0">
        <v>0</v>
      </c>
      <c r="E388" s="10">
        <f>HYPERLINK("http://www.lingerieopt.ru/images/original/c569e9e7-0da1-4b9a-9acb-49d3cea56752.jpg","Фото")</f>
      </c>
    </row>
    <row r="389">
      <c r="A389" s="7">
        <f>HYPERLINK("http://www.lingerieopt.ru/item/8868-bodi-samantha-iz-nitei/","8868")</f>
      </c>
      <c r="B389" s="8" t="s">
        <v>386</v>
      </c>
      <c r="C389" s="9">
        <v>1556</v>
      </c>
      <c r="D389" s="0">
        <v>5</v>
      </c>
      <c r="E389" s="10">
        <f>HYPERLINK("http://www.lingerieopt.ru/images/original/a1317db0-a8a1-48ac-8856-81a8cab5bdc6.jpg","Фото")</f>
      </c>
    </row>
    <row r="390">
      <c r="A390" s="7">
        <f>HYPERLINK("http://www.lingerieopt.ru/item/8868-bodi-samantha-iz-nitei/","8868")</f>
      </c>
      <c r="B390" s="8" t="s">
        <v>387</v>
      </c>
      <c r="C390" s="9">
        <v>1556</v>
      </c>
      <c r="D390" s="0">
        <v>4</v>
      </c>
      <c r="E390" s="10">
        <f>HYPERLINK("http://www.lingerieopt.ru/images/original/a1317db0-a8a1-48ac-8856-81a8cab5bdc6.jpg","Фото")</f>
      </c>
    </row>
    <row r="391">
      <c r="A391" s="7">
        <f>HYPERLINK("http://www.lingerieopt.ru/item/8868-bodi-samantha-iz-nitei/","8868")</f>
      </c>
      <c r="B391" s="8" t="s">
        <v>388</v>
      </c>
      <c r="C391" s="9">
        <v>1556</v>
      </c>
      <c r="D391" s="0">
        <v>5</v>
      </c>
      <c r="E391" s="10">
        <f>HYPERLINK("http://www.lingerieopt.ru/images/original/a1317db0-a8a1-48ac-8856-81a8cab5bdc6.jpg","Фото")</f>
      </c>
    </row>
    <row r="392">
      <c r="A392" s="7">
        <f>HYPERLINK("http://www.lingerieopt.ru/item/8868-bodi-samantha-iz-nitei/","8868")</f>
      </c>
      <c r="B392" s="8" t="s">
        <v>389</v>
      </c>
      <c r="C392" s="9">
        <v>1556</v>
      </c>
      <c r="D392" s="0">
        <v>5</v>
      </c>
      <c r="E392" s="10">
        <f>HYPERLINK("http://www.lingerieopt.ru/images/original/a1317db0-a8a1-48ac-8856-81a8cab5bdc6.jpg","Фото")</f>
      </c>
    </row>
    <row r="393">
      <c r="A393" s="7">
        <f>HYPERLINK("http://www.lingerieopt.ru/item/8868-bodi-samantha-iz-nitei/","8868")</f>
      </c>
      <c r="B393" s="8" t="s">
        <v>390</v>
      </c>
      <c r="C393" s="9">
        <v>1556</v>
      </c>
      <c r="D393" s="0">
        <v>5</v>
      </c>
      <c r="E393" s="10">
        <f>HYPERLINK("http://www.lingerieopt.ru/images/original/a1317db0-a8a1-48ac-8856-81a8cab5bdc6.jpg","Фото")</f>
      </c>
    </row>
    <row r="394">
      <c r="A394" s="7">
        <f>HYPERLINK("http://www.lingerieopt.ru/item/8868-bodi-samantha-iz-nitei/","8868")</f>
      </c>
      <c r="B394" s="8" t="s">
        <v>391</v>
      </c>
      <c r="C394" s="9">
        <v>1556</v>
      </c>
      <c r="D394" s="0">
        <v>5</v>
      </c>
      <c r="E394" s="10">
        <f>HYPERLINK("http://www.lingerieopt.ru/images/original/a1317db0-a8a1-48ac-8856-81a8cab5bdc6.jpg","Фото")</f>
      </c>
    </row>
    <row r="395">
      <c r="A395" s="7">
        <f>HYPERLINK("http://www.lingerieopt.ru/item/8869-bodi-sandra-s-bahromoi/","8869")</f>
      </c>
      <c r="B395" s="8" t="s">
        <v>392</v>
      </c>
      <c r="C395" s="9">
        <v>1439</v>
      </c>
      <c r="D395" s="0">
        <v>10</v>
      </c>
      <c r="E395" s="10">
        <f>HYPERLINK("http://www.lingerieopt.ru/images/original/dec74a32-35e1-402f-a02c-6d9a5c793035.jpg","Фото")</f>
      </c>
    </row>
    <row r="396">
      <c r="A396" s="7">
        <f>HYPERLINK("http://www.lingerieopt.ru/item/8869-bodi-sandra-s-bahromoi/","8869")</f>
      </c>
      <c r="B396" s="8" t="s">
        <v>393</v>
      </c>
      <c r="C396" s="9">
        <v>1439</v>
      </c>
      <c r="D396" s="0">
        <v>5</v>
      </c>
      <c r="E396" s="10">
        <f>HYPERLINK("http://www.lingerieopt.ru/images/original/dec74a32-35e1-402f-a02c-6d9a5c793035.jpg","Фото")</f>
      </c>
    </row>
    <row r="397">
      <c r="A397" s="7">
        <f>HYPERLINK("http://www.lingerieopt.ru/item/8869-bodi-sandra-s-bahromoi/","8869")</f>
      </c>
      <c r="B397" s="8" t="s">
        <v>394</v>
      </c>
      <c r="C397" s="9">
        <v>1439</v>
      </c>
      <c r="D397" s="0">
        <v>5</v>
      </c>
      <c r="E397" s="10">
        <f>HYPERLINK("http://www.lingerieopt.ru/images/original/dec74a32-35e1-402f-a02c-6d9a5c793035.jpg","Фото")</f>
      </c>
    </row>
    <row r="398">
      <c r="A398" s="7">
        <f>HYPERLINK("http://www.lingerieopt.ru/item/8869-bodi-sandra-s-bahromoi/","8869")</f>
      </c>
      <c r="B398" s="8" t="s">
        <v>395</v>
      </c>
      <c r="C398" s="9">
        <v>1439</v>
      </c>
      <c r="D398" s="0">
        <v>3</v>
      </c>
      <c r="E398" s="10">
        <f>HYPERLINK("http://www.lingerieopt.ru/images/original/dec74a32-35e1-402f-a02c-6d9a5c793035.jpg","Фото")</f>
      </c>
    </row>
    <row r="399">
      <c r="A399" s="7">
        <f>HYPERLINK("http://www.lingerieopt.ru/item/8869-bodi-sandra-s-bahromoi/","8869")</f>
      </c>
      <c r="B399" s="8" t="s">
        <v>396</v>
      </c>
      <c r="C399" s="9">
        <v>1439</v>
      </c>
      <c r="D399" s="0">
        <v>7</v>
      </c>
      <c r="E399" s="10">
        <f>HYPERLINK("http://www.lingerieopt.ru/images/original/dec74a32-35e1-402f-a02c-6d9a5c793035.jpg","Фото")</f>
      </c>
    </row>
    <row r="400">
      <c r="A400" s="7">
        <f>HYPERLINK("http://www.lingerieopt.ru/item/8869-bodi-sandra-s-bahromoi/","8869")</f>
      </c>
      <c r="B400" s="8" t="s">
        <v>397</v>
      </c>
      <c r="C400" s="9">
        <v>1439</v>
      </c>
      <c r="D400" s="0">
        <v>6</v>
      </c>
      <c r="E400" s="10">
        <f>HYPERLINK("http://www.lingerieopt.ru/images/original/dec74a32-35e1-402f-a02c-6d9a5c793035.jpg","Фото")</f>
      </c>
    </row>
    <row r="401">
      <c r="A401" s="7">
        <f>HYPERLINK("http://www.lingerieopt.ru/item/8897-bodi-s-bahromoi-na-life/","8897")</f>
      </c>
      <c r="B401" s="8" t="s">
        <v>398</v>
      </c>
      <c r="C401" s="9">
        <v>1937</v>
      </c>
      <c r="D401" s="0">
        <v>9</v>
      </c>
      <c r="E401" s="10">
        <f>HYPERLINK("http://www.lingerieopt.ru/images/original/a306fdce-66a9-4d5b-ae5d-ac9ad86d33c6.jpg","Фото")</f>
      </c>
    </row>
    <row r="402">
      <c r="A402" s="7">
        <f>HYPERLINK("http://www.lingerieopt.ru/item/8897-bodi-s-bahromoi-na-life/","8897")</f>
      </c>
      <c r="B402" s="8" t="s">
        <v>399</v>
      </c>
      <c r="C402" s="9">
        <v>1937</v>
      </c>
      <c r="D402" s="0">
        <v>8</v>
      </c>
      <c r="E402" s="10">
        <f>HYPERLINK("http://www.lingerieopt.ru/images/original/a306fdce-66a9-4d5b-ae5d-ac9ad86d33c6.jpg","Фото")</f>
      </c>
    </row>
    <row r="403">
      <c r="A403" s="7">
        <f>HYPERLINK("http://www.lingerieopt.ru/item/8898-bodi-s-otkrjtoi-grudyu-i-lentami-po-nogam/","8898")</f>
      </c>
      <c r="B403" s="8" t="s">
        <v>400</v>
      </c>
      <c r="C403" s="9">
        <v>2242</v>
      </c>
      <c r="D403" s="0">
        <v>12</v>
      </c>
      <c r="E403" s="10">
        <f>HYPERLINK("http://www.lingerieopt.ru/images/original/65e2046d-96a1-43c3-ac67-88c4085d806a.jpg","Фото")</f>
      </c>
    </row>
    <row r="404">
      <c r="A404" s="7">
        <f>HYPERLINK("http://www.lingerieopt.ru/item/8898-bodi-s-otkrjtoi-grudyu-i-lentami-po-nogam/","8898")</f>
      </c>
      <c r="B404" s="8" t="s">
        <v>401</v>
      </c>
      <c r="C404" s="9">
        <v>2242</v>
      </c>
      <c r="D404" s="0">
        <v>5</v>
      </c>
      <c r="E404" s="10">
        <f>HYPERLINK("http://www.lingerieopt.ru/images/original/65e2046d-96a1-43c3-ac67-88c4085d806a.jpg","Фото")</f>
      </c>
    </row>
    <row r="405">
      <c r="A405" s="7">
        <f>HYPERLINK("http://www.lingerieopt.ru/item/8906-beloe-bodi-catalina-s-intimnjm-dostupom/","8906")</f>
      </c>
      <c r="B405" s="8" t="s">
        <v>402</v>
      </c>
      <c r="C405" s="9">
        <v>1613</v>
      </c>
      <c r="D405" s="0">
        <v>2</v>
      </c>
      <c r="E405" s="10">
        <f>HYPERLINK("http://www.lingerieopt.ru/images/original/822db5c0-b6f1-46bc-a36c-01327d02af73.jpg","Фото")</f>
      </c>
    </row>
    <row r="406">
      <c r="A406" s="7">
        <f>HYPERLINK("http://www.lingerieopt.ru/item/8906-beloe-bodi-catalina-s-intimnjm-dostupom/","8906")</f>
      </c>
      <c r="B406" s="8" t="s">
        <v>403</v>
      </c>
      <c r="C406" s="9">
        <v>1613</v>
      </c>
      <c r="D406" s="0">
        <v>4</v>
      </c>
      <c r="E406" s="10">
        <f>HYPERLINK("http://www.lingerieopt.ru/images/original/822db5c0-b6f1-46bc-a36c-01327d02af73.jpg","Фото")</f>
      </c>
    </row>
    <row r="407">
      <c r="A407" s="7">
        <f>HYPERLINK("http://www.lingerieopt.ru/item/8907-bodi-fabien-s-otkrjtoi-spinkoi/","8907")</f>
      </c>
      <c r="B407" s="8" t="s">
        <v>404</v>
      </c>
      <c r="C407" s="9">
        <v>1279</v>
      </c>
      <c r="D407" s="0">
        <v>6</v>
      </c>
      <c r="E407" s="10">
        <f>HYPERLINK("http://www.lingerieopt.ru/images/original/f79341c6-9912-4c9e-bd93-8d57ad454ea4.jpg","Фото")</f>
      </c>
    </row>
    <row r="408">
      <c r="A408" s="7">
        <f>HYPERLINK("http://www.lingerieopt.ru/item/8907-bodi-fabien-s-otkrjtoi-spinkoi/","8907")</f>
      </c>
      <c r="B408" s="8" t="s">
        <v>405</v>
      </c>
      <c r="C408" s="9">
        <v>1279</v>
      </c>
      <c r="D408" s="0">
        <v>4</v>
      </c>
      <c r="E408" s="10">
        <f>HYPERLINK("http://www.lingerieopt.ru/images/original/f79341c6-9912-4c9e-bd93-8d57ad454ea4.jpg","Фото")</f>
      </c>
    </row>
    <row r="409">
      <c r="A409" s="7">
        <f>HYPERLINK("http://www.lingerieopt.ru/item/8908-bodi-lovia-s-prozrachnjmi-elementami/","8908")</f>
      </c>
      <c r="B409" s="8" t="s">
        <v>406</v>
      </c>
      <c r="C409" s="9">
        <v>1405</v>
      </c>
      <c r="D409" s="0">
        <v>3</v>
      </c>
      <c r="E409" s="10">
        <f>HYPERLINK("http://www.lingerieopt.ru/images/original/86e1d262-9d39-4b0b-a959-21e5a214b227.jpg","Фото")</f>
      </c>
    </row>
    <row r="410">
      <c r="A410" s="7">
        <f>HYPERLINK("http://www.lingerieopt.ru/item/8908-bodi-lovia-s-prozrachnjmi-elementami/","8908")</f>
      </c>
      <c r="B410" s="8" t="s">
        <v>407</v>
      </c>
      <c r="C410" s="9">
        <v>1405</v>
      </c>
      <c r="D410" s="0">
        <v>4</v>
      </c>
      <c r="E410" s="10">
        <f>HYPERLINK("http://www.lingerieopt.ru/images/original/86e1d262-9d39-4b0b-a959-21e5a214b227.jpg","Фото")</f>
      </c>
    </row>
    <row r="411">
      <c r="A411" s="7">
        <f>HYPERLINK("http://www.lingerieopt.ru/item/8908-bodi-lovia-s-prozrachnjmi-elementami/","8908")</f>
      </c>
      <c r="B411" s="8" t="s">
        <v>408</v>
      </c>
      <c r="C411" s="9">
        <v>1405</v>
      </c>
      <c r="D411" s="0">
        <v>3</v>
      </c>
      <c r="E411" s="10">
        <f>HYPERLINK("http://www.lingerieopt.ru/images/original/86e1d262-9d39-4b0b-a959-21e5a214b227.jpg","Фото")</f>
      </c>
    </row>
    <row r="412">
      <c r="A412" s="7">
        <f>HYPERLINK("http://www.lingerieopt.ru/item/8908-bodi-lovia-s-prozrachnjmi-elementami/","8908")</f>
      </c>
      <c r="B412" s="8" t="s">
        <v>409</v>
      </c>
      <c r="C412" s="9">
        <v>1405</v>
      </c>
      <c r="D412" s="0">
        <v>2</v>
      </c>
      <c r="E412" s="10">
        <f>HYPERLINK("http://www.lingerieopt.ru/images/original/86e1d262-9d39-4b0b-a959-21e5a214b227.jpg","Фото")</f>
      </c>
    </row>
    <row r="413">
      <c r="A413" s="7">
        <f>HYPERLINK("http://www.lingerieopt.ru/item/8974-teddi-arlette-s-poluprozrachnjmi-detalyami-i-izjskannjm-kruzhevom/","8974")</f>
      </c>
      <c r="B413" s="8" t="s">
        <v>410</v>
      </c>
      <c r="C413" s="9">
        <v>2592</v>
      </c>
      <c r="D413" s="0">
        <v>7</v>
      </c>
      <c r="E413" s="10">
        <f>HYPERLINK("http://www.lingerieopt.ru/images/original/8cb4d426-7dda-4397-8ede-317cc0751f9f.jpg","Фото")</f>
      </c>
    </row>
    <row r="414">
      <c r="A414" s="7">
        <f>HYPERLINK("http://www.lingerieopt.ru/item/8976-igrivoe-bodi-s-imitaciei-shnurovki/","8976")</f>
      </c>
      <c r="B414" s="8" t="s">
        <v>411</v>
      </c>
      <c r="C414" s="9">
        <v>859</v>
      </c>
      <c r="D414" s="0">
        <v>2</v>
      </c>
      <c r="E414" s="10">
        <f>HYPERLINK("http://www.lingerieopt.ru/images/original/d1ac3087-1be2-4ad4-80d8-5512472c7f10.jpg","Фото")</f>
      </c>
    </row>
    <row r="415">
      <c r="A415" s="7">
        <f>HYPERLINK("http://www.lingerieopt.ru/item/8982-teddi-s-kruzhevom-i-originalnjm-dizainom-spinki/","8982")</f>
      </c>
      <c r="B415" s="8" t="s">
        <v>412</v>
      </c>
      <c r="C415" s="9">
        <v>1370</v>
      </c>
      <c r="D415" s="0">
        <v>6</v>
      </c>
      <c r="E415" s="10">
        <f>HYPERLINK("http://www.lingerieopt.ru/images/original/95092d72-ffe4-421b-b694-d1b1245a3614.jpg","Фото")</f>
      </c>
    </row>
    <row r="416">
      <c r="A416" s="7">
        <f>HYPERLINK("http://www.lingerieopt.ru/item/8982-teddi-s-kruzhevom-i-originalnjm-dizainom-spinki/","8982")</f>
      </c>
      <c r="B416" s="8" t="s">
        <v>413</v>
      </c>
      <c r="C416" s="9">
        <v>1370</v>
      </c>
      <c r="D416" s="0">
        <v>5</v>
      </c>
      <c r="E416" s="10">
        <f>HYPERLINK("http://www.lingerieopt.ru/images/original/95092d72-ffe4-421b-b694-d1b1245a3614.jpg","Фото")</f>
      </c>
    </row>
    <row r="417">
      <c r="A417" s="7">
        <f>HYPERLINK("http://www.lingerieopt.ru/item/8982-teddi-s-kruzhevom-i-originalnjm-dizainom-spinki/","8982")</f>
      </c>
      <c r="B417" s="8" t="s">
        <v>414</v>
      </c>
      <c r="C417" s="9">
        <v>1370</v>
      </c>
      <c r="D417" s="0">
        <v>7</v>
      </c>
      <c r="E417" s="10">
        <f>HYPERLINK("http://www.lingerieopt.ru/images/original/95092d72-ffe4-421b-b694-d1b1245a3614.jpg","Фото")</f>
      </c>
    </row>
    <row r="418">
      <c r="A418" s="7">
        <f>HYPERLINK("http://www.lingerieopt.ru/item/8983-izumitelnoe-teddi-chilirose/","8983")</f>
      </c>
      <c r="B418" s="8" t="s">
        <v>415</v>
      </c>
      <c r="C418" s="9">
        <v>1598</v>
      </c>
      <c r="D418" s="0">
        <v>15</v>
      </c>
      <c r="E418" s="10">
        <f>HYPERLINK("http://www.lingerieopt.ru/images/original/95d22d05-45ef-4ada-a1e8-85ad2e9e9e50.jpg","Фото")</f>
      </c>
    </row>
    <row r="419">
      <c r="A419" s="7">
        <f>HYPERLINK("http://www.lingerieopt.ru/item/8983-izumitelnoe-teddi-chilirose/","8983")</f>
      </c>
      <c r="B419" s="8" t="s">
        <v>416</v>
      </c>
      <c r="C419" s="9">
        <v>1598</v>
      </c>
      <c r="D419" s="0">
        <v>9</v>
      </c>
      <c r="E419" s="10">
        <f>HYPERLINK("http://www.lingerieopt.ru/images/original/95d22d05-45ef-4ada-a1e8-85ad2e9e9e50.jpg","Фото")</f>
      </c>
    </row>
    <row r="420">
      <c r="A420" s="7">
        <f>HYPERLINK("http://www.lingerieopt.ru/item/8987-bodi-ella-s-pazhami-dlya-chulok/","8987")</f>
      </c>
      <c r="B420" s="8" t="s">
        <v>417</v>
      </c>
      <c r="C420" s="9">
        <v>1825</v>
      </c>
      <c r="D420" s="0">
        <v>3</v>
      </c>
      <c r="E420" s="10">
        <f>HYPERLINK("http://www.lingerieopt.ru/images/original/1d924a2d-daf3-4e4e-b487-57ea8977bc4f.jpg","Фото")</f>
      </c>
    </row>
    <row r="421">
      <c r="A421" s="7">
        <f>HYPERLINK("http://www.lingerieopt.ru/item/8987-bodi-ella-s-pazhami-dlya-chulok/","8987")</f>
      </c>
      <c r="B421" s="8" t="s">
        <v>418</v>
      </c>
      <c r="C421" s="9">
        <v>1825</v>
      </c>
      <c r="D421" s="0">
        <v>3</v>
      </c>
      <c r="E421" s="10">
        <f>HYPERLINK("http://www.lingerieopt.ru/images/original/1d924a2d-daf3-4e4e-b487-57ea8977bc4f.jpg","Фото")</f>
      </c>
    </row>
    <row r="422">
      <c r="A422" s="7">
        <f>HYPERLINK("http://www.lingerieopt.ru/item/8987-bodi-ella-s-pazhami-dlya-chulok/","8987")</f>
      </c>
      <c r="B422" s="8" t="s">
        <v>419</v>
      </c>
      <c r="C422" s="9">
        <v>1825</v>
      </c>
      <c r="D422" s="0">
        <v>3</v>
      </c>
      <c r="E422" s="10">
        <f>HYPERLINK("http://www.lingerieopt.ru/images/original/1d924a2d-daf3-4e4e-b487-57ea8977bc4f.jpg","Фото")</f>
      </c>
    </row>
    <row r="423">
      <c r="A423" s="7">
        <f>HYPERLINK("http://www.lingerieopt.ru/item/9010-bodi-s-kruzhevnoi-licevoi-chastyu-i-rombovidnjm-vjrezom-na-grudi/","9010")</f>
      </c>
      <c r="B423" s="8" t="s">
        <v>420</v>
      </c>
      <c r="C423" s="9">
        <v>1525</v>
      </c>
      <c r="D423" s="0">
        <v>5</v>
      </c>
      <c r="E423" s="10">
        <f>HYPERLINK("http://www.lingerieopt.ru/images/original/1cbdbc93-6115-4b80-96a8-de8c961d9a00.jpg","Фото")</f>
      </c>
    </row>
    <row r="424">
      <c r="A424" s="7">
        <f>HYPERLINK("http://www.lingerieopt.ru/item/9010-bodi-s-kruzhevnoi-licevoi-chastyu-i-rombovidnjm-vjrezom-na-grudi/","9010")</f>
      </c>
      <c r="B424" s="8" t="s">
        <v>421</v>
      </c>
      <c r="C424" s="9">
        <v>1525</v>
      </c>
      <c r="D424" s="0">
        <v>3</v>
      </c>
      <c r="E424" s="10">
        <f>HYPERLINK("http://www.lingerieopt.ru/images/original/1cbdbc93-6115-4b80-96a8-de8c961d9a00.jpg","Фото")</f>
      </c>
    </row>
    <row r="425">
      <c r="A425" s="7">
        <f>HYPERLINK("http://www.lingerieopt.ru/item/9011-kruzhevnoe-bodi-s-rombovidnjm-vjrezom-na-grudi-i-intimnjm-dostupom/","9011")</f>
      </c>
      <c r="B425" s="8" t="s">
        <v>422</v>
      </c>
      <c r="C425" s="9">
        <v>1186</v>
      </c>
      <c r="D425" s="0">
        <v>4</v>
      </c>
      <c r="E425" s="10">
        <f>HYPERLINK("http://www.lingerieopt.ru/images/original/c556e48d-32b2-4160-8c70-dd5a0caac2fc.jpg","Фото")</f>
      </c>
    </row>
    <row r="426">
      <c r="A426" s="7">
        <f>HYPERLINK("http://www.lingerieopt.ru/item/9011-kruzhevnoe-bodi-s-rombovidnjm-vjrezom-na-grudi-i-intimnjm-dostupom/","9011")</f>
      </c>
      <c r="B426" s="8" t="s">
        <v>423</v>
      </c>
      <c r="C426" s="9">
        <v>1186</v>
      </c>
      <c r="D426" s="0">
        <v>1</v>
      </c>
      <c r="E426" s="10">
        <f>HYPERLINK("http://www.lingerieopt.ru/images/original/c556e48d-32b2-4160-8c70-dd5a0caac2fc.jpg","Фото")</f>
      </c>
    </row>
    <row r="427">
      <c r="A427" s="7">
        <f>HYPERLINK("http://www.lingerieopt.ru/item/9012-bodi-s-kruzhevami-i-krasivoi-zonoi-dekolte/","9012")</f>
      </c>
      <c r="B427" s="8" t="s">
        <v>424</v>
      </c>
      <c r="C427" s="9">
        <v>1474</v>
      </c>
      <c r="D427" s="0">
        <v>8</v>
      </c>
      <c r="E427" s="10">
        <f>HYPERLINK("http://www.lingerieopt.ru/images/original/c563e758-0722-4e29-a75f-03d0ac176145.jpg","Фото")</f>
      </c>
    </row>
    <row r="428">
      <c r="A428" s="7">
        <f>HYPERLINK("http://www.lingerieopt.ru/item/9012-bodi-s-kruzhevami-i-krasivoi-zonoi-dekolte/","9012")</f>
      </c>
      <c r="B428" s="8" t="s">
        <v>425</v>
      </c>
      <c r="C428" s="9">
        <v>1474</v>
      </c>
      <c r="D428" s="0">
        <v>7</v>
      </c>
      <c r="E428" s="10">
        <f>HYPERLINK("http://www.lingerieopt.ru/images/original/c563e758-0722-4e29-a75f-03d0ac176145.jpg","Фото")</f>
      </c>
    </row>
    <row r="429">
      <c r="A429" s="7">
        <f>HYPERLINK("http://www.lingerieopt.ru/item/9013-effektnoe-bodi-s-kruzhevami-i-vjrezom-na-life/","9013")</f>
      </c>
      <c r="B429" s="8" t="s">
        <v>426</v>
      </c>
      <c r="C429" s="9">
        <v>1525</v>
      </c>
      <c r="D429" s="0">
        <v>5</v>
      </c>
      <c r="E429" s="10">
        <f>HYPERLINK("http://www.lingerieopt.ru/images/original/86f86c84-2829-4d27-998d-66e34fb7942c.jpg","Фото")</f>
      </c>
    </row>
    <row r="430">
      <c r="A430" s="7">
        <f>HYPERLINK("http://www.lingerieopt.ru/item/9013-effektnoe-bodi-s-kruzhevami-i-vjrezom-na-life/","9013")</f>
      </c>
      <c r="B430" s="8" t="s">
        <v>427</v>
      </c>
      <c r="C430" s="9">
        <v>1525</v>
      </c>
      <c r="D430" s="0">
        <v>2</v>
      </c>
      <c r="E430" s="10">
        <f>HYPERLINK("http://www.lingerieopt.ru/images/original/86f86c84-2829-4d27-998d-66e34fb7942c.jpg","Фото")</f>
      </c>
    </row>
    <row r="431">
      <c r="A431" s="7">
        <f>HYPERLINK("http://www.lingerieopt.ru/item/9014-kruzhevnoe-bodi-s-otkrjtoi-spinkoi-i-intimnjm-dostupom/","9014")</f>
      </c>
      <c r="B431" s="8" t="s">
        <v>428</v>
      </c>
      <c r="C431" s="9">
        <v>1176</v>
      </c>
      <c r="D431" s="0">
        <v>4</v>
      </c>
      <c r="E431" s="10">
        <f>HYPERLINK("http://www.lingerieopt.ru/images/original/c648ce00-f46e-486a-ba14-caac92330c89.jpg","Фото")</f>
      </c>
    </row>
    <row r="432">
      <c r="A432" s="7">
        <f>HYPERLINK("http://www.lingerieopt.ru/item/9014-kruzhevnoe-bodi-s-otkrjtoi-spinkoi-i-intimnjm-dostupom/","9014")</f>
      </c>
      <c r="B432" s="8" t="s">
        <v>429</v>
      </c>
      <c r="C432" s="9">
        <v>1176</v>
      </c>
      <c r="D432" s="0">
        <v>4</v>
      </c>
      <c r="E432" s="10">
        <f>HYPERLINK("http://www.lingerieopt.ru/images/original/c648ce00-f46e-486a-ba14-caac92330c89.jpg","Фото")</f>
      </c>
    </row>
    <row r="433">
      <c r="A433" s="7">
        <f>HYPERLINK("http://www.lingerieopt.ru/item/9014-kruzhevnoe-bodi-s-otkrjtoi-spinkoi-i-intimnjm-dostupom/","9014")</f>
      </c>
      <c r="B433" s="8" t="s">
        <v>430</v>
      </c>
      <c r="C433" s="9">
        <v>1176</v>
      </c>
      <c r="D433" s="0">
        <v>2</v>
      </c>
      <c r="E433" s="10">
        <f>HYPERLINK("http://www.lingerieopt.ru/images/original/c648ce00-f46e-486a-ba14-caac92330c89.jpg","Фото")</f>
      </c>
    </row>
    <row r="434">
      <c r="A434" s="7">
        <f>HYPERLINK("http://www.lingerieopt.ru/item/9024-soblaznitelnoe-bodi-gigi-iz-prozrachnoi-setki-i-kruzhev/","9024")</f>
      </c>
      <c r="B434" s="8" t="s">
        <v>431</v>
      </c>
      <c r="C434" s="9">
        <v>1336</v>
      </c>
      <c r="D434" s="0">
        <v>5</v>
      </c>
      <c r="E434" s="10">
        <f>HYPERLINK("http://www.lingerieopt.ru/images/original/203622ea-fd7d-4640-8139-824755cf8711.jpg","Фото")</f>
      </c>
    </row>
    <row r="435">
      <c r="A435" s="7">
        <f>HYPERLINK("http://www.lingerieopt.ru/item/9024-soblaznitelnoe-bodi-gigi-iz-prozrachnoi-setki-i-kruzhev/","9024")</f>
      </c>
      <c r="B435" s="8" t="s">
        <v>432</v>
      </c>
      <c r="C435" s="9">
        <v>1336</v>
      </c>
      <c r="D435" s="0">
        <v>4</v>
      </c>
      <c r="E435" s="10">
        <f>HYPERLINK("http://www.lingerieopt.ru/images/original/203622ea-fd7d-4640-8139-824755cf8711.jpg","Фото")</f>
      </c>
    </row>
    <row r="436">
      <c r="A436" s="7">
        <f>HYPERLINK("http://www.lingerieopt.ru/item/9055-bodi-exility-s-glubokim-dekolte-i-pazhami-dlya-chulok/","9055")</f>
      </c>
      <c r="B436" s="8" t="s">
        <v>433</v>
      </c>
      <c r="C436" s="9">
        <v>883</v>
      </c>
      <c r="D436" s="0">
        <v>0</v>
      </c>
      <c r="E436" s="10">
        <f>HYPERLINK("http://www.lingerieopt.ru/images/original/0dce8955-1a7b-4809-b951-dd2bea834e66.jpg","Фото")</f>
      </c>
    </row>
    <row r="437">
      <c r="A437" s="7">
        <f>HYPERLINK("http://www.lingerieopt.ru/item/9055-bodi-exility-s-glubokim-dekolte-i-pazhami-dlya-chulok/","9055")</f>
      </c>
      <c r="B437" s="8" t="s">
        <v>434</v>
      </c>
      <c r="C437" s="9">
        <v>883</v>
      </c>
      <c r="D437" s="0">
        <v>10</v>
      </c>
      <c r="E437" s="10">
        <f>HYPERLINK("http://www.lingerieopt.ru/images/original/0dce8955-1a7b-4809-b951-dd2bea834e66.jpg","Фото")</f>
      </c>
    </row>
    <row r="438">
      <c r="A438" s="7">
        <f>HYPERLINK("http://www.lingerieopt.ru/item/9055-bodi-exility-s-glubokim-dekolte-i-pazhami-dlya-chulok/","9055")</f>
      </c>
      <c r="B438" s="8" t="s">
        <v>435</v>
      </c>
      <c r="C438" s="9">
        <v>883</v>
      </c>
      <c r="D438" s="0">
        <v>10</v>
      </c>
      <c r="E438" s="10">
        <f>HYPERLINK("http://www.lingerieopt.ru/images/original/0dce8955-1a7b-4809-b951-dd2bea834e66.jpg","Фото")</f>
      </c>
    </row>
    <row r="439">
      <c r="A439" s="7">
        <f>HYPERLINK("http://www.lingerieopt.ru/item/9056-bodi-grace-s-dlinnjmi-rukavami/","9056")</f>
      </c>
      <c r="B439" s="8" t="s">
        <v>436</v>
      </c>
      <c r="C439" s="9">
        <v>1038</v>
      </c>
      <c r="D439" s="0">
        <v>6</v>
      </c>
      <c r="E439" s="10">
        <f>HYPERLINK("http://www.lingerieopt.ru/images/original/364e9f47-e174-439b-a150-2aea9dcccd12.jpg","Фото")</f>
      </c>
    </row>
    <row r="440">
      <c r="A440" s="7">
        <f>HYPERLINK("http://www.lingerieopt.ru/item/9056-bodi-grace-s-dlinnjmi-rukavami/","9056")</f>
      </c>
      <c r="B440" s="8" t="s">
        <v>437</v>
      </c>
      <c r="C440" s="9">
        <v>1038</v>
      </c>
      <c r="D440" s="0">
        <v>0</v>
      </c>
      <c r="E440" s="10">
        <f>HYPERLINK("http://www.lingerieopt.ru/images/original/364e9f47-e174-439b-a150-2aea9dcccd12.jpg","Фото")</f>
      </c>
    </row>
    <row r="441">
      <c r="A441" s="7">
        <f>HYPERLINK("http://www.lingerieopt.ru/item/9056-bodi-grace-s-dlinnjmi-rukavami/","9056")</f>
      </c>
      <c r="B441" s="8" t="s">
        <v>438</v>
      </c>
      <c r="C441" s="9">
        <v>1038</v>
      </c>
      <c r="D441" s="0">
        <v>0</v>
      </c>
      <c r="E441" s="10">
        <f>HYPERLINK("http://www.lingerieopt.ru/images/original/364e9f47-e174-439b-a150-2aea9dcccd12.jpg","Фото")</f>
      </c>
    </row>
    <row r="442">
      <c r="A442" s="7">
        <f>HYPERLINK("http://www.lingerieopt.ru/item/9058-poluprozrachnoe-bodi-ginette-s-otkrjtoi-grudyu/","9058")</f>
      </c>
      <c r="B442" s="8" t="s">
        <v>439</v>
      </c>
      <c r="C442" s="9">
        <v>1770</v>
      </c>
      <c r="D442" s="0">
        <v>0</v>
      </c>
      <c r="E442" s="10">
        <f>HYPERLINK("http://www.lingerieopt.ru/images/original/462b171b-4f96-4c6d-81cb-7fd3556a2276.jpg","Фото")</f>
      </c>
    </row>
    <row r="443">
      <c r="A443" s="7">
        <f>HYPERLINK("http://www.lingerieopt.ru/item/9058-poluprozrachnoe-bodi-ginette-s-otkrjtoi-grudyu/","9058")</f>
      </c>
      <c r="B443" s="8" t="s">
        <v>440</v>
      </c>
      <c r="C443" s="9">
        <v>1770</v>
      </c>
      <c r="D443" s="0">
        <v>3</v>
      </c>
      <c r="E443" s="10">
        <f>HYPERLINK("http://www.lingerieopt.ru/images/original/462b171b-4f96-4c6d-81cb-7fd3556a2276.jpg","Фото")</f>
      </c>
    </row>
    <row r="444">
      <c r="A444" s="7">
        <f>HYPERLINK("http://www.lingerieopt.ru/item/9058-poluprozrachnoe-bodi-ginette-s-otkrjtoi-grudyu/","9058")</f>
      </c>
      <c r="B444" s="8" t="s">
        <v>441</v>
      </c>
      <c r="C444" s="9">
        <v>1770</v>
      </c>
      <c r="D444" s="0">
        <v>0</v>
      </c>
      <c r="E444" s="10">
        <f>HYPERLINK("http://www.lingerieopt.ru/images/original/462b171b-4f96-4c6d-81cb-7fd3556a2276.jpg","Фото")</f>
      </c>
    </row>
    <row r="445">
      <c r="A445" s="7">
        <f>HYPERLINK("http://www.lingerieopt.ru/item/9071-soblaznitelnoe-bodi-amarillea/","9071")</f>
      </c>
      <c r="B445" s="8" t="s">
        <v>442</v>
      </c>
      <c r="C445" s="9">
        <v>1854</v>
      </c>
      <c r="D445" s="0">
        <v>0</v>
      </c>
      <c r="E445" s="10">
        <f>HYPERLINK("http://www.lingerieopt.ru/images/original/86709f91-00d9-4b73-b68e-180e691c8d4e.jpg","Фото")</f>
      </c>
    </row>
    <row r="446">
      <c r="A446" s="7">
        <f>HYPERLINK("http://www.lingerieopt.ru/item/9071-soblaznitelnoe-bodi-amarillea/","9071")</f>
      </c>
      <c r="B446" s="8" t="s">
        <v>443</v>
      </c>
      <c r="C446" s="9">
        <v>1854</v>
      </c>
      <c r="D446" s="0">
        <v>0</v>
      </c>
      <c r="E446" s="10">
        <f>HYPERLINK("http://www.lingerieopt.ru/images/original/86709f91-00d9-4b73-b68e-180e691c8d4e.jpg","Фото")</f>
      </c>
    </row>
    <row r="447">
      <c r="A447" s="7">
        <f>HYPERLINK("http://www.lingerieopt.ru/item/9071-soblaznitelnoe-bodi-amarillea/","9071")</f>
      </c>
      <c r="B447" s="8" t="s">
        <v>444</v>
      </c>
      <c r="C447" s="9">
        <v>1854</v>
      </c>
      <c r="D447" s="0">
        <v>1</v>
      </c>
      <c r="E447" s="10">
        <f>HYPERLINK("http://www.lingerieopt.ru/images/original/86709f91-00d9-4b73-b68e-180e691c8d4e.jpg","Фото")</f>
      </c>
    </row>
    <row r="448">
      <c r="A448" s="7">
        <f>HYPERLINK("http://www.lingerieopt.ru/item/9071-soblaznitelnoe-bodi-amarillea/","9071")</f>
      </c>
      <c r="B448" s="8" t="s">
        <v>445</v>
      </c>
      <c r="C448" s="9">
        <v>1854</v>
      </c>
      <c r="D448" s="0">
        <v>0</v>
      </c>
      <c r="E448" s="10">
        <f>HYPERLINK("http://www.lingerieopt.ru/images/original/86709f91-00d9-4b73-b68e-180e691c8d4e.jpg","Фото")</f>
      </c>
    </row>
    <row r="449">
      <c r="A449" s="7">
        <f>HYPERLINK("http://www.lingerieopt.ru/item/9110-bodi-razmera-plus-size-iz-setki-s-risunkom-v-vide-krjlev-na-spinke/","9110")</f>
      </c>
      <c r="B449" s="8" t="s">
        <v>446</v>
      </c>
      <c r="C449" s="9">
        <v>1066</v>
      </c>
      <c r="D449" s="0">
        <v>8</v>
      </c>
      <c r="E449" s="10">
        <f>HYPERLINK("http://www.lingerieopt.ru/images/original/858b06ce-71aa-4a55-8b72-950426667b72.jpg","Фото")</f>
      </c>
    </row>
    <row r="450">
      <c r="A450" s="7">
        <f>HYPERLINK("http://www.lingerieopt.ru/item/9117-originalnoe-teddi-s-intimnjm-dostupom-i-metallicheskimi-dekorativnjmi-elementami/","9117")</f>
      </c>
      <c r="B450" s="8" t="s">
        <v>447</v>
      </c>
      <c r="C450" s="9">
        <v>1852</v>
      </c>
      <c r="D450" s="0">
        <v>2</v>
      </c>
      <c r="E450" s="10">
        <f>HYPERLINK("http://www.lingerieopt.ru/images/original/03fa51ed-60a0-4bd5-80fa-b6b18b39f031.jpg","Фото")</f>
      </c>
    </row>
    <row r="451">
      <c r="A451" s="7">
        <f>HYPERLINK("http://www.lingerieopt.ru/item/9127-seksapilnoe-bodi-iz-setki-i-nezhnjh-kruzhev/","9127")</f>
      </c>
      <c r="B451" s="8" t="s">
        <v>448</v>
      </c>
      <c r="C451" s="9">
        <v>1771</v>
      </c>
      <c r="D451" s="0">
        <v>4</v>
      </c>
      <c r="E451" s="10">
        <f>HYPERLINK("http://www.lingerieopt.ru/images/original/fa62db3e-87bd-4623-b84c-4c9f1d2b0f85.jpg","Фото")</f>
      </c>
    </row>
    <row r="452">
      <c r="A452" s="7">
        <f>HYPERLINK("http://www.lingerieopt.ru/item/9127-seksapilnoe-bodi-iz-setki-i-nezhnjh-kruzhev/","9127")</f>
      </c>
      <c r="B452" s="8" t="s">
        <v>449</v>
      </c>
      <c r="C452" s="9">
        <v>1771</v>
      </c>
      <c r="D452" s="0">
        <v>3</v>
      </c>
      <c r="E452" s="10">
        <f>HYPERLINK("http://www.lingerieopt.ru/images/original/fa62db3e-87bd-4623-b84c-4c9f1d2b0f85.jpg","Фото")</f>
      </c>
    </row>
    <row r="453">
      <c r="A453" s="7">
        <f>HYPERLINK("http://www.lingerieopt.ru/item/9155-azhurnoe-bodi-s-perepleteniem-bretelei-na-zhivotike-i-intimnjm-dostupom/","9155")</f>
      </c>
      <c r="B453" s="8" t="s">
        <v>450</v>
      </c>
      <c r="C453" s="9">
        <v>1301</v>
      </c>
      <c r="D453" s="0">
        <v>8</v>
      </c>
      <c r="E453" s="10">
        <f>HYPERLINK("http://www.lingerieopt.ru/images/original/4f0e61bf-571d-4bbf-b113-29b2a0c61449.jpg","Фото")</f>
      </c>
    </row>
    <row r="454">
      <c r="A454" s="7">
        <f>HYPERLINK("http://www.lingerieopt.ru/item/9155-azhurnoe-bodi-s-perepleteniem-bretelei-na-zhivotike-i-intimnjm-dostupom/","9155")</f>
      </c>
      <c r="B454" s="8" t="s">
        <v>451</v>
      </c>
      <c r="C454" s="9">
        <v>1301</v>
      </c>
      <c r="D454" s="0">
        <v>10</v>
      </c>
      <c r="E454" s="10">
        <f>HYPERLINK("http://www.lingerieopt.ru/images/original/4f0e61bf-571d-4bbf-b113-29b2a0c61449.jpg","Фото")</f>
      </c>
    </row>
    <row r="455">
      <c r="A455" s="7">
        <f>HYPERLINK("http://www.lingerieopt.ru/item/9176-soblaznitelnoe-bodi-s-uzorom-v-vide-rozochek/","9176")</f>
      </c>
      <c r="B455" s="8" t="s">
        <v>452</v>
      </c>
      <c r="C455" s="9">
        <v>1438</v>
      </c>
      <c r="D455" s="0">
        <v>7</v>
      </c>
      <c r="E455" s="10">
        <f>HYPERLINK("http://www.lingerieopt.ru/images/original/e031c95e-9620-426e-b792-9caaf21ac2c2.jpg","Фото")</f>
      </c>
    </row>
    <row r="456">
      <c r="A456" s="7">
        <f>HYPERLINK("http://www.lingerieopt.ru/item/9176-soblaznitelnoe-bodi-s-uzorom-v-vide-rozochek/","9176")</f>
      </c>
      <c r="B456" s="8" t="s">
        <v>453</v>
      </c>
      <c r="C456" s="9">
        <v>1438</v>
      </c>
      <c r="D456" s="0">
        <v>8</v>
      </c>
      <c r="E456" s="10">
        <f>HYPERLINK("http://www.lingerieopt.ru/images/original/e031c95e-9620-426e-b792-9caaf21ac2c2.jpg","Фото")</f>
      </c>
    </row>
    <row r="457">
      <c r="A457" s="7">
        <f>HYPERLINK("http://www.lingerieopt.ru/item/9182-bodi-iz-poluprozrachnogo-materiala/","9182")</f>
      </c>
      <c r="B457" s="8" t="s">
        <v>454</v>
      </c>
      <c r="C457" s="9">
        <v>1771</v>
      </c>
      <c r="D457" s="0">
        <v>3</v>
      </c>
      <c r="E457" s="10">
        <f>HYPERLINK("http://www.lingerieopt.ru/images/original/639b2144-30f4-4924-a379-f47fb1afdff2.jpg","Фото")</f>
      </c>
    </row>
    <row r="458">
      <c r="A458" s="7">
        <f>HYPERLINK("http://www.lingerieopt.ru/item/9182-bodi-iz-poluprozrachnogo-materiala/","9182")</f>
      </c>
      <c r="B458" s="8" t="s">
        <v>455</v>
      </c>
      <c r="C458" s="9">
        <v>1771</v>
      </c>
      <c r="D458" s="0">
        <v>10</v>
      </c>
      <c r="E458" s="10">
        <f>HYPERLINK("http://www.lingerieopt.ru/images/original/639b2144-30f4-4924-a379-f47fb1afdff2.jpg","Фото")</f>
      </c>
    </row>
    <row r="459">
      <c r="A459" s="7">
        <f>HYPERLINK("http://www.lingerieopt.ru/item/9192-bodi-moketta-plus-size-s-setchatjmi-vstavkami-i-korotenkimi-rukavami/","9192")</f>
      </c>
      <c r="B459" s="8" t="s">
        <v>456</v>
      </c>
      <c r="C459" s="9">
        <v>1841</v>
      </c>
      <c r="D459" s="0">
        <v>6</v>
      </c>
      <c r="E459" s="10">
        <f>HYPERLINK("http://www.lingerieopt.ru/images/original/0fedc5d5-35b6-4134-9986-881e54aefa1f.jpg","Фото")</f>
      </c>
    </row>
    <row r="460">
      <c r="A460" s="7">
        <f>HYPERLINK("http://www.lingerieopt.ru/item/9200-poluprozrachnoe-bodi-s-otkrjtoi-spinoi/","9200")</f>
      </c>
      <c r="B460" s="8" t="s">
        <v>457</v>
      </c>
      <c r="C460" s="9">
        <v>1509</v>
      </c>
      <c r="D460" s="0">
        <v>3</v>
      </c>
      <c r="E460" s="10">
        <f>HYPERLINK("http://www.lingerieopt.ru/images/original/d86b9e71-bb48-45e8-aa3f-9024dd45a06e.jpg","Фото")</f>
      </c>
    </row>
    <row r="461">
      <c r="A461" s="7">
        <f>HYPERLINK("http://www.lingerieopt.ru/item/9200-poluprozrachnoe-bodi-s-otkrjtoi-spinoi/","9200")</f>
      </c>
      <c r="B461" s="8" t="s">
        <v>458</v>
      </c>
      <c r="C461" s="9">
        <v>1509</v>
      </c>
      <c r="D461" s="0">
        <v>3</v>
      </c>
      <c r="E461" s="10">
        <f>HYPERLINK("http://www.lingerieopt.ru/images/original/d86b9e71-bb48-45e8-aa3f-9024dd45a06e.jpg","Фото")</f>
      </c>
    </row>
    <row r="462">
      <c r="A462" s="7">
        <f>HYPERLINK("http://www.lingerieopt.ru/item/9274-effektnoe-bodi-s-kruzhevom-i-krasivjm-dekolte/","9274")</f>
      </c>
      <c r="B462" s="8" t="s">
        <v>459</v>
      </c>
      <c r="C462" s="9">
        <v>1426</v>
      </c>
      <c r="D462" s="0">
        <v>10</v>
      </c>
      <c r="E462" s="10">
        <f>HYPERLINK("http://www.lingerieopt.ru/images/original/3f008a3f-95df-4016-882a-70d2209f0480.jpg","Фото")</f>
      </c>
    </row>
    <row r="463">
      <c r="A463" s="7">
        <f>HYPERLINK("http://www.lingerieopt.ru/item/9274-effektnoe-bodi-s-kruzhevom-i-krasivjm-dekolte/","9274")</f>
      </c>
      <c r="B463" s="8" t="s">
        <v>460</v>
      </c>
      <c r="C463" s="9">
        <v>1426</v>
      </c>
      <c r="D463" s="0">
        <v>10</v>
      </c>
      <c r="E463" s="10">
        <f>HYPERLINK("http://www.lingerieopt.ru/images/original/3f008a3f-95df-4016-882a-70d2209f0480.jpg","Фото")</f>
      </c>
    </row>
    <row r="464">
      <c r="A464" s="7">
        <f>HYPERLINK("http://www.lingerieopt.ru/item/9297-ocharovatelnoe-poluprozrachnoe-bodi-s-kruzhevnjm-lifom-i-intimnjm-dostupom/","9297")</f>
      </c>
      <c r="B464" s="8" t="s">
        <v>461</v>
      </c>
      <c r="C464" s="9">
        <v>1629</v>
      </c>
      <c r="D464" s="0">
        <v>11</v>
      </c>
      <c r="E464" s="10">
        <f>HYPERLINK("http://www.lingerieopt.ru/images/original/98211f6c-2c0a-40f5-86d9-21bd636f97c7.jpg","Фото")</f>
      </c>
    </row>
    <row r="465">
      <c r="A465" s="7">
        <f>HYPERLINK("http://www.lingerieopt.ru/item/9297-ocharovatelnoe-poluprozrachnoe-bodi-s-kruzhevnjm-lifom-i-intimnjm-dostupom/","9297")</f>
      </c>
      <c r="B465" s="8" t="s">
        <v>462</v>
      </c>
      <c r="C465" s="9">
        <v>1629</v>
      </c>
      <c r="D465" s="0">
        <v>10</v>
      </c>
      <c r="E465" s="10">
        <f>HYPERLINK("http://www.lingerieopt.ru/images/original/98211f6c-2c0a-40f5-86d9-21bd636f97c7.jpg","Фото")</f>
      </c>
    </row>
    <row r="466">
      <c r="A466" s="7">
        <f>HYPERLINK("http://www.lingerieopt.ru/item/9300-prozrachnoe-bodi-s-kruzhevnoi-otorochkoi-i-intimnjm-dostupom/","9300")</f>
      </c>
      <c r="B466" s="8" t="s">
        <v>463</v>
      </c>
      <c r="C466" s="9">
        <v>1334</v>
      </c>
      <c r="D466" s="0">
        <v>9</v>
      </c>
      <c r="E466" s="10">
        <f>HYPERLINK("http://www.lingerieopt.ru/images/original/63c451f2-1948-4349-badf-7bfdd604a4f2.jpg","Фото")</f>
      </c>
    </row>
    <row r="467">
      <c r="A467" s="7">
        <f>HYPERLINK("http://www.lingerieopt.ru/item/9300-prozrachnoe-bodi-s-kruzhevnoi-otorochkoi-i-intimnjm-dostupom/","9300")</f>
      </c>
      <c r="B467" s="8" t="s">
        <v>464</v>
      </c>
      <c r="C467" s="9">
        <v>1334</v>
      </c>
      <c r="D467" s="0">
        <v>10</v>
      </c>
      <c r="E467" s="10">
        <f>HYPERLINK("http://www.lingerieopt.ru/images/original/63c451f2-1948-4349-badf-7bfdd604a4f2.jpg","Фото")</f>
      </c>
    </row>
    <row r="468">
      <c r="A468" s="7">
        <f>HYPERLINK("http://www.lingerieopt.ru/item/9307-roskoshnoe-kruzhevnoe-teddi-s-ukrasheniem-na-zhivotike-v-vide-serdca/","9307")</f>
      </c>
      <c r="B468" s="8" t="s">
        <v>465</v>
      </c>
      <c r="C468" s="9">
        <v>1714</v>
      </c>
      <c r="D468" s="0">
        <v>9</v>
      </c>
      <c r="E468" s="10">
        <f>HYPERLINK("http://www.lingerieopt.ru/images/original/ddfb94f4-9aea-4e76-8ed3-c33d56b28a0a.jpg","Фото")</f>
      </c>
    </row>
    <row r="469">
      <c r="A469" s="7">
        <f>HYPERLINK("http://www.lingerieopt.ru/item/9307-roskoshnoe-kruzhevnoe-teddi-s-ukrasheniem-na-zhivotike-v-vide-serdca/","9307")</f>
      </c>
      <c r="B469" s="8" t="s">
        <v>466</v>
      </c>
      <c r="C469" s="9">
        <v>1714</v>
      </c>
      <c r="D469" s="0">
        <v>4</v>
      </c>
      <c r="E469" s="10">
        <f>HYPERLINK("http://www.lingerieopt.ru/images/original/ddfb94f4-9aea-4e76-8ed3-c33d56b28a0a.jpg","Фото")</f>
      </c>
    </row>
    <row r="470">
      <c r="A470" s="7">
        <f>HYPERLINK("http://www.lingerieopt.ru/item/9315-ocharovatelnoe-bodi-iz-setki-s-kruzhevnoi-otdelkoi-i-otkrjtoi-spinoi/","9315")</f>
      </c>
      <c r="B470" s="8" t="s">
        <v>467</v>
      </c>
      <c r="C470" s="9">
        <v>1431</v>
      </c>
      <c r="D470" s="0">
        <v>2</v>
      </c>
      <c r="E470" s="10">
        <f>HYPERLINK("http://www.lingerieopt.ru/images/original/51bb0b32-0785-4eed-bd87-275bdc15b88d.jpg","Фото")</f>
      </c>
    </row>
    <row r="471">
      <c r="A471" s="7">
        <f>HYPERLINK("http://www.lingerieopt.ru/item/9315-ocharovatelnoe-bodi-iz-setki-s-kruzhevnoi-otdelkoi-i-otkrjtoi-spinoi/","9315")</f>
      </c>
      <c r="B471" s="8" t="s">
        <v>468</v>
      </c>
      <c r="C471" s="9">
        <v>1431</v>
      </c>
      <c r="D471" s="0">
        <v>2</v>
      </c>
      <c r="E471" s="10">
        <f>HYPERLINK("http://www.lingerieopt.ru/images/original/51bb0b32-0785-4eed-bd87-275bdc15b88d.jpg","Фото")</f>
      </c>
    </row>
    <row r="472">
      <c r="A472" s="7">
        <f>HYPERLINK("http://www.lingerieopt.ru/item/9316-originalnoe-bodi-s-pazhami-i-otkrjtoi-spinoi/","9316")</f>
      </c>
      <c r="B472" s="8" t="s">
        <v>469</v>
      </c>
      <c r="C472" s="9">
        <v>1527</v>
      </c>
      <c r="D472" s="0">
        <v>3</v>
      </c>
      <c r="E472" s="10">
        <f>HYPERLINK("http://www.lingerieopt.ru/images/original/e8ab69f8-cd20-492d-a150-84e5610c04cb.jpg","Фото")</f>
      </c>
    </row>
    <row r="473">
      <c r="A473" s="7">
        <f>HYPERLINK("http://www.lingerieopt.ru/item/9316-originalnoe-bodi-s-pazhami-i-otkrjtoi-spinoi/","9316")</f>
      </c>
      <c r="B473" s="8" t="s">
        <v>470</v>
      </c>
      <c r="C473" s="9">
        <v>1527</v>
      </c>
      <c r="D473" s="0">
        <v>3</v>
      </c>
      <c r="E473" s="10">
        <f>HYPERLINK("http://www.lingerieopt.ru/images/original/e8ab69f8-cd20-492d-a150-84e5610c04cb.jpg","Фото")</f>
      </c>
    </row>
    <row r="474">
      <c r="A474" s="7">
        <f>HYPERLINK("http://www.lingerieopt.ru/item/9359-bodi-avilia-plus-size-s-dostupom/","9359")</f>
      </c>
      <c r="B474" s="8" t="s">
        <v>471</v>
      </c>
      <c r="C474" s="9">
        <v>1360</v>
      </c>
      <c r="D474" s="0">
        <v>2</v>
      </c>
      <c r="E474" s="10">
        <f>HYPERLINK("http://www.lingerieopt.ru/images/original/7071ad1f-044b-4cd1-87bc-0d2d5ac59024.jpg","Фото")</f>
      </c>
    </row>
    <row r="475">
      <c r="A475" s="7">
        <f>HYPERLINK("http://www.lingerieopt.ru/item/9359-bodi-avilia-plus-size-s-dostupom/","9359")</f>
      </c>
      <c r="B475" s="8" t="s">
        <v>472</v>
      </c>
      <c r="C475" s="9">
        <v>1360</v>
      </c>
      <c r="D475" s="0">
        <v>2</v>
      </c>
      <c r="E475" s="10">
        <f>HYPERLINK("http://www.lingerieopt.ru/images/original/7071ad1f-044b-4cd1-87bc-0d2d5ac59024.jpg","Фото")</f>
      </c>
    </row>
    <row r="476">
      <c r="A476" s="7">
        <f>HYPERLINK("http://www.lingerieopt.ru/item/9360-originalnoe-bodi-avilia-s-intimnjm-dostupom/","9360")</f>
      </c>
      <c r="B476" s="8" t="s">
        <v>473</v>
      </c>
      <c r="C476" s="9">
        <v>1360</v>
      </c>
      <c r="D476" s="0">
        <v>4</v>
      </c>
      <c r="E476" s="10">
        <f>HYPERLINK("http://www.lingerieopt.ru/images/original/ecbbf78f-3d90-48f4-b51d-10ca4922a2fd.jpg","Фото")</f>
      </c>
    </row>
    <row r="477">
      <c r="A477" s="7">
        <f>HYPERLINK("http://www.lingerieopt.ru/item/9360-originalnoe-bodi-avilia-s-intimnjm-dostupom/","9360")</f>
      </c>
      <c r="B477" s="8" t="s">
        <v>474</v>
      </c>
      <c r="C477" s="9">
        <v>1360</v>
      </c>
      <c r="D477" s="0">
        <v>3</v>
      </c>
      <c r="E477" s="10">
        <f>HYPERLINK("http://www.lingerieopt.ru/images/original/ecbbf78f-3d90-48f4-b51d-10ca4922a2fd.jpg","Фото")</f>
      </c>
    </row>
    <row r="478">
      <c r="A478" s="7">
        <f>HYPERLINK("http://www.lingerieopt.ru/item/9360-originalnoe-bodi-avilia-s-intimnjm-dostupom/","9360")</f>
      </c>
      <c r="B478" s="8" t="s">
        <v>475</v>
      </c>
      <c r="C478" s="9">
        <v>1360</v>
      </c>
      <c r="D478" s="0">
        <v>3</v>
      </c>
      <c r="E478" s="10">
        <f>HYPERLINK("http://www.lingerieopt.ru/images/original/ecbbf78f-3d90-48f4-b51d-10ca4922a2fd.jpg","Фото")</f>
      </c>
    </row>
    <row r="479">
      <c r="A479" s="7">
        <f>HYPERLINK("http://www.lingerieopt.ru/item/9360-originalnoe-bodi-avilia-s-intimnjm-dostupom/","9360")</f>
      </c>
      <c r="B479" s="8" t="s">
        <v>476</v>
      </c>
      <c r="C479" s="9">
        <v>1360</v>
      </c>
      <c r="D479" s="0">
        <v>6</v>
      </c>
      <c r="E479" s="10">
        <f>HYPERLINK("http://www.lingerieopt.ru/images/original/ecbbf78f-3d90-48f4-b51d-10ca4922a2fd.jpg","Фото")</f>
      </c>
    </row>
    <row r="480">
      <c r="A480" s="7">
        <f>HYPERLINK("http://www.lingerieopt.ru/item/9382-otkrjtoe-bodi-monique-plus-size-s-bantami/","9382")</f>
      </c>
      <c r="B480" s="8" t="s">
        <v>477</v>
      </c>
      <c r="C480" s="9">
        <v>827</v>
      </c>
      <c r="D480" s="0">
        <v>2</v>
      </c>
      <c r="E480" s="10">
        <f>HYPERLINK("http://www.lingerieopt.ru/images/original/c25fcd38-789a-4fe4-88f9-5ee7b7e8fd58.jpg","Фото")</f>
      </c>
    </row>
    <row r="481">
      <c r="A481" s="7">
        <f>HYPERLINK("http://www.lingerieopt.ru/item/9382-otkrjtoe-bodi-monique-plus-size-s-bantami/","9382")</f>
      </c>
      <c r="B481" s="8" t="s">
        <v>478</v>
      </c>
      <c r="C481" s="9">
        <v>827</v>
      </c>
      <c r="D481" s="0">
        <v>2</v>
      </c>
      <c r="E481" s="10">
        <f>HYPERLINK("http://www.lingerieopt.ru/images/original/c25fcd38-789a-4fe4-88f9-5ee7b7e8fd58.jpg","Фото")</f>
      </c>
    </row>
    <row r="482">
      <c r="A482" s="7">
        <f>HYPERLINK("http://www.lingerieopt.ru/item/9396-kruzhevnoe-bodi-alexandra-plus-size-v-komplekte-s-maskoi-na-glaza/","9396")</f>
      </c>
      <c r="B482" s="8" t="s">
        <v>479</v>
      </c>
      <c r="C482" s="9">
        <v>827</v>
      </c>
      <c r="D482" s="0">
        <v>2</v>
      </c>
      <c r="E482" s="10">
        <f>HYPERLINK("http://www.lingerieopt.ru/images/original/08d410c2-7ecb-429e-8390-6db1d0cf0512.jpg","Фото")</f>
      </c>
    </row>
    <row r="483">
      <c r="A483" s="7">
        <f>HYPERLINK("http://www.lingerieopt.ru/item/9396-kruzhevnoe-bodi-alexandra-plus-size-v-komplekte-s-maskoi-na-glaza/","9396")</f>
      </c>
      <c r="B483" s="8" t="s">
        <v>480</v>
      </c>
      <c r="C483" s="9">
        <v>827</v>
      </c>
      <c r="D483" s="0">
        <v>2</v>
      </c>
      <c r="E483" s="10">
        <f>HYPERLINK("http://www.lingerieopt.ru/images/original/08d410c2-7ecb-429e-8390-6db1d0cf0512.jpg","Фото")</f>
      </c>
    </row>
    <row r="484">
      <c r="A484" s="7">
        <f>HYPERLINK("http://www.lingerieopt.ru/item/9402-izjskannoe-bodi-amarillea-plus-size/","9402")</f>
      </c>
      <c r="B484" s="8" t="s">
        <v>481</v>
      </c>
      <c r="C484" s="9">
        <v>1175</v>
      </c>
      <c r="D484" s="0">
        <v>1</v>
      </c>
      <c r="E484" s="10">
        <f>HYPERLINK("http://www.lingerieopt.ru/images/original/1b3e2bc1-4367-49ab-b319-65cac74d5513.jpg","Фото")</f>
      </c>
    </row>
    <row r="485">
      <c r="A485" s="7">
        <f>HYPERLINK("http://www.lingerieopt.ru/item/9402-izjskannoe-bodi-amarillea-plus-size/","9402")</f>
      </c>
      <c r="B485" s="8" t="s">
        <v>482</v>
      </c>
      <c r="C485" s="9">
        <v>1175</v>
      </c>
      <c r="D485" s="0">
        <v>2</v>
      </c>
      <c r="E485" s="10">
        <f>HYPERLINK("http://www.lingerieopt.ru/images/original/1b3e2bc1-4367-49ab-b319-65cac74d5513.jpg","Фото")</f>
      </c>
    </row>
    <row r="486">
      <c r="A486" s="7">
        <f>HYPERLINK("http://www.lingerieopt.ru/item/9404-pikantnoe-bodi-antara-plus-size/","9404")</f>
      </c>
      <c r="B486" s="8" t="s">
        <v>483</v>
      </c>
      <c r="C486" s="9">
        <v>1937</v>
      </c>
      <c r="D486" s="0">
        <v>2</v>
      </c>
      <c r="E486" s="10">
        <f>HYPERLINK("http://www.lingerieopt.ru/images/original/c03fbf86-9f3f-4e9c-a6a4-e8257262b672.jpg","Фото")</f>
      </c>
    </row>
    <row r="487">
      <c r="A487" s="7">
        <f>HYPERLINK("http://www.lingerieopt.ru/item/9404-pikantnoe-bodi-antara-plus-size/","9404")</f>
      </c>
      <c r="B487" s="8" t="s">
        <v>484</v>
      </c>
      <c r="C487" s="9">
        <v>1937</v>
      </c>
      <c r="D487" s="0">
        <v>3</v>
      </c>
      <c r="E487" s="10">
        <f>HYPERLINK("http://www.lingerieopt.ru/images/original/c03fbf86-9f3f-4e9c-a6a4-e8257262b672.jpg","Фото")</f>
      </c>
    </row>
    <row r="488">
      <c r="A488" s="7">
        <f>HYPERLINK("http://www.lingerieopt.ru/item/9406-bodi-v-krapinku-eltero-plus-size-s-aksessuarami/","9406")</f>
      </c>
      <c r="B488" s="8" t="s">
        <v>485</v>
      </c>
      <c r="C488" s="9">
        <v>768</v>
      </c>
      <c r="D488" s="0">
        <v>3</v>
      </c>
      <c r="E488" s="10">
        <f>HYPERLINK("http://www.lingerieopt.ru/images/original/96970740-c80b-4a03-bd90-a4fc41373f78.jpg","Фото")</f>
      </c>
    </row>
    <row r="489">
      <c r="A489" s="7">
        <f>HYPERLINK("http://www.lingerieopt.ru/item/9406-bodi-v-krapinku-eltero-plus-size-s-aksessuarami/","9406")</f>
      </c>
      <c r="B489" s="8" t="s">
        <v>486</v>
      </c>
      <c r="C489" s="9">
        <v>768</v>
      </c>
      <c r="D489" s="0">
        <v>4</v>
      </c>
      <c r="E489" s="10">
        <f>HYPERLINK("http://www.lingerieopt.ru/images/original/96970740-c80b-4a03-bd90-a4fc41373f78.jpg","Фото")</f>
      </c>
    </row>
    <row r="490">
      <c r="A490" s="7">
        <f>HYPERLINK("http://www.lingerieopt.ru/item/9442-poluprozrachnoe-bodi-nicca-plus-size-s-bretelyami-pohozhimi-na-cepi/","9442")</f>
      </c>
      <c r="B490" s="8" t="s">
        <v>487</v>
      </c>
      <c r="C490" s="9">
        <v>1452</v>
      </c>
      <c r="D490" s="0">
        <v>1</v>
      </c>
      <c r="E490" s="10">
        <f>HYPERLINK("http://www.lingerieopt.ru/images/original/1bd8079b-e5a4-45e2-86fa-3d5e21549a20.jpg","Фото")</f>
      </c>
    </row>
    <row r="491">
      <c r="A491" s="7">
        <f>HYPERLINK("http://www.lingerieopt.ru/item/9442-poluprozrachnoe-bodi-nicca-plus-size-s-bretelyami-pohozhimi-na-cepi/","9442")</f>
      </c>
      <c r="B491" s="8" t="s">
        <v>488</v>
      </c>
      <c r="C491" s="9">
        <v>1452</v>
      </c>
      <c r="D491" s="0">
        <v>2</v>
      </c>
      <c r="E491" s="10">
        <f>HYPERLINK("http://www.lingerieopt.ru/images/original/1bd8079b-e5a4-45e2-86fa-3d5e21549a20.jpg","Фото")</f>
      </c>
    </row>
    <row r="492">
      <c r="A492" s="7">
        <f>HYPERLINK("http://www.lingerieopt.ru/item/9443-poluprozrachnoe-bodi-nicca-s-bretelyami-pohozhimi-na-cepochki/","9443")</f>
      </c>
      <c r="B492" s="8" t="s">
        <v>489</v>
      </c>
      <c r="C492" s="9">
        <v>1452</v>
      </c>
      <c r="D492" s="0">
        <v>2</v>
      </c>
      <c r="E492" s="10">
        <f>HYPERLINK("http://www.lingerieopt.ru/images/original/a8a43c4d-c6ca-44d8-8c43-4dc98805fe01.jpg","Фото")</f>
      </c>
    </row>
    <row r="493">
      <c r="A493" s="7">
        <f>HYPERLINK("http://www.lingerieopt.ru/item/9443-poluprozrachnoe-bodi-nicca-s-bretelyami-pohozhimi-na-cepochki/","9443")</f>
      </c>
      <c r="B493" s="8" t="s">
        <v>490</v>
      </c>
      <c r="C493" s="9">
        <v>1452</v>
      </c>
      <c r="D493" s="0">
        <v>5</v>
      </c>
      <c r="E493" s="10">
        <f>HYPERLINK("http://www.lingerieopt.ru/images/original/a8a43c4d-c6ca-44d8-8c43-4dc98805fe01.jpg","Фото")</f>
      </c>
    </row>
    <row r="494">
      <c r="A494" s="7">
        <f>HYPERLINK("http://www.lingerieopt.ru/item/9443-poluprozrachnoe-bodi-nicca-s-bretelyami-pohozhimi-na-cepochki/","9443")</f>
      </c>
      <c r="B494" s="8" t="s">
        <v>491</v>
      </c>
      <c r="C494" s="9">
        <v>1452</v>
      </c>
      <c r="D494" s="0">
        <v>2</v>
      </c>
      <c r="E494" s="10">
        <f>HYPERLINK("http://www.lingerieopt.ru/images/original/a8a43c4d-c6ca-44d8-8c43-4dc98805fe01.jpg","Фото")</f>
      </c>
    </row>
    <row r="495">
      <c r="A495" s="7">
        <f>HYPERLINK("http://www.lingerieopt.ru/item/9443-poluprozrachnoe-bodi-nicca-s-bretelyami-pohozhimi-na-cepochki/","9443")</f>
      </c>
      <c r="B495" s="8" t="s">
        <v>492</v>
      </c>
      <c r="C495" s="9">
        <v>1452</v>
      </c>
      <c r="D495" s="0">
        <v>5</v>
      </c>
      <c r="E495" s="10">
        <f>HYPERLINK("http://www.lingerieopt.ru/images/original/a8a43c4d-c6ca-44d8-8c43-4dc98805fe01.jpg","Фото")</f>
      </c>
    </row>
    <row r="496">
      <c r="A496" s="7">
        <f>HYPERLINK("http://www.lingerieopt.ru/item/9444-kruzhevnoi-teddi-sallena-plus-size-s-dekorativnoi-mini-shnurovkoi/","9444")</f>
      </c>
      <c r="B496" s="8" t="s">
        <v>493</v>
      </c>
      <c r="C496" s="9">
        <v>1087</v>
      </c>
      <c r="D496" s="0">
        <v>3</v>
      </c>
      <c r="E496" s="10">
        <f>HYPERLINK("http://www.lingerieopt.ru/images/original/a0a20d5e-5900-4b59-b0f1-b9fb5a8e6955.jpg","Фото")</f>
      </c>
    </row>
    <row r="497">
      <c r="A497" s="7">
        <f>HYPERLINK("http://www.lingerieopt.ru/item/9444-kruzhevnoi-teddi-sallena-plus-size-s-dekorativnoi-mini-shnurovkoi/","9444")</f>
      </c>
      <c r="B497" s="8" t="s">
        <v>494</v>
      </c>
      <c r="C497" s="9">
        <v>1087</v>
      </c>
      <c r="D497" s="0">
        <v>2</v>
      </c>
      <c r="E497" s="10">
        <f>HYPERLINK("http://www.lingerieopt.ru/images/original/a0a20d5e-5900-4b59-b0f1-b9fb5a8e6955.jpg","Фото")</f>
      </c>
    </row>
    <row r="498">
      <c r="A498" s="7">
        <f>HYPERLINK("http://www.lingerieopt.ru/item/9445-kruzhevnoe-bodi-sallena-s-dekorativnoi-mini-shnurovkoi/","9445")</f>
      </c>
      <c r="B498" s="8" t="s">
        <v>495</v>
      </c>
      <c r="C498" s="9">
        <v>1087</v>
      </c>
      <c r="D498" s="0">
        <v>4</v>
      </c>
      <c r="E498" s="10">
        <f>HYPERLINK("http://www.lingerieopt.ru/images/original/a87a8bf7-5274-40a7-8842-e6359c17ccfc.jpg","Фото")</f>
      </c>
    </row>
    <row r="499">
      <c r="A499" s="7">
        <f>HYPERLINK("http://www.lingerieopt.ru/item/9445-kruzhevnoe-bodi-sallena-s-dekorativnoi-mini-shnurovkoi/","9445")</f>
      </c>
      <c r="B499" s="8" t="s">
        <v>496</v>
      </c>
      <c r="C499" s="9">
        <v>1087</v>
      </c>
      <c r="D499" s="0">
        <v>6</v>
      </c>
      <c r="E499" s="10">
        <f>HYPERLINK("http://www.lingerieopt.ru/images/original/a87a8bf7-5274-40a7-8842-e6359c17ccfc.jpg","Фото")</f>
      </c>
    </row>
    <row r="500">
      <c r="A500" s="7">
        <f>HYPERLINK("http://www.lingerieopt.ru/item/9445-kruzhevnoe-bodi-sallena-s-dekorativnoi-mini-shnurovkoi/","9445")</f>
      </c>
      <c r="B500" s="8" t="s">
        <v>497</v>
      </c>
      <c r="C500" s="9">
        <v>1087</v>
      </c>
      <c r="D500" s="0">
        <v>4</v>
      </c>
      <c r="E500" s="10">
        <f>HYPERLINK("http://www.lingerieopt.ru/images/original/a87a8bf7-5274-40a7-8842-e6359c17ccfc.jpg","Фото")</f>
      </c>
    </row>
    <row r="501">
      <c r="A501" s="7">
        <f>HYPERLINK("http://www.lingerieopt.ru/item/9445-kruzhevnoe-bodi-sallena-s-dekorativnoi-mini-shnurovkoi/","9445")</f>
      </c>
      <c r="B501" s="8" t="s">
        <v>498</v>
      </c>
      <c r="C501" s="9">
        <v>1087</v>
      </c>
      <c r="D501" s="0">
        <v>4</v>
      </c>
      <c r="E501" s="10">
        <f>HYPERLINK("http://www.lingerieopt.ru/images/original/a87a8bf7-5274-40a7-8842-e6359c17ccfc.jpg","Фото")</f>
      </c>
    </row>
    <row r="502">
      <c r="A502" s="7">
        <f>HYPERLINK("http://www.lingerieopt.ru/item/9448-bodi-dagoma-plus-size-s-aksessuarami-dlya-lyubovnjh-igr/","9448")</f>
      </c>
      <c r="B502" s="8" t="s">
        <v>499</v>
      </c>
      <c r="C502" s="9">
        <v>1063</v>
      </c>
      <c r="D502" s="0">
        <v>1</v>
      </c>
      <c r="E502" s="10">
        <f>HYPERLINK("http://www.lingerieopt.ru/images/original/0ea3df22-e9d6-48a3-b87b-96855b378812.jpg","Фото")</f>
      </c>
    </row>
    <row r="503">
      <c r="A503" s="7">
        <f>HYPERLINK("http://www.lingerieopt.ru/item/9448-bodi-dagoma-plus-size-s-aksessuarami-dlya-lyubovnjh-igr/","9448")</f>
      </c>
      <c r="B503" s="8" t="s">
        <v>500</v>
      </c>
      <c r="C503" s="9">
        <v>1063</v>
      </c>
      <c r="D503" s="0">
        <v>1</v>
      </c>
      <c r="E503" s="10">
        <f>HYPERLINK("http://www.lingerieopt.ru/images/original/0ea3df22-e9d6-48a3-b87b-96855b378812.jpg","Фото")</f>
      </c>
    </row>
    <row r="504">
      <c r="A504" s="7">
        <f>HYPERLINK("http://www.lingerieopt.ru/item/9449-azhurnoe-bodi-penny-plus-size/","9449")</f>
      </c>
      <c r="B504" s="8" t="s">
        <v>501</v>
      </c>
      <c r="C504" s="9">
        <v>780</v>
      </c>
      <c r="D504" s="0">
        <v>2</v>
      </c>
      <c r="E504" s="10">
        <f>HYPERLINK("http://www.lingerieopt.ru/images/original/f02e9a24-3555-4f5c-bb6a-16bc041a38bc.jpg","Фото")</f>
      </c>
    </row>
    <row r="505">
      <c r="A505" s="7">
        <f>HYPERLINK("http://www.lingerieopt.ru/item/9449-azhurnoe-bodi-penny-plus-size/","9449")</f>
      </c>
      <c r="B505" s="8" t="s">
        <v>502</v>
      </c>
      <c r="C505" s="9">
        <v>780</v>
      </c>
      <c r="D505" s="0">
        <v>4</v>
      </c>
      <c r="E505" s="10">
        <f>HYPERLINK("http://www.lingerieopt.ru/images/original/f02e9a24-3555-4f5c-bb6a-16bc041a38bc.jpg","Фото")</f>
      </c>
    </row>
    <row r="506">
      <c r="A506" s="7">
        <f>HYPERLINK("http://www.lingerieopt.ru/item/9460-elegantnoe-bodi-inspiration-plus-size-s-vjrezom-na-grudi/","9460")</f>
      </c>
      <c r="B506" s="8" t="s">
        <v>503</v>
      </c>
      <c r="C506" s="9">
        <v>1210</v>
      </c>
      <c r="D506" s="0">
        <v>1</v>
      </c>
      <c r="E506" s="10">
        <f>HYPERLINK("http://www.lingerieopt.ru/images/original/5869caa0-9832-40ed-ae26-7c0b0fa74d3a.jpg","Фото")</f>
      </c>
    </row>
    <row r="507">
      <c r="A507" s="7">
        <f>HYPERLINK("http://www.lingerieopt.ru/item/9547-kontaktnoe-bodi-helike-plus-size-s-kruzhevom/","9547")</f>
      </c>
      <c r="B507" s="8" t="s">
        <v>504</v>
      </c>
      <c r="C507" s="9">
        <v>2175</v>
      </c>
      <c r="D507" s="0">
        <v>3</v>
      </c>
      <c r="E507" s="10">
        <f>HYPERLINK("http://www.lingerieopt.ru/images/original/d7d80442-55f9-46ff-be6b-78f5920d134e.jpg","Фото")</f>
      </c>
    </row>
    <row r="508">
      <c r="A508" s="7">
        <f>HYPERLINK("http://www.lingerieopt.ru/item/9547-kontaktnoe-bodi-helike-plus-size-s-kruzhevom/","9547")</f>
      </c>
      <c r="B508" s="8" t="s">
        <v>505</v>
      </c>
      <c r="C508" s="9">
        <v>2175</v>
      </c>
      <c r="D508" s="0">
        <v>2</v>
      </c>
      <c r="E508" s="10">
        <f>HYPERLINK("http://www.lingerieopt.ru/images/original/d7d80442-55f9-46ff-be6b-78f5920d134e.jpg","Фото")</f>
      </c>
    </row>
    <row r="509">
      <c r="A509" s="7">
        <f>HYPERLINK("http://www.lingerieopt.ru/item/9548-kruzhevnoe-kontaktnoe-bodi-helike/","9548")</f>
      </c>
      <c r="B509" s="8" t="s">
        <v>506</v>
      </c>
      <c r="C509" s="9">
        <v>2175</v>
      </c>
      <c r="D509" s="0">
        <v>5</v>
      </c>
      <c r="E509" s="10">
        <f>HYPERLINK("http://www.lingerieopt.ru/images/original/ad07218a-7722-4406-9bf1-7822589ce539.jpg","Фото")</f>
      </c>
    </row>
    <row r="510">
      <c r="A510" s="7">
        <f>HYPERLINK("http://www.lingerieopt.ru/item/9548-kruzhevnoe-kontaktnoe-bodi-helike/","9548")</f>
      </c>
      <c r="B510" s="8" t="s">
        <v>507</v>
      </c>
      <c r="C510" s="9">
        <v>2175</v>
      </c>
      <c r="D510" s="0">
        <v>4</v>
      </c>
      <c r="E510" s="10">
        <f>HYPERLINK("http://www.lingerieopt.ru/images/original/ad07218a-7722-4406-9bf1-7822589ce539.jpg","Фото")</f>
      </c>
    </row>
    <row r="511">
      <c r="A511" s="7">
        <f>HYPERLINK("http://www.lingerieopt.ru/item/9548-kruzhevnoe-kontaktnoe-bodi-helike/","9548")</f>
      </c>
      <c r="B511" s="8" t="s">
        <v>508</v>
      </c>
      <c r="C511" s="9">
        <v>2175</v>
      </c>
      <c r="D511" s="0">
        <v>2</v>
      </c>
      <c r="E511" s="10">
        <f>HYPERLINK("http://www.lingerieopt.ru/images/original/ad07218a-7722-4406-9bf1-7822589ce539.jpg","Фото")</f>
      </c>
    </row>
    <row r="512">
      <c r="A512" s="7">
        <f>HYPERLINK("http://www.lingerieopt.ru/item/9548-kruzhevnoe-kontaktnoe-bodi-helike/","9548")</f>
      </c>
      <c r="B512" s="8" t="s">
        <v>509</v>
      </c>
      <c r="C512" s="9">
        <v>2175</v>
      </c>
      <c r="D512" s="0">
        <v>5</v>
      </c>
      <c r="E512" s="10">
        <f>HYPERLINK("http://www.lingerieopt.ru/images/original/ad07218a-7722-4406-9bf1-7822589ce539.jpg","Фото")</f>
      </c>
    </row>
    <row r="513">
      <c r="A513" s="7">
        <f>HYPERLINK("http://www.lingerieopt.ru/item/9553-charuyuschee-bodi-salmakis-plus-size-s-oborkami/","9553")</f>
      </c>
      <c r="B513" s="8" t="s">
        <v>510</v>
      </c>
      <c r="C513" s="9">
        <v>1393</v>
      </c>
      <c r="D513" s="0">
        <v>3</v>
      </c>
      <c r="E513" s="10">
        <f>HYPERLINK("http://www.lingerieopt.ru/images/original/a185ea67-383f-46c1-8395-2491486075bb.jpg","Фото")</f>
      </c>
    </row>
    <row r="514">
      <c r="A514" s="7">
        <f>HYPERLINK("http://www.lingerieopt.ru/item/9553-charuyuschee-bodi-salmakis-plus-size-s-oborkami/","9553")</f>
      </c>
      <c r="B514" s="8" t="s">
        <v>511</v>
      </c>
      <c r="C514" s="9">
        <v>1393</v>
      </c>
      <c r="D514" s="0">
        <v>3</v>
      </c>
      <c r="E514" s="10">
        <f>HYPERLINK("http://www.lingerieopt.ru/images/original/a185ea67-383f-46c1-8395-2491486075bb.jpg","Фото")</f>
      </c>
    </row>
    <row r="515">
      <c r="A515" s="7">
        <f>HYPERLINK("http://www.lingerieopt.ru/item/9554-soblaznitelnoe-bodi-salmakis-s-oborkami-i-dostupom/","9554")</f>
      </c>
      <c r="B515" s="8" t="s">
        <v>512</v>
      </c>
      <c r="C515" s="9">
        <v>1393</v>
      </c>
      <c r="D515" s="0">
        <v>3</v>
      </c>
      <c r="E515" s="10">
        <f>HYPERLINK("http://www.lingerieopt.ru/images/original/31a798a0-dc48-41ab-99d0-c03946cc2295.jpg","Фото")</f>
      </c>
    </row>
    <row r="516">
      <c r="A516" s="7">
        <f>HYPERLINK("http://www.lingerieopt.ru/item/9554-soblaznitelnoe-bodi-salmakis-s-oborkami-i-dostupom/","9554")</f>
      </c>
      <c r="B516" s="8" t="s">
        <v>513</v>
      </c>
      <c r="C516" s="9">
        <v>1393</v>
      </c>
      <c r="D516" s="0">
        <v>5</v>
      </c>
      <c r="E516" s="10">
        <f>HYPERLINK("http://www.lingerieopt.ru/images/original/31a798a0-dc48-41ab-99d0-c03946cc2295.jpg","Фото")</f>
      </c>
    </row>
    <row r="517">
      <c r="A517" s="7">
        <f>HYPERLINK("http://www.lingerieopt.ru/item/9554-soblaznitelnoe-bodi-salmakis-s-oborkami-i-dostupom/","9554")</f>
      </c>
      <c r="B517" s="8" t="s">
        <v>514</v>
      </c>
      <c r="C517" s="9">
        <v>1393</v>
      </c>
      <c r="D517" s="0">
        <v>3</v>
      </c>
      <c r="E517" s="10">
        <f>HYPERLINK("http://www.lingerieopt.ru/images/original/31a798a0-dc48-41ab-99d0-c03946cc2295.jpg","Фото")</f>
      </c>
    </row>
    <row r="518">
      <c r="A518" s="7">
        <f>HYPERLINK("http://www.lingerieopt.ru/item/9554-soblaznitelnoe-bodi-salmakis-s-oborkami-i-dostupom/","9554")</f>
      </c>
      <c r="B518" s="8" t="s">
        <v>515</v>
      </c>
      <c r="C518" s="9">
        <v>1393</v>
      </c>
      <c r="D518" s="0">
        <v>3</v>
      </c>
      <c r="E518" s="10">
        <f>HYPERLINK("http://www.lingerieopt.ru/images/original/31a798a0-dc48-41ab-99d0-c03946cc2295.jpg","Фото")</f>
      </c>
    </row>
    <row r="519">
      <c r="A519" s="7">
        <f>HYPERLINK("http://www.lingerieopt.ru/item/9559-kruzhevnoe-bodi-fosco-s-tyulevjm-lifom/","9559")</f>
      </c>
      <c r="B519" s="8" t="s">
        <v>516</v>
      </c>
      <c r="C519" s="9">
        <v>1336</v>
      </c>
      <c r="D519" s="0">
        <v>8</v>
      </c>
      <c r="E519" s="10">
        <f>HYPERLINK("http://www.lingerieopt.ru/images/original/75ac3a01-6bac-4c34-b056-a8e492bacc7a.jpg","Фото")</f>
      </c>
    </row>
    <row r="520">
      <c r="A520" s="7">
        <f>HYPERLINK("http://www.lingerieopt.ru/item/9559-kruzhevnoe-bodi-fosco-s-tyulevjm-lifom/","9559")</f>
      </c>
      <c r="B520" s="8" t="s">
        <v>517</v>
      </c>
      <c r="C520" s="9">
        <v>1336</v>
      </c>
      <c r="D520" s="0">
        <v>7</v>
      </c>
      <c r="E520" s="10">
        <f>HYPERLINK("http://www.lingerieopt.ru/images/original/75ac3a01-6bac-4c34-b056-a8e492bacc7a.jpg","Фото")</f>
      </c>
    </row>
    <row r="521">
      <c r="A521" s="7">
        <f>HYPERLINK("http://www.lingerieopt.ru/item/9559-kruzhevnoe-bodi-fosco-s-tyulevjm-lifom/","9559")</f>
      </c>
      <c r="B521" s="8" t="s">
        <v>518</v>
      </c>
      <c r="C521" s="9">
        <v>1336</v>
      </c>
      <c r="D521" s="0">
        <v>6</v>
      </c>
      <c r="E521" s="10">
        <f>HYPERLINK("http://www.lingerieopt.ru/images/original/75ac3a01-6bac-4c34-b056-a8e492bacc7a.jpg","Фото")</f>
      </c>
    </row>
    <row r="522">
      <c r="A522" s="7">
        <f>HYPERLINK("http://www.lingerieopt.ru/item/9561-soblaznitelnoe-bodi-divina-plus-size-iz-prozrachnoi-vuali-i-kruzhev/","9561")</f>
      </c>
      <c r="B522" s="8" t="s">
        <v>519</v>
      </c>
      <c r="C522" s="9">
        <v>1186</v>
      </c>
      <c r="D522" s="0">
        <v>1</v>
      </c>
      <c r="E522" s="10">
        <f>HYPERLINK("http://www.lingerieopt.ru/images/original/502ecec0-240a-407b-ab0f-3f837e16180a.jpg","Фото")</f>
      </c>
    </row>
    <row r="523">
      <c r="A523" s="7">
        <f>HYPERLINK("http://www.lingerieopt.ru/item/9561-soblaznitelnoe-bodi-divina-plus-size-iz-prozrachnoi-vuali-i-kruzhev/","9561")</f>
      </c>
      <c r="B523" s="8" t="s">
        <v>520</v>
      </c>
      <c r="C523" s="9">
        <v>1186</v>
      </c>
      <c r="D523" s="0">
        <v>0</v>
      </c>
      <c r="E523" s="10">
        <f>HYPERLINK("http://www.lingerieopt.ru/images/original/502ecec0-240a-407b-ab0f-3f837e16180a.jpg","Фото")</f>
      </c>
    </row>
    <row r="524">
      <c r="A524" s="7">
        <f>HYPERLINK("http://www.lingerieopt.ru/item/9562-bodi-divina-iz-prozrachnoi-vuali-i-kruzhev/","9562")</f>
      </c>
      <c r="B524" s="8" t="s">
        <v>521</v>
      </c>
      <c r="C524" s="9">
        <v>1186</v>
      </c>
      <c r="D524" s="0">
        <v>4</v>
      </c>
      <c r="E524" s="10">
        <f>HYPERLINK("http://www.lingerieopt.ru/images/original/6314196e-af7f-4bcd-91d3-899d5d94ec5b.jpg","Фото")</f>
      </c>
    </row>
    <row r="525">
      <c r="A525" s="7">
        <f>HYPERLINK("http://www.lingerieopt.ru/item/9562-bodi-divina-iz-prozrachnoi-vuali-i-kruzhev/","9562")</f>
      </c>
      <c r="B525" s="8" t="s">
        <v>522</v>
      </c>
      <c r="C525" s="9">
        <v>1186</v>
      </c>
      <c r="D525" s="0">
        <v>4</v>
      </c>
      <c r="E525" s="10">
        <f>HYPERLINK("http://www.lingerieopt.ru/images/original/6314196e-af7f-4bcd-91d3-899d5d94ec5b.jpg","Фото")</f>
      </c>
    </row>
    <row r="526">
      <c r="A526" s="7">
        <f>HYPERLINK("http://www.lingerieopt.ru/item/9562-bodi-divina-iz-prozrachnoi-vuali-i-kruzhev/","9562")</f>
      </c>
      <c r="B526" s="8" t="s">
        <v>523</v>
      </c>
      <c r="C526" s="9">
        <v>1186</v>
      </c>
      <c r="D526" s="0">
        <v>4</v>
      </c>
      <c r="E526" s="10">
        <f>HYPERLINK("http://www.lingerieopt.ru/images/original/6314196e-af7f-4bcd-91d3-899d5d94ec5b.jpg","Фото")</f>
      </c>
    </row>
    <row r="527">
      <c r="A527" s="7">
        <f>HYPERLINK("http://www.lingerieopt.ru/item/9562-bodi-divina-iz-prozrachnoi-vuali-i-kruzhev/","9562")</f>
      </c>
      <c r="B527" s="8" t="s">
        <v>524</v>
      </c>
      <c r="C527" s="9">
        <v>1186</v>
      </c>
      <c r="D527" s="0">
        <v>6</v>
      </c>
      <c r="E527" s="10">
        <f>HYPERLINK("http://www.lingerieopt.ru/images/original/6314196e-af7f-4bcd-91d3-899d5d94ec5b.jpg","Фото")</f>
      </c>
    </row>
    <row r="528">
      <c r="A528" s="7">
        <f>HYPERLINK("http://www.lingerieopt.ru/item/9564-originalnoe-bodi-love-plus-size-s-serdechkom/","9564")</f>
      </c>
      <c r="B528" s="8" t="s">
        <v>525</v>
      </c>
      <c r="C528" s="9">
        <v>614</v>
      </c>
      <c r="D528" s="0">
        <v>2</v>
      </c>
      <c r="E528" s="10">
        <f>HYPERLINK("http://www.lingerieopt.ru/images/original/556f67b1-b1fb-4ac2-9593-5505072c9ded.jpg","Фото")</f>
      </c>
    </row>
    <row r="529">
      <c r="A529" s="7">
        <f>HYPERLINK("http://www.lingerieopt.ru/item/9564-originalnoe-bodi-love-plus-size-s-serdechkom/","9564")</f>
      </c>
      <c r="B529" s="8" t="s">
        <v>526</v>
      </c>
      <c r="C529" s="9">
        <v>614</v>
      </c>
      <c r="D529" s="0">
        <v>2</v>
      </c>
      <c r="E529" s="10">
        <f>HYPERLINK("http://www.lingerieopt.ru/images/original/556f67b1-b1fb-4ac2-9593-5505072c9ded.jpg","Фото")</f>
      </c>
    </row>
    <row r="530">
      <c r="A530" s="7">
        <f>HYPERLINK("http://www.lingerieopt.ru/item/9565-originalnoe-bodi-love-s-nizhnei-chastyu-v-forme-serdca/","9565")</f>
      </c>
      <c r="B530" s="8" t="s">
        <v>527</v>
      </c>
      <c r="C530" s="9">
        <v>614</v>
      </c>
      <c r="D530" s="0">
        <v>7</v>
      </c>
      <c r="E530" s="10">
        <f>HYPERLINK("http://www.lingerieopt.ru/images/original/ad6835fe-dfeb-4c52-94f5-52f6e45baeb3.jpg","Фото")</f>
      </c>
    </row>
    <row r="531">
      <c r="A531" s="7">
        <f>HYPERLINK("http://www.lingerieopt.ru/item/9565-originalnoe-bodi-love-s-nizhnei-chastyu-v-forme-serdca/","9565")</f>
      </c>
      <c r="B531" s="8" t="s">
        <v>528</v>
      </c>
      <c r="C531" s="9">
        <v>614</v>
      </c>
      <c r="D531" s="0">
        <v>9</v>
      </c>
      <c r="E531" s="10">
        <f>HYPERLINK("http://www.lingerieopt.ru/images/original/ad6835fe-dfeb-4c52-94f5-52f6e45baeb3.jpg","Фото")</f>
      </c>
    </row>
    <row r="532">
      <c r="A532" s="7">
        <f>HYPERLINK("http://www.lingerieopt.ru/item/9565-originalnoe-bodi-love-s-nizhnei-chastyu-v-forme-serdca/","9565")</f>
      </c>
      <c r="B532" s="8" t="s">
        <v>529</v>
      </c>
      <c r="C532" s="9">
        <v>614</v>
      </c>
      <c r="D532" s="0">
        <v>7</v>
      </c>
      <c r="E532" s="10">
        <f>HYPERLINK("http://www.lingerieopt.ru/images/original/ad6835fe-dfeb-4c52-94f5-52f6e45baeb3.jpg","Фото")</f>
      </c>
    </row>
    <row r="533">
      <c r="A533" s="7">
        <f>HYPERLINK("http://www.lingerieopt.ru/item/9565-originalnoe-bodi-love-s-nizhnei-chastyu-v-forme-serdca/","9565")</f>
      </c>
      <c r="B533" s="8" t="s">
        <v>530</v>
      </c>
      <c r="C533" s="9">
        <v>614</v>
      </c>
      <c r="D533" s="0">
        <v>4</v>
      </c>
      <c r="E533" s="10">
        <f>HYPERLINK("http://www.lingerieopt.ru/images/original/ad6835fe-dfeb-4c52-94f5-52f6e45baeb3.jpg","Фото")</f>
      </c>
    </row>
    <row r="534">
      <c r="A534" s="7">
        <f>HYPERLINK("http://www.lingerieopt.ru/item/9566-dvuhcvetnoe-bodi-ashley-plus-size-s-aksessuarami/","9566")</f>
      </c>
      <c r="B534" s="8" t="s">
        <v>531</v>
      </c>
      <c r="C534" s="9">
        <v>1232</v>
      </c>
      <c r="D534" s="0">
        <v>3</v>
      </c>
      <c r="E534" s="10">
        <f>HYPERLINK("http://www.lingerieopt.ru/images/original/52a21b78-3344-4e73-9c0e-75c6662f3869.jpg","Фото")</f>
      </c>
    </row>
    <row r="535">
      <c r="A535" s="7">
        <f>HYPERLINK("http://www.lingerieopt.ru/item/9566-dvuhcvetnoe-bodi-ashley-plus-size-s-aksessuarami/","9566")</f>
      </c>
      <c r="B535" s="8" t="s">
        <v>532</v>
      </c>
      <c r="C535" s="9">
        <v>1232</v>
      </c>
      <c r="D535" s="0">
        <v>0</v>
      </c>
      <c r="E535" s="10">
        <f>HYPERLINK("http://www.lingerieopt.ru/images/original/52a21b78-3344-4e73-9c0e-75c6662f3869.jpg","Фото")</f>
      </c>
    </row>
    <row r="536">
      <c r="A536" s="7">
        <f>HYPERLINK("http://www.lingerieopt.ru/item/9582-poluprozrachnoe-bodi-muriel-s-imitaciei-shnurovki-po-bokam/","9582")</f>
      </c>
      <c r="B536" s="8" t="s">
        <v>533</v>
      </c>
      <c r="C536" s="9">
        <v>934</v>
      </c>
      <c r="D536" s="0">
        <v>3</v>
      </c>
      <c r="E536" s="10">
        <f>HYPERLINK("http://www.lingerieopt.ru/images/original/b9c0a495-ea7d-4d37-b4d0-dc6a0f65ced7.jpg","Фото")</f>
      </c>
    </row>
    <row r="537">
      <c r="A537" s="7">
        <f>HYPERLINK("http://www.lingerieopt.ru/item/9582-poluprozrachnoe-bodi-muriel-s-imitaciei-shnurovki-po-bokam/","9582")</f>
      </c>
      <c r="B537" s="8" t="s">
        <v>534</v>
      </c>
      <c r="C537" s="9">
        <v>934</v>
      </c>
      <c r="D537" s="0">
        <v>9</v>
      </c>
      <c r="E537" s="10">
        <f>HYPERLINK("http://www.lingerieopt.ru/images/original/b9c0a495-ea7d-4d37-b4d0-dc6a0f65ced7.jpg","Фото")</f>
      </c>
    </row>
    <row r="538">
      <c r="A538" s="7">
        <f>HYPERLINK("http://www.lingerieopt.ru/item/9582-poluprozrachnoe-bodi-muriel-s-imitaciei-shnurovki-po-bokam/","9582")</f>
      </c>
      <c r="B538" s="8" t="s">
        <v>535</v>
      </c>
      <c r="C538" s="9">
        <v>934</v>
      </c>
      <c r="D538" s="0">
        <v>5</v>
      </c>
      <c r="E538" s="10">
        <f>HYPERLINK("http://www.lingerieopt.ru/images/original/b9c0a495-ea7d-4d37-b4d0-dc6a0f65ced7.jpg","Фото")</f>
      </c>
    </row>
    <row r="539">
      <c r="A539" s="7">
        <f>HYPERLINK("http://www.lingerieopt.ru/item/9582-poluprozrachnoe-bodi-muriel-s-imitaciei-shnurovki-po-bokam/","9582")</f>
      </c>
      <c r="B539" s="8" t="s">
        <v>536</v>
      </c>
      <c r="C539" s="9">
        <v>934</v>
      </c>
      <c r="D539" s="0">
        <v>8</v>
      </c>
      <c r="E539" s="10">
        <f>HYPERLINK("http://www.lingerieopt.ru/images/original/b9c0a495-ea7d-4d37-b4d0-dc6a0f65ced7.jpg","Фото")</f>
      </c>
    </row>
    <row r="540">
      <c r="A540" s="7">
        <f>HYPERLINK("http://www.lingerieopt.ru/item/9620-poluprozrachnoe-bodi-bianca-plus-size-s-aksessuarami/","9620")</f>
      </c>
      <c r="B540" s="8" t="s">
        <v>537</v>
      </c>
      <c r="C540" s="9">
        <v>1310</v>
      </c>
      <c r="D540" s="0">
        <v>4</v>
      </c>
      <c r="E540" s="10">
        <f>HYPERLINK("http://www.lingerieopt.ru/images/original/533f68ad-5b45-4ebd-ad3b-39eb63cd8101.jpg","Фото")</f>
      </c>
    </row>
    <row r="541">
      <c r="A541" s="7">
        <f>HYPERLINK("http://www.lingerieopt.ru/item/9636-kruzhevnoe-bodi-elza-s-intimnjm-dostupom-i-mitenkami/","9636")</f>
      </c>
      <c r="B541" s="8" t="s">
        <v>538</v>
      </c>
      <c r="C541" s="9">
        <v>1287</v>
      </c>
      <c r="D541" s="0">
        <v>3</v>
      </c>
      <c r="E541" s="10">
        <f>HYPERLINK("http://www.lingerieopt.ru/images/original/8558fa73-0648-451d-ada7-04da5adedee0.jpg","Фото")</f>
      </c>
    </row>
    <row r="542">
      <c r="A542" s="7">
        <f>HYPERLINK("http://www.lingerieopt.ru/item/9636-kruzhevnoe-bodi-elza-s-intimnjm-dostupom-i-mitenkami/","9636")</f>
      </c>
      <c r="B542" s="8" t="s">
        <v>539</v>
      </c>
      <c r="C542" s="9">
        <v>1287</v>
      </c>
      <c r="D542" s="0">
        <v>0</v>
      </c>
      <c r="E542" s="10">
        <f>HYPERLINK("http://www.lingerieopt.ru/images/original/8558fa73-0648-451d-ada7-04da5adedee0.jpg","Фото")</f>
      </c>
    </row>
    <row r="543">
      <c r="A543" s="7">
        <f>HYPERLINK("http://www.lingerieopt.ru/item/9636-kruzhevnoe-bodi-elza-s-intimnjm-dostupom-i-mitenkami/","9636")</f>
      </c>
      <c r="B543" s="8" t="s">
        <v>540</v>
      </c>
      <c r="C543" s="9">
        <v>1287</v>
      </c>
      <c r="D543" s="0">
        <v>0</v>
      </c>
      <c r="E543" s="10">
        <f>HYPERLINK("http://www.lingerieopt.ru/images/original/8558fa73-0648-451d-ada7-04da5adedee0.jpg","Фото")</f>
      </c>
    </row>
    <row r="544">
      <c r="A544" s="7">
        <f>HYPERLINK("http://www.lingerieopt.ru/item/9636-kruzhevnoe-bodi-elza-s-intimnjm-dostupom-i-mitenkami/","9636")</f>
      </c>
      <c r="B544" s="8" t="s">
        <v>541</v>
      </c>
      <c r="C544" s="9">
        <v>1287</v>
      </c>
      <c r="D544" s="0">
        <v>9</v>
      </c>
      <c r="E544" s="10">
        <f>HYPERLINK("http://www.lingerieopt.ru/images/original/8558fa73-0648-451d-ada7-04da5adedee0.jpg","Фото")</f>
      </c>
    </row>
    <row r="545">
      <c r="A545" s="7">
        <f>HYPERLINK("http://www.lingerieopt.ru/item/9636-kruzhevnoe-bodi-elza-s-intimnjm-dostupom-i-mitenkami/","9636")</f>
      </c>
      <c r="B545" s="8" t="s">
        <v>542</v>
      </c>
      <c r="C545" s="9">
        <v>1287</v>
      </c>
      <c r="D545" s="0">
        <v>3</v>
      </c>
      <c r="E545" s="10">
        <f>HYPERLINK("http://www.lingerieopt.ru/images/original/8558fa73-0648-451d-ada7-04da5adedee0.jpg","Фото")</f>
      </c>
    </row>
    <row r="546">
      <c r="A546" s="7">
        <f>HYPERLINK("http://www.lingerieopt.ru/item/9636-kruzhevnoe-bodi-elza-s-intimnjm-dostupom-i-mitenkami/","9636")</f>
      </c>
      <c r="B546" s="8" t="s">
        <v>543</v>
      </c>
      <c r="C546" s="9">
        <v>1287</v>
      </c>
      <c r="D546" s="0">
        <v>4</v>
      </c>
      <c r="E546" s="10">
        <f>HYPERLINK("http://www.lingerieopt.ru/images/original/8558fa73-0648-451d-ada7-04da5adedee0.jpg","Фото")</f>
      </c>
    </row>
    <row r="547">
      <c r="A547" s="7">
        <f>HYPERLINK("http://www.lingerieopt.ru/item/9637-kruzhevnoe-bodi-elza-plus-size-s-dostupom-i-mitenkami/","9637")</f>
      </c>
      <c r="B547" s="8" t="s">
        <v>544</v>
      </c>
      <c r="C547" s="9">
        <v>1287</v>
      </c>
      <c r="D547" s="0">
        <v>3</v>
      </c>
      <c r="E547" s="10">
        <f>HYPERLINK("http://www.lingerieopt.ru/images/original/c59361f7-b186-4716-840b-9a5bc4a38598.jpg","Фото")</f>
      </c>
    </row>
    <row r="548">
      <c r="A548" s="7">
        <f>HYPERLINK("http://www.lingerieopt.ru/item/9637-kruzhevnoe-bodi-elza-plus-size-s-dostupom-i-mitenkami/","9637")</f>
      </c>
      <c r="B548" s="8" t="s">
        <v>545</v>
      </c>
      <c r="C548" s="9">
        <v>1287</v>
      </c>
      <c r="D548" s="0">
        <v>1</v>
      </c>
      <c r="E548" s="10">
        <f>HYPERLINK("http://www.lingerieopt.ru/images/original/c59361f7-b186-4716-840b-9a5bc4a38598.jpg","Фото")</f>
      </c>
    </row>
    <row r="549">
      <c r="A549" s="7">
        <f>HYPERLINK("http://www.lingerieopt.ru/item/9637-kruzhevnoe-bodi-elza-plus-size-s-dostupom-i-mitenkami/","9637")</f>
      </c>
      <c r="B549" s="8" t="s">
        <v>546</v>
      </c>
      <c r="C549" s="9">
        <v>1287</v>
      </c>
      <c r="D549" s="0">
        <v>5</v>
      </c>
      <c r="E549" s="10">
        <f>HYPERLINK("http://www.lingerieopt.ru/images/original/c59361f7-b186-4716-840b-9a5bc4a38598.jpg","Фото")</f>
      </c>
    </row>
    <row r="550">
      <c r="A550" s="7">
        <f>HYPERLINK("http://www.lingerieopt.ru/item/9638-igrivoe-bodi-helena-s-bantikami/","9638")</f>
      </c>
      <c r="B550" s="8" t="s">
        <v>547</v>
      </c>
      <c r="C550" s="9">
        <v>1080</v>
      </c>
      <c r="D550" s="0">
        <v>5</v>
      </c>
      <c r="E550" s="10">
        <f>HYPERLINK("http://www.lingerieopt.ru/images/original/12adad2e-f540-4384-8792-ce9ceb65f6a8.jpg","Фото")</f>
      </c>
    </row>
    <row r="551">
      <c r="A551" s="7">
        <f>HYPERLINK("http://www.lingerieopt.ru/item/9638-igrivoe-bodi-helena-s-bantikami/","9638")</f>
      </c>
      <c r="B551" s="8" t="s">
        <v>548</v>
      </c>
      <c r="C551" s="9">
        <v>1080</v>
      </c>
      <c r="D551" s="0">
        <v>5</v>
      </c>
      <c r="E551" s="10">
        <f>HYPERLINK("http://www.lingerieopt.ru/images/original/12adad2e-f540-4384-8792-ce9ceb65f6a8.jpg","Фото")</f>
      </c>
    </row>
    <row r="552">
      <c r="A552" s="7">
        <f>HYPERLINK("http://www.lingerieopt.ru/item/9643-originalnoe-bodi-ida-s-lifom-iz-serdechek/","9643")</f>
      </c>
      <c r="B552" s="8" t="s">
        <v>549</v>
      </c>
      <c r="C552" s="9">
        <v>924</v>
      </c>
      <c r="D552" s="0">
        <v>8</v>
      </c>
      <c r="E552" s="10">
        <f>HYPERLINK("http://www.lingerieopt.ru/images/original/4d365895-d9c6-4fc6-b253-826164c0cf12.jpg","Фото")</f>
      </c>
    </row>
    <row r="553">
      <c r="A553" s="7">
        <f>HYPERLINK("http://www.lingerieopt.ru/item/9643-originalnoe-bodi-ida-s-lifom-iz-serdechek/","9643")</f>
      </c>
      <c r="B553" s="8" t="s">
        <v>550</v>
      </c>
      <c r="C553" s="9">
        <v>924</v>
      </c>
      <c r="D553" s="0">
        <v>1</v>
      </c>
      <c r="E553" s="10">
        <f>HYPERLINK("http://www.lingerieopt.ru/images/original/4d365895-d9c6-4fc6-b253-826164c0cf12.jpg","Фото")</f>
      </c>
    </row>
    <row r="554">
      <c r="A554" s="7">
        <f>HYPERLINK("http://www.lingerieopt.ru/item/9644-originalnoe-bodi-ida-plus-size-s-lifom-iz-serdechek/","9644")</f>
      </c>
      <c r="B554" s="8" t="s">
        <v>551</v>
      </c>
      <c r="C554" s="9">
        <v>924</v>
      </c>
      <c r="D554" s="0">
        <v>2</v>
      </c>
      <c r="E554" s="10">
        <f>HYPERLINK("http://www.lingerieopt.ru/images/original/1a915485-8510-4174-b0a1-cc22d4eb6b8e.jpg","Фото")</f>
      </c>
    </row>
    <row r="555">
      <c r="A555" s="7">
        <f>HYPERLINK("http://www.lingerieopt.ru/item/9651-volnuyuschee-bodi-athena-plus-size-iz-tyulya/","9651")</f>
      </c>
      <c r="B555" s="8" t="s">
        <v>552</v>
      </c>
      <c r="C555" s="9">
        <v>1152</v>
      </c>
      <c r="D555" s="0">
        <v>4</v>
      </c>
      <c r="E555" s="10">
        <f>HYPERLINK("http://www.lingerieopt.ru/images/original/b2a2e384-2abd-4cf8-9d0d-01a3dfbf346c.jpg","Фото")</f>
      </c>
    </row>
    <row r="556">
      <c r="A556" s="7">
        <f>HYPERLINK("http://www.lingerieopt.ru/item/9651-volnuyuschee-bodi-athena-plus-size-iz-tyulya/","9651")</f>
      </c>
      <c r="B556" s="8" t="s">
        <v>553</v>
      </c>
      <c r="C556" s="9">
        <v>1152</v>
      </c>
      <c r="D556" s="0">
        <v>4</v>
      </c>
      <c r="E556" s="10">
        <f>HYPERLINK("http://www.lingerieopt.ru/images/original/b2a2e384-2abd-4cf8-9d0d-01a3dfbf346c.jpg","Фото")</f>
      </c>
    </row>
    <row r="557">
      <c r="A557" s="7">
        <f>HYPERLINK("http://www.lingerieopt.ru/item/9666-poluprozrachnoe-bodi-emma-s-vstavkoi-iz-wet-look-materiala/","9666")</f>
      </c>
      <c r="B557" s="8" t="s">
        <v>554</v>
      </c>
      <c r="C557" s="9">
        <v>804</v>
      </c>
      <c r="D557" s="0">
        <v>0</v>
      </c>
      <c r="E557" s="10">
        <f>HYPERLINK("http://www.lingerieopt.ru/images/original/bd90b7f8-4aca-4e76-ab54-764104f0fd27.jpg","Фото")</f>
      </c>
    </row>
    <row r="558">
      <c r="A558" s="7">
        <f>HYPERLINK("http://www.lingerieopt.ru/item/9666-poluprozrachnoe-bodi-emma-s-vstavkoi-iz-wet-look-materiala/","9666")</f>
      </c>
      <c r="B558" s="8" t="s">
        <v>555</v>
      </c>
      <c r="C558" s="9">
        <v>804</v>
      </c>
      <c r="D558" s="0">
        <v>0</v>
      </c>
      <c r="E558" s="10">
        <f>HYPERLINK("http://www.lingerieopt.ru/images/original/bd90b7f8-4aca-4e76-ab54-764104f0fd27.jpg","Фото")</f>
      </c>
    </row>
    <row r="559">
      <c r="A559" s="7">
        <f>HYPERLINK("http://www.lingerieopt.ru/item/9666-poluprozrachnoe-bodi-emma-s-vstavkoi-iz-wet-look-materiala/","9666")</f>
      </c>
      <c r="B559" s="8" t="s">
        <v>556</v>
      </c>
      <c r="C559" s="9">
        <v>804</v>
      </c>
      <c r="D559" s="0">
        <v>1</v>
      </c>
      <c r="E559" s="10">
        <f>HYPERLINK("http://www.lingerieopt.ru/images/original/bd90b7f8-4aca-4e76-ab54-764104f0fd27.jpg","Фото")</f>
      </c>
    </row>
    <row r="560">
      <c r="A560" s="7">
        <f>HYPERLINK("http://www.lingerieopt.ru/item/9666-poluprozrachnoe-bodi-emma-s-vstavkoi-iz-wet-look-materiala/","9666")</f>
      </c>
      <c r="B560" s="8" t="s">
        <v>557</v>
      </c>
      <c r="C560" s="9">
        <v>804</v>
      </c>
      <c r="D560" s="0">
        <v>0</v>
      </c>
      <c r="E560" s="10">
        <f>HYPERLINK("http://www.lingerieopt.ru/images/original/bd90b7f8-4aca-4e76-ab54-764104f0fd27.jpg","Фото")</f>
      </c>
    </row>
    <row r="561">
      <c r="A561" s="7">
        <f>HYPERLINK("http://www.lingerieopt.ru/item/9666-poluprozrachnoe-bodi-emma-s-vstavkoi-iz-wet-look-materiala/","9666")</f>
      </c>
      <c r="B561" s="8" t="s">
        <v>558</v>
      </c>
      <c r="C561" s="9">
        <v>804</v>
      </c>
      <c r="D561" s="0">
        <v>0</v>
      </c>
      <c r="E561" s="10">
        <f>HYPERLINK("http://www.lingerieopt.ru/images/original/bd90b7f8-4aca-4e76-ab54-764104f0fd27.jpg","Фото")</f>
      </c>
    </row>
    <row r="562">
      <c r="A562" s="7">
        <f>HYPERLINK("http://www.lingerieopt.ru/item/9666-poluprozrachnoe-bodi-emma-s-vstavkoi-iz-wet-look-materiala/","9666")</f>
      </c>
      <c r="B562" s="8" t="s">
        <v>559</v>
      </c>
      <c r="C562" s="9">
        <v>804</v>
      </c>
      <c r="D562" s="0">
        <v>0</v>
      </c>
      <c r="E562" s="10">
        <f>HYPERLINK("http://www.lingerieopt.ru/images/original/bd90b7f8-4aca-4e76-ab54-764104f0fd27.jpg","Фото")</f>
      </c>
    </row>
    <row r="563">
      <c r="A563" s="7">
        <f>HYPERLINK("http://www.lingerieopt.ru/item/9672-nezhnoe-kruzhevnoe-teddi-bisquitta/","9672")</f>
      </c>
      <c r="B563" s="8" t="s">
        <v>560</v>
      </c>
      <c r="C563" s="9">
        <v>1732</v>
      </c>
      <c r="D563" s="0">
        <v>2</v>
      </c>
      <c r="E563" s="10">
        <f>HYPERLINK("http://www.lingerieopt.ru/images/original/ab986019-dbe5-40d4-b1d2-a65c9b4a05f2.jpg","Фото")</f>
      </c>
    </row>
    <row r="564">
      <c r="A564" s="7">
        <f>HYPERLINK("http://www.lingerieopt.ru/item/9672-nezhnoe-kruzhevnoe-teddi-bisquitta/","9672")</f>
      </c>
      <c r="B564" s="8" t="s">
        <v>561</v>
      </c>
      <c r="C564" s="9">
        <v>1732</v>
      </c>
      <c r="D564" s="0">
        <v>0</v>
      </c>
      <c r="E564" s="10">
        <f>HYPERLINK("http://www.lingerieopt.ru/images/original/ab986019-dbe5-40d4-b1d2-a65c9b4a05f2.jpg","Фото")</f>
      </c>
    </row>
    <row r="565">
      <c r="A565" s="7">
        <f>HYPERLINK("http://www.lingerieopt.ru/item/9682-soblaznitelnoe-bodi-fanny-s-molniyami/","9682")</f>
      </c>
      <c r="B565" s="8" t="s">
        <v>562</v>
      </c>
      <c r="C565" s="9">
        <v>1521</v>
      </c>
      <c r="D565" s="0">
        <v>3</v>
      </c>
      <c r="E565" s="10">
        <f>HYPERLINK("http://www.lingerieopt.ru/images/original/fa4609cf-f3bf-4b1f-a722-d491a077cc09.jpg","Фото")</f>
      </c>
    </row>
    <row r="566">
      <c r="A566" s="7">
        <f>HYPERLINK("http://www.lingerieopt.ru/item/9682-soblaznitelnoe-bodi-fanny-s-molniyami/","9682")</f>
      </c>
      <c r="B566" s="8" t="s">
        <v>563</v>
      </c>
      <c r="C566" s="9">
        <v>1521</v>
      </c>
      <c r="D566" s="0">
        <v>3</v>
      </c>
      <c r="E566" s="10">
        <f>HYPERLINK("http://www.lingerieopt.ru/images/original/fa4609cf-f3bf-4b1f-a722-d491a077cc09.jpg","Фото")</f>
      </c>
    </row>
    <row r="567">
      <c r="A567" s="7">
        <f>HYPERLINK("http://www.lingerieopt.ru/item/9682-soblaznitelnoe-bodi-fanny-s-molniyami/","9682")</f>
      </c>
      <c r="B567" s="8" t="s">
        <v>564</v>
      </c>
      <c r="C567" s="9">
        <v>1521</v>
      </c>
      <c r="D567" s="0">
        <v>3</v>
      </c>
      <c r="E567" s="10">
        <f>HYPERLINK("http://www.lingerieopt.ru/images/original/fa4609cf-f3bf-4b1f-a722-d491a077cc09.jpg","Фото")</f>
      </c>
    </row>
    <row r="568">
      <c r="A568" s="7">
        <f>HYPERLINK("http://www.lingerieopt.ru/item/9682-soblaznitelnoe-bodi-fanny-s-molniyami/","9682")</f>
      </c>
      <c r="B568" s="8" t="s">
        <v>565</v>
      </c>
      <c r="C568" s="9">
        <v>1521</v>
      </c>
      <c r="D568" s="0">
        <v>0</v>
      </c>
      <c r="E568" s="10">
        <f>HYPERLINK("http://www.lingerieopt.ru/images/original/fa4609cf-f3bf-4b1f-a722-d491a077cc09.jpg","Фото")</f>
      </c>
    </row>
    <row r="569">
      <c r="A569" s="7">
        <f>HYPERLINK("http://www.lingerieopt.ru/item/9682-soblaznitelnoe-bodi-fanny-s-molniyami/","9682")</f>
      </c>
      <c r="B569" s="8" t="s">
        <v>566</v>
      </c>
      <c r="C569" s="9">
        <v>1521</v>
      </c>
      <c r="D569" s="0">
        <v>5</v>
      </c>
      <c r="E569" s="10">
        <f>HYPERLINK("http://www.lingerieopt.ru/images/original/fa4609cf-f3bf-4b1f-a722-d491a077cc09.jpg","Фото")</f>
      </c>
    </row>
    <row r="570">
      <c r="A570" s="7">
        <f>HYPERLINK("http://www.lingerieopt.ru/item/9682-soblaznitelnoe-bodi-fanny-s-molniyami/","9682")</f>
      </c>
      <c r="B570" s="8" t="s">
        <v>567</v>
      </c>
      <c r="C570" s="9">
        <v>1521</v>
      </c>
      <c r="D570" s="0">
        <v>3</v>
      </c>
      <c r="E570" s="10">
        <f>HYPERLINK("http://www.lingerieopt.ru/images/original/fa4609cf-f3bf-4b1f-a722-d491a077cc09.jpg","Фото")</f>
      </c>
    </row>
    <row r="571">
      <c r="A571" s="7">
        <f>HYPERLINK("http://www.lingerieopt.ru/item/9683-soblaznitelnoe-bodi-fanny-plus-size-s-molniyami/","9683")</f>
      </c>
      <c r="B571" s="8" t="s">
        <v>568</v>
      </c>
      <c r="C571" s="9">
        <v>1521</v>
      </c>
      <c r="D571" s="0">
        <v>0</v>
      </c>
      <c r="E571" s="10">
        <f>HYPERLINK("http://www.lingerieopt.ru/images/original/a83debae-90ac-428e-9f29-2fac66c0bcaf.jpg","Фото")</f>
      </c>
    </row>
    <row r="572">
      <c r="A572" s="7">
        <f>HYPERLINK("http://www.lingerieopt.ru/item/9683-soblaznitelnoe-bodi-fanny-plus-size-s-molniyami/","9683")</f>
      </c>
      <c r="B572" s="8" t="s">
        <v>569</v>
      </c>
      <c r="C572" s="9">
        <v>1521</v>
      </c>
      <c r="D572" s="0">
        <v>2</v>
      </c>
      <c r="E572" s="10">
        <f>HYPERLINK("http://www.lingerieopt.ru/images/original/a83debae-90ac-428e-9f29-2fac66c0bcaf.jpg","Фото")</f>
      </c>
    </row>
    <row r="573">
      <c r="A573" s="7">
        <f>HYPERLINK("http://www.lingerieopt.ru/item/9683-soblaznitelnoe-bodi-fanny-plus-size-s-molniyami/","9683")</f>
      </c>
      <c r="B573" s="8" t="s">
        <v>570</v>
      </c>
      <c r="C573" s="9">
        <v>1521</v>
      </c>
      <c r="D573" s="0">
        <v>2</v>
      </c>
      <c r="E573" s="10">
        <f>HYPERLINK("http://www.lingerieopt.ru/images/original/a83debae-90ac-428e-9f29-2fac66c0bcaf.jpg","Фото")</f>
      </c>
    </row>
    <row r="574">
      <c r="A574" s="7">
        <f>HYPERLINK("http://www.lingerieopt.ru/item/9692-soblaznitelnoe-bodi-s-kletchatjmi-detalyami-i-uzorom-iz-cvetochkov/","9692")</f>
      </c>
      <c r="B574" s="8" t="s">
        <v>571</v>
      </c>
      <c r="C574" s="9">
        <v>1544</v>
      </c>
      <c r="D574" s="0">
        <v>3</v>
      </c>
      <c r="E574" s="10">
        <f>HYPERLINK("http://www.lingerieopt.ru/images/original/63bfec39-8e4d-4331-8117-cfc8e072e515.jpg","Фото")</f>
      </c>
    </row>
    <row r="575">
      <c r="A575" s="7">
        <f>HYPERLINK("http://www.lingerieopt.ru/item/9692-soblaznitelnoe-bodi-s-kletchatjmi-detalyami-i-uzorom-iz-cvetochkov/","9692")</f>
      </c>
      <c r="B575" s="8" t="s">
        <v>572</v>
      </c>
      <c r="C575" s="9">
        <v>1544</v>
      </c>
      <c r="D575" s="0">
        <v>5</v>
      </c>
      <c r="E575" s="10">
        <f>HYPERLINK("http://www.lingerieopt.ru/images/original/63bfec39-8e4d-4331-8117-cfc8e072e515.jpg","Фото")</f>
      </c>
    </row>
    <row r="576">
      <c r="A576" s="7">
        <f>HYPERLINK("http://www.lingerieopt.ru/item/9705-poluprozrachnoe-bodi-avril-so-shnurovkoi/","9705")</f>
      </c>
      <c r="B576" s="8" t="s">
        <v>573</v>
      </c>
      <c r="C576" s="9">
        <v>1193</v>
      </c>
      <c r="D576" s="0">
        <v>5</v>
      </c>
      <c r="E576" s="10">
        <f>HYPERLINK("http://www.lingerieopt.ru/images/original/9a230f7c-fedf-4bc7-b82c-d70580ed3f69.jpg","Фото")</f>
      </c>
    </row>
    <row r="577">
      <c r="A577" s="7">
        <f>HYPERLINK("http://www.lingerieopt.ru/item/9705-poluprozrachnoe-bodi-avril-so-shnurovkoi/","9705")</f>
      </c>
      <c r="B577" s="8" t="s">
        <v>574</v>
      </c>
      <c r="C577" s="9">
        <v>1193</v>
      </c>
      <c r="D577" s="0">
        <v>6</v>
      </c>
      <c r="E577" s="10">
        <f>HYPERLINK("http://www.lingerieopt.ru/images/original/9a230f7c-fedf-4bc7-b82c-d70580ed3f69.jpg","Фото")</f>
      </c>
    </row>
    <row r="578">
      <c r="A578" s="7">
        <f>HYPERLINK("http://www.lingerieopt.ru/item/9706-poluprozrachnoe-bodi-avril-plus-size-so-shnurovkoi/","9706")</f>
      </c>
      <c r="B578" s="8" t="s">
        <v>575</v>
      </c>
      <c r="C578" s="9">
        <v>1193</v>
      </c>
      <c r="D578" s="0">
        <v>4</v>
      </c>
      <c r="E578" s="10">
        <f>HYPERLINK("http://www.lingerieopt.ru/images/original/e5829b74-fcd5-46d1-8498-b39b108eefd3.jpg","Фото")</f>
      </c>
    </row>
    <row r="579">
      <c r="A579" s="7">
        <f>HYPERLINK("http://www.lingerieopt.ru/item/9719-kruzhevnoe-bodi-yolanda-s-dlinnjmi-rukavami-i-otkrjtoi-spinkoi/","9719")</f>
      </c>
      <c r="B579" s="8" t="s">
        <v>576</v>
      </c>
      <c r="C579" s="9">
        <v>1299</v>
      </c>
      <c r="D579" s="0">
        <v>5</v>
      </c>
      <c r="E579" s="10">
        <f>HYPERLINK("http://www.lingerieopt.ru/images/original/676ce5b6-e6c9-4173-ad30-083615adfac4.jpg","Фото")</f>
      </c>
    </row>
    <row r="580">
      <c r="A580" s="7">
        <f>HYPERLINK("http://www.lingerieopt.ru/item/9719-kruzhevnoe-bodi-yolanda-s-dlinnjmi-rukavami-i-otkrjtoi-spinkoi/","9719")</f>
      </c>
      <c r="B580" s="8" t="s">
        <v>577</v>
      </c>
      <c r="C580" s="9">
        <v>1299</v>
      </c>
      <c r="D580" s="0">
        <v>3</v>
      </c>
      <c r="E580" s="10">
        <f>HYPERLINK("http://www.lingerieopt.ru/images/original/676ce5b6-e6c9-4173-ad30-083615adfac4.jpg","Фото")</f>
      </c>
    </row>
    <row r="581">
      <c r="A581" s="7">
        <f>HYPERLINK("http://www.lingerieopt.ru/item/9720-kruzhevnoe-bodi-yolanda-plus-size-s-dlinnjmi-rukavami-i-otkrjtoi-spinkoi/","9720")</f>
      </c>
      <c r="B581" s="8" t="s">
        <v>578</v>
      </c>
      <c r="C581" s="9">
        <v>1299</v>
      </c>
      <c r="D581" s="0">
        <v>3</v>
      </c>
      <c r="E581" s="10">
        <f>HYPERLINK("http://www.lingerieopt.ru/images/original/43f05535-6f32-4b63-8b33-4bbb2e704e70.jpg","Фото")</f>
      </c>
    </row>
    <row r="582">
      <c r="A582" s="7">
        <f>HYPERLINK("http://www.lingerieopt.ru/item/9746-vjzjvayuschee-bodi-blanche-na-molnii/","9746")</f>
      </c>
      <c r="B582" s="8" t="s">
        <v>579</v>
      </c>
      <c r="C582" s="9">
        <v>1591</v>
      </c>
      <c r="D582" s="0">
        <v>7</v>
      </c>
      <c r="E582" s="10">
        <f>HYPERLINK("http://www.lingerieopt.ru/images/original/9fd5e40a-d318-4930-b504-0f9f0f40877e.jpg","Фото")</f>
      </c>
    </row>
    <row r="583">
      <c r="A583" s="7">
        <f>HYPERLINK("http://www.lingerieopt.ru/item/9750-igrivoe-bodi-s-zastezhkami-molniyami-cassandra/","9750")</f>
      </c>
      <c r="B583" s="8" t="s">
        <v>580</v>
      </c>
      <c r="C583" s="9">
        <v>1521</v>
      </c>
      <c r="D583" s="0">
        <v>4</v>
      </c>
      <c r="E583" s="10">
        <f>HYPERLINK("http://www.lingerieopt.ru/images/original/29b8bc0f-8b24-4954-b5ee-6e2260127422.jpg","Фото")</f>
      </c>
    </row>
    <row r="584">
      <c r="A584" s="7">
        <f>HYPERLINK("http://www.lingerieopt.ru/item/9751-bodi-anita-plus-size-iz-strep-lent/","9751")</f>
      </c>
      <c r="B584" s="8" t="s">
        <v>581</v>
      </c>
      <c r="C584" s="9">
        <v>1416</v>
      </c>
      <c r="D584" s="0">
        <v>3</v>
      </c>
      <c r="E584" s="10">
        <f>HYPERLINK("http://www.lingerieopt.ru/images/original/120dd86d-f2c7-4eb4-90d2-7b3fb4d9c7ad.jpg","Фото")</f>
      </c>
    </row>
    <row r="585">
      <c r="A585" s="7">
        <f>HYPERLINK("http://www.lingerieopt.ru/item/9751-bodi-anita-plus-size-iz-strep-lent/","9751")</f>
      </c>
      <c r="B585" s="8" t="s">
        <v>582</v>
      </c>
      <c r="C585" s="9">
        <v>1416</v>
      </c>
      <c r="D585" s="0">
        <v>3</v>
      </c>
      <c r="E585" s="10">
        <f>HYPERLINK("http://www.lingerieopt.ru/images/original/120dd86d-f2c7-4eb4-90d2-7b3fb4d9c7ad.jpg","Фото")</f>
      </c>
    </row>
    <row r="586">
      <c r="A586" s="7">
        <f>HYPERLINK("http://www.lingerieopt.ru/item/9751-bodi-anita-plus-size-iz-strep-lent/","9751")</f>
      </c>
      <c r="B586" s="8" t="s">
        <v>583</v>
      </c>
      <c r="C586" s="9">
        <v>1416</v>
      </c>
      <c r="D586" s="0">
        <v>3</v>
      </c>
      <c r="E586" s="10">
        <f>HYPERLINK("http://www.lingerieopt.ru/images/original/120dd86d-f2c7-4eb4-90d2-7b3fb4d9c7ad.jpg","Фото")</f>
      </c>
    </row>
    <row r="587">
      <c r="A587" s="7">
        <f>HYPERLINK("http://www.lingerieopt.ru/item/9820-soblaznitelnoe-bodi-jovita-plus-size-s-otkrjtoi-popoi/","9820")</f>
      </c>
      <c r="B587" s="8" t="s">
        <v>584</v>
      </c>
      <c r="C587" s="9">
        <v>1170</v>
      </c>
      <c r="D587" s="0">
        <v>0</v>
      </c>
      <c r="E587" s="10">
        <f>HYPERLINK("http://www.lingerieopt.ru/images/original/2ff68a6a-c2c8-42e3-9ccb-265be27c8b6c.jpg","Фото")</f>
      </c>
    </row>
    <row r="588">
      <c r="A588" s="7">
        <f>HYPERLINK("http://www.lingerieopt.ru/item/9820-soblaznitelnoe-bodi-jovita-plus-size-s-otkrjtoi-popoi/","9820")</f>
      </c>
      <c r="B588" s="8" t="s">
        <v>585</v>
      </c>
      <c r="C588" s="9">
        <v>1170</v>
      </c>
      <c r="D588" s="0">
        <v>1</v>
      </c>
      <c r="E588" s="10">
        <f>HYPERLINK("http://www.lingerieopt.ru/images/original/2ff68a6a-c2c8-42e3-9ccb-265be27c8b6c.jpg","Фото")</f>
      </c>
    </row>
    <row r="589">
      <c r="A589" s="7">
        <f>HYPERLINK("http://www.lingerieopt.ru/item/9824-kruzhevnoe-bodi-rayen-plus-size-s-glubokim-dekolte/","9824")</f>
      </c>
      <c r="B589" s="8" t="s">
        <v>586</v>
      </c>
      <c r="C589" s="9">
        <v>1210</v>
      </c>
      <c r="D589" s="0">
        <v>2</v>
      </c>
      <c r="E589" s="10">
        <f>HYPERLINK("http://www.lingerieopt.ru/images/original/433aaa5d-84d7-4b69-8f42-97af3db6780f.jpg","Фото")</f>
      </c>
    </row>
    <row r="590">
      <c r="A590" s="7">
        <f>HYPERLINK("http://www.lingerieopt.ru/item/9824-kruzhevnoe-bodi-rayen-plus-size-s-glubokim-dekolte/","9824")</f>
      </c>
      <c r="B590" s="8" t="s">
        <v>587</v>
      </c>
      <c r="C590" s="9">
        <v>1210</v>
      </c>
      <c r="D590" s="0">
        <v>0</v>
      </c>
      <c r="E590" s="10">
        <f>HYPERLINK("http://www.lingerieopt.ru/images/original/433aaa5d-84d7-4b69-8f42-97af3db6780f.jpg","Фото")</f>
      </c>
    </row>
    <row r="591">
      <c r="A591" s="7">
        <f>HYPERLINK("http://www.lingerieopt.ru/item/9829-bodi-josslyn-iz-cvetochnogo-kruzheva-s-otkrjtoi-spinkoi/","9829")</f>
      </c>
      <c r="B591" s="8" t="s">
        <v>588</v>
      </c>
      <c r="C591" s="9">
        <v>1210</v>
      </c>
      <c r="D591" s="0">
        <v>2</v>
      </c>
      <c r="E591" s="10">
        <f>HYPERLINK("http://www.lingerieopt.ru/images/original/bdaead0c-0ba5-47b3-a0a9-5e7031a4b2a6.jpg","Фото")</f>
      </c>
    </row>
    <row r="592">
      <c r="A592" s="7">
        <f>HYPERLINK("http://www.lingerieopt.ru/item/9829-bodi-josslyn-iz-cvetochnogo-kruzheva-s-otkrjtoi-spinkoi/","9829")</f>
      </c>
      <c r="B592" s="8" t="s">
        <v>589</v>
      </c>
      <c r="C592" s="9">
        <v>1210</v>
      </c>
      <c r="D592" s="0">
        <v>2</v>
      </c>
      <c r="E592" s="10">
        <f>HYPERLINK("http://www.lingerieopt.ru/images/original/bdaead0c-0ba5-47b3-a0a9-5e7031a4b2a6.jpg","Фото")</f>
      </c>
    </row>
    <row r="593">
      <c r="A593" s="7">
        <f>HYPERLINK("http://www.lingerieopt.ru/item/9831-soblaznitelnoe-bodi-rika-s-yarkim-lifom-na-zavyazkah/","9831")</f>
      </c>
      <c r="B593" s="8" t="s">
        <v>590</v>
      </c>
      <c r="C593" s="9">
        <v>1336</v>
      </c>
      <c r="D593" s="0">
        <v>2</v>
      </c>
      <c r="E593" s="10">
        <f>HYPERLINK("http://www.lingerieopt.ru/images/original/fa9a8ea1-5dba-4793-aac8-270bd9d03aa7.jpg","Фото")</f>
      </c>
    </row>
    <row r="594">
      <c r="A594" s="7">
        <f>HYPERLINK("http://www.lingerieopt.ru/item/9831-soblaznitelnoe-bodi-rika-s-yarkim-lifom-na-zavyazkah/","9831")</f>
      </c>
      <c r="B594" s="8" t="s">
        <v>591</v>
      </c>
      <c r="C594" s="9">
        <v>1336</v>
      </c>
      <c r="D594" s="0">
        <v>2</v>
      </c>
      <c r="E594" s="10">
        <f>HYPERLINK("http://www.lingerieopt.ru/images/original/fa9a8ea1-5dba-4793-aac8-270bd9d03aa7.jpg","Фото")</f>
      </c>
    </row>
    <row r="595">
      <c r="A595" s="7">
        <f>HYPERLINK("http://www.lingerieopt.ru/item/9862-poluprozrachnoe-bodi-joana-plus-size-s-reguliruemjmi-bretelyami/","9862")</f>
      </c>
      <c r="B595" s="8" t="s">
        <v>592</v>
      </c>
      <c r="C595" s="9">
        <v>1299</v>
      </c>
      <c r="D595" s="0">
        <v>2</v>
      </c>
      <c r="E595" s="10">
        <f>HYPERLINK("http://www.lingerieopt.ru/images/original/5143e699-32c2-4813-b32f-3dbabdbc5845.jpg","Фото")</f>
      </c>
    </row>
    <row r="596">
      <c r="A596" s="7">
        <f>HYPERLINK("http://www.lingerieopt.ru/item/9865-pikantnoe-bodi-leila-iz-elastichnjh-lent-s-oborkami/","9865")</f>
      </c>
      <c r="B596" s="8" t="s">
        <v>593</v>
      </c>
      <c r="C596" s="9">
        <v>1299</v>
      </c>
      <c r="D596" s="0">
        <v>4</v>
      </c>
      <c r="E596" s="10">
        <f>HYPERLINK("http://www.lingerieopt.ru/images/original/4e325ece-7156-4fca-a553-eb82dfb593ee.jpg","Фото")</f>
      </c>
    </row>
    <row r="597">
      <c r="A597" s="7">
        <f>HYPERLINK("http://www.lingerieopt.ru/item/9865-pikantnoe-bodi-leila-iz-elastichnjh-lent-s-oborkami/","9865")</f>
      </c>
      <c r="B597" s="8" t="s">
        <v>594</v>
      </c>
      <c r="C597" s="9">
        <v>1299</v>
      </c>
      <c r="D597" s="0">
        <v>4</v>
      </c>
      <c r="E597" s="10">
        <f>HYPERLINK("http://www.lingerieopt.ru/images/original/4e325ece-7156-4fca-a553-eb82dfb593ee.jpg","Фото")</f>
      </c>
    </row>
    <row r="598">
      <c r="A598" s="7">
        <f>HYPERLINK("http://www.lingerieopt.ru/item/9865-pikantnoe-bodi-leila-iz-elastichnjh-lent-s-oborkami/","9865")</f>
      </c>
      <c r="B598" s="8" t="s">
        <v>595</v>
      </c>
      <c r="C598" s="9">
        <v>1299</v>
      </c>
      <c r="D598" s="0">
        <v>6</v>
      </c>
      <c r="E598" s="10">
        <f>HYPERLINK("http://www.lingerieopt.ru/images/original/4e325ece-7156-4fca-a553-eb82dfb593ee.jpg","Фото")</f>
      </c>
    </row>
    <row r="599">
      <c r="A599" s="7">
        <f>HYPERLINK("http://www.lingerieopt.ru/item/9865-pikantnoe-bodi-leila-iz-elastichnjh-lent-s-oborkami/","9865")</f>
      </c>
      <c r="B599" s="8" t="s">
        <v>596</v>
      </c>
      <c r="C599" s="9">
        <v>1299</v>
      </c>
      <c r="D599" s="0">
        <v>2</v>
      </c>
      <c r="E599" s="10">
        <f>HYPERLINK("http://www.lingerieopt.ru/images/original/4e325ece-7156-4fca-a553-eb82dfb593ee.jpg","Фото")</f>
      </c>
    </row>
    <row r="600">
      <c r="A600" s="7">
        <f>HYPERLINK("http://www.lingerieopt.ru/item/9866-otkrovennoe-bodi-leila-plus-size-iz-elastichnjh-lent-s-oborkami/","9866")</f>
      </c>
      <c r="B600" s="8" t="s">
        <v>597</v>
      </c>
      <c r="C600" s="9">
        <v>1299</v>
      </c>
      <c r="D600" s="0">
        <v>1</v>
      </c>
      <c r="E600" s="10">
        <f>HYPERLINK("http://www.lingerieopt.ru/images/original/bdf8ba22-9de5-45ea-9f17-61f909eea04e.jpg","Фото")</f>
      </c>
    </row>
    <row r="601">
      <c r="A601" s="7">
        <f>HYPERLINK("http://www.lingerieopt.ru/item/9866-otkrovennoe-bodi-leila-plus-size-iz-elastichnjh-lent-s-oborkami/","9866")</f>
      </c>
      <c r="B601" s="8" t="s">
        <v>598</v>
      </c>
      <c r="C601" s="9">
        <v>1299</v>
      </c>
      <c r="D601" s="0">
        <v>2</v>
      </c>
      <c r="E601" s="10">
        <f>HYPERLINK("http://www.lingerieopt.ru/images/original/bdf8ba22-9de5-45ea-9f17-61f909eea04e.jpg","Фото")</f>
      </c>
    </row>
    <row r="602">
      <c r="A602" s="7">
        <f>HYPERLINK("http://www.lingerieopt.ru/item/9879-bodi-nadya-plus-size-s-kaplevidnjmi-vjrezami-na-life/","9879")</f>
      </c>
      <c r="B602" s="8" t="s">
        <v>599</v>
      </c>
      <c r="C602" s="9">
        <v>1299</v>
      </c>
      <c r="D602" s="0">
        <v>2</v>
      </c>
      <c r="E602" s="10">
        <f>HYPERLINK("http://www.lingerieopt.ru/images/original/16e6bc38-0e19-4f49-a1b9-e3f09929dc6b.jpg","Фото")</f>
      </c>
    </row>
    <row r="603">
      <c r="A603" s="7">
        <f>HYPERLINK("http://www.lingerieopt.ru/item/9892-beloe-bodi-catalina-plus-size-s-intimnjm-dostupom/","9892")</f>
      </c>
      <c r="B603" s="8" t="s">
        <v>600</v>
      </c>
      <c r="C603" s="9">
        <v>1613</v>
      </c>
      <c r="D603" s="0">
        <v>1</v>
      </c>
      <c r="E603" s="10">
        <f>HYPERLINK("http://www.lingerieopt.ru/images/original/f1f3b136-0263-43fa-ac03-19017c6289cb.jpg","Фото")</f>
      </c>
    </row>
    <row r="604">
      <c r="A604" s="7">
        <f>HYPERLINK("http://www.lingerieopt.ru/item/9897-bodi-fabien-plus-size-s-otkrjtoi-spinkoi/","9897")</f>
      </c>
      <c r="B604" s="8" t="s">
        <v>601</v>
      </c>
      <c r="C604" s="9">
        <v>1279</v>
      </c>
      <c r="D604" s="0">
        <v>2</v>
      </c>
      <c r="E604" s="10">
        <f>HYPERLINK("http://www.lingerieopt.ru/images/original/b302e0e8-4b32-4fb3-b221-c6d97166d4a6.jpg","Фото")</f>
      </c>
    </row>
    <row r="605">
      <c r="A605" s="7">
        <f>HYPERLINK("http://www.lingerieopt.ru/item/9900-charuyuschee-kruzhevnoe-bodi-kossa-s-pikantnjm-razrezom/","9900")</f>
      </c>
      <c r="B605" s="8" t="s">
        <v>602</v>
      </c>
      <c r="C605" s="9">
        <v>1383</v>
      </c>
      <c r="D605" s="0">
        <v>4</v>
      </c>
      <c r="E605" s="10">
        <f>HYPERLINK("http://www.lingerieopt.ru/images/original/6aa42cae-5676-4829-a5fa-a1a0e657d8e9.jpg","Фото")</f>
      </c>
    </row>
    <row r="606">
      <c r="A606" s="7">
        <f>HYPERLINK("http://www.lingerieopt.ru/item/9900-charuyuschee-kruzhevnoe-bodi-kossa-s-pikantnjm-razrezom/","9900")</f>
      </c>
      <c r="B606" s="8" t="s">
        <v>603</v>
      </c>
      <c r="C606" s="9">
        <v>1383</v>
      </c>
      <c r="D606" s="0">
        <v>3</v>
      </c>
      <c r="E606" s="10">
        <f>HYPERLINK("http://www.lingerieopt.ru/images/original/6aa42cae-5676-4829-a5fa-a1a0e657d8e9.jpg","Фото")</f>
      </c>
    </row>
    <row r="607">
      <c r="A607" s="7">
        <f>HYPERLINK("http://www.lingerieopt.ru/item/9902-bodi-lovia-plus-size-s-prozrachnjmi-elementami/","9902")</f>
      </c>
      <c r="B607" s="8" t="s">
        <v>604</v>
      </c>
      <c r="C607" s="9">
        <v>1405</v>
      </c>
      <c r="D607" s="0">
        <v>2</v>
      </c>
      <c r="E607" s="10">
        <f>HYPERLINK("http://www.lingerieopt.ru/images/original/dbd4924e-4d55-4222-898b-44eac1b3a27d.jpg","Фото")</f>
      </c>
    </row>
    <row r="608">
      <c r="A608" s="7">
        <f>HYPERLINK("http://www.lingerieopt.ru/item/9902-bodi-lovia-plus-size-s-prozrachnjmi-elementami/","9902")</f>
      </c>
      <c r="B608" s="8" t="s">
        <v>605</v>
      </c>
      <c r="C608" s="9">
        <v>1405</v>
      </c>
      <c r="D608" s="0">
        <v>3</v>
      </c>
      <c r="E608" s="10">
        <f>HYPERLINK("http://www.lingerieopt.ru/images/original/dbd4924e-4d55-4222-898b-44eac1b3a27d.jpg","Фото")</f>
      </c>
    </row>
    <row r="609">
      <c r="A609" s="7">
        <f>HYPERLINK("http://www.lingerieopt.ru/item/9910-pikantnoe-bodi-gloria-s-dvuhcvetnjm-kruzhevom/","9910")</f>
      </c>
      <c r="B609" s="8" t="s">
        <v>606</v>
      </c>
      <c r="C609" s="9">
        <v>1647</v>
      </c>
      <c r="D609" s="0">
        <v>4</v>
      </c>
      <c r="E609" s="10">
        <f>HYPERLINK("http://www.lingerieopt.ru/images/original/0e747d81-134b-4a74-9c4c-5943ddf52bd3.jpg","Фото")</f>
      </c>
    </row>
    <row r="610">
      <c r="A610" s="7">
        <f>HYPERLINK("http://www.lingerieopt.ru/item/9910-pikantnoe-bodi-gloria-s-dvuhcvetnjm-kruzhevom/","9910")</f>
      </c>
      <c r="B610" s="8" t="s">
        <v>607</v>
      </c>
      <c r="C610" s="9">
        <v>1647</v>
      </c>
      <c r="D610" s="0">
        <v>5</v>
      </c>
      <c r="E610" s="10">
        <f>HYPERLINK("http://www.lingerieopt.ru/images/original/0e747d81-134b-4a74-9c4c-5943ddf52bd3.jpg","Фото")</f>
      </c>
    </row>
    <row r="611">
      <c r="A611" s="7">
        <f>HYPERLINK("http://www.lingerieopt.ru/item/9911-pikantnoe-bodi-gloria-plus-size-s-dvuhcvetnjm-kruzhevom/","9911")</f>
      </c>
      <c r="B611" s="8" t="s">
        <v>608</v>
      </c>
      <c r="C611" s="9">
        <v>1647</v>
      </c>
      <c r="D611" s="0">
        <v>1</v>
      </c>
      <c r="E611" s="10">
        <f>HYPERLINK("http://www.lingerieopt.ru/images/original/c583668a-fec8-4447-90c9-af194beced05.jpg","Фото")</f>
      </c>
    </row>
    <row r="612">
      <c r="A612" s="7">
        <f>HYPERLINK("http://www.lingerieopt.ru/item/9913-soblaznitelnoe-bodi-gigi-plus-size-iz-prozrachnoi-setki-i-kruzhev/","9913")</f>
      </c>
      <c r="B612" s="8" t="s">
        <v>609</v>
      </c>
      <c r="C612" s="9">
        <v>1336</v>
      </c>
      <c r="D612" s="0">
        <v>1</v>
      </c>
      <c r="E612" s="10">
        <f>HYPERLINK("http://www.lingerieopt.ru/images/original/7b666dd5-1bcf-4c48-90c5-01bab6d32ee1.jpg","Фото")</f>
      </c>
    </row>
    <row r="613">
      <c r="A613" s="7">
        <f>HYPERLINK("http://www.lingerieopt.ru/item/9922-kombinezon-romper-shannon-s-kruzhevom/","9922")</f>
      </c>
      <c r="B613" s="8" t="s">
        <v>610</v>
      </c>
      <c r="C613" s="9">
        <v>1828</v>
      </c>
      <c r="D613" s="0">
        <v>4</v>
      </c>
      <c r="E613" s="10">
        <f>HYPERLINK("http://www.lingerieopt.ru/images/original/cb3816a1-0232-4e2a-9a23-58c078d5e48c.jpg","Фото")</f>
      </c>
    </row>
    <row r="614">
      <c r="A614" s="7">
        <f>HYPERLINK("http://www.lingerieopt.ru/item/9922-kombinezon-romper-shannon-s-kruzhevom/","9922")</f>
      </c>
      <c r="B614" s="8" t="s">
        <v>611</v>
      </c>
      <c r="C614" s="9">
        <v>1828</v>
      </c>
      <c r="D614" s="0">
        <v>5</v>
      </c>
      <c r="E614" s="10">
        <f>HYPERLINK("http://www.lingerieopt.ru/images/original/cb3816a1-0232-4e2a-9a23-58c078d5e48c.jpg","Фото")</f>
      </c>
    </row>
    <row r="615">
      <c r="A615" s="7">
        <f>HYPERLINK("http://www.lingerieopt.ru/item/9922-kombinezon-romper-shannon-s-kruzhevom/","9922")</f>
      </c>
      <c r="B615" s="8" t="s">
        <v>612</v>
      </c>
      <c r="C615" s="9">
        <v>1828</v>
      </c>
      <c r="D615" s="0">
        <v>10</v>
      </c>
      <c r="E615" s="10">
        <f>HYPERLINK("http://www.lingerieopt.ru/images/original/cb3816a1-0232-4e2a-9a23-58c078d5e48c.jpg","Фото")</f>
      </c>
    </row>
    <row r="616">
      <c r="A616" s="7">
        <f>HYPERLINK("http://www.lingerieopt.ru/item/9922-kombinezon-romper-shannon-s-kruzhevom/","9922")</f>
      </c>
      <c r="B616" s="8" t="s">
        <v>613</v>
      </c>
      <c r="C616" s="9">
        <v>1828</v>
      </c>
      <c r="D616" s="0">
        <v>7</v>
      </c>
      <c r="E616" s="10">
        <f>HYPERLINK("http://www.lingerieopt.ru/images/original/cb3816a1-0232-4e2a-9a23-58c078d5e48c.jpg","Фото")</f>
      </c>
    </row>
    <row r="617">
      <c r="A617" s="7">
        <f>HYPERLINK("http://www.lingerieopt.ru/item/9925-bodi-zoja-v-tonkuyu-polosku-s-kruzhevnjm-lifom-i-shnurovkoi/","9925")</f>
      </c>
      <c r="B617" s="8" t="s">
        <v>614</v>
      </c>
      <c r="C617" s="9">
        <v>1978</v>
      </c>
      <c r="D617" s="0">
        <v>3</v>
      </c>
      <c r="E617" s="10">
        <f>HYPERLINK("http://www.lingerieopt.ru/images/original/7e0fbb06-9520-44fc-82ce-e473f7a9bd2b.jpg","Фото")</f>
      </c>
    </row>
    <row r="618">
      <c r="A618" s="7">
        <f>HYPERLINK("http://www.lingerieopt.ru/item/9925-bodi-zoja-v-tonkuyu-polosku-s-kruzhevnjm-lifom-i-shnurovkoi/","9925")</f>
      </c>
      <c r="B618" s="8" t="s">
        <v>615</v>
      </c>
      <c r="C618" s="9">
        <v>1978</v>
      </c>
      <c r="D618" s="0">
        <v>6</v>
      </c>
      <c r="E618" s="10">
        <f>HYPERLINK("http://www.lingerieopt.ru/images/original/7e0fbb06-9520-44fc-82ce-e473f7a9bd2b.jpg","Фото")</f>
      </c>
    </row>
    <row r="619">
      <c r="A619" s="7">
        <f>HYPERLINK("http://www.lingerieopt.ru/item/9925-bodi-zoja-v-tonkuyu-polosku-s-kruzhevnjm-lifom-i-shnurovkoi/","9925")</f>
      </c>
      <c r="B619" s="8" t="s">
        <v>616</v>
      </c>
      <c r="C619" s="9">
        <v>1978</v>
      </c>
      <c r="D619" s="0">
        <v>4</v>
      </c>
      <c r="E619" s="10">
        <f>HYPERLINK("http://www.lingerieopt.ru/images/original/7e0fbb06-9520-44fc-82ce-e473f7a9bd2b.jpg","Фото")</f>
      </c>
    </row>
    <row r="620">
      <c r="A620" s="7">
        <f>HYPERLINK("http://www.lingerieopt.ru/item/9930-bodi-v-tonkuyu-polosku-zoja-s-kruzhevnjm-lifom-i-shnurovkoi/","9930")</f>
      </c>
      <c r="B620" s="8" t="s">
        <v>617</v>
      </c>
      <c r="C620" s="9">
        <v>1794</v>
      </c>
      <c r="D620" s="0">
        <v>2</v>
      </c>
      <c r="E620" s="10">
        <f>HYPERLINK("http://www.lingerieopt.ru/images/original/87aafccf-4723-489e-9d11-b02fc0ba13c6.jpg","Фото")</f>
      </c>
    </row>
    <row r="621">
      <c r="A621" s="7">
        <f>HYPERLINK("http://www.lingerieopt.ru/item/9930-bodi-v-tonkuyu-polosku-zoja-s-kruzhevnjm-lifom-i-shnurovkoi/","9930")</f>
      </c>
      <c r="B621" s="8" t="s">
        <v>618</v>
      </c>
      <c r="C621" s="9">
        <v>1794</v>
      </c>
      <c r="D621" s="0">
        <v>0</v>
      </c>
      <c r="E621" s="10">
        <f>HYPERLINK("http://www.lingerieopt.ru/images/original/87aafccf-4723-489e-9d11-b02fc0ba13c6.jpg","Фото")</f>
      </c>
    </row>
    <row r="622">
      <c r="A622" s="7">
        <f>HYPERLINK("http://www.lingerieopt.ru/item/10031-effektnoe-bodi-mariolle-so-vstavkami-iz-setki/","10031")</f>
      </c>
      <c r="B622" s="8" t="s">
        <v>619</v>
      </c>
      <c r="C622" s="9">
        <v>1275</v>
      </c>
      <c r="D622" s="0">
        <v>0</v>
      </c>
      <c r="E622" s="10">
        <f>HYPERLINK("http://www.lingerieopt.ru/images/original/17d1a66b-b8b1-4a24-9396-cf31e1e08934.jpg","Фото")</f>
      </c>
    </row>
    <row r="623">
      <c r="A623" s="7">
        <f>HYPERLINK("http://www.lingerieopt.ru/item/10031-effektnoe-bodi-mariolle-so-vstavkami-iz-setki/","10031")</f>
      </c>
      <c r="B623" s="8" t="s">
        <v>620</v>
      </c>
      <c r="C623" s="9">
        <v>1275</v>
      </c>
      <c r="D623" s="0">
        <v>2</v>
      </c>
      <c r="E623" s="10">
        <f>HYPERLINK("http://www.lingerieopt.ru/images/original/17d1a66b-b8b1-4a24-9396-cf31e1e08934.jpg","Фото")</f>
      </c>
    </row>
    <row r="624">
      <c r="A624" s="7">
        <f>HYPERLINK("http://www.lingerieopt.ru/item/10035-soblaznitelnoe-teddi-denver-s-otkrjtoi-spinoi/","10035")</f>
      </c>
      <c r="B624" s="8" t="s">
        <v>621</v>
      </c>
      <c r="C624" s="9">
        <v>1346</v>
      </c>
      <c r="D624" s="0">
        <v>4</v>
      </c>
      <c r="E624" s="10">
        <f>HYPERLINK("http://www.lingerieopt.ru/images/original/5cf432bc-b6c7-4a33-b03b-70e4030aaa18.jpg","Фото")</f>
      </c>
    </row>
    <row r="625">
      <c r="A625" s="7">
        <f>HYPERLINK("http://www.lingerieopt.ru/item/10035-soblaznitelnoe-teddi-denver-s-otkrjtoi-spinoi/","10035")</f>
      </c>
      <c r="B625" s="8" t="s">
        <v>622</v>
      </c>
      <c r="C625" s="9">
        <v>1346</v>
      </c>
      <c r="D625" s="0">
        <v>16</v>
      </c>
      <c r="E625" s="10">
        <f>HYPERLINK("http://www.lingerieopt.ru/images/original/5cf432bc-b6c7-4a33-b03b-70e4030aaa18.jpg","Фото")</f>
      </c>
    </row>
    <row r="626">
      <c r="A626" s="7">
        <f>HYPERLINK("http://www.lingerieopt.ru/item/10035-soblaznitelnoe-teddi-denver-s-otkrjtoi-spinoi/","10035")</f>
      </c>
      <c r="B626" s="8" t="s">
        <v>623</v>
      </c>
      <c r="C626" s="9">
        <v>1346</v>
      </c>
      <c r="D626" s="0">
        <v>22</v>
      </c>
      <c r="E626" s="10">
        <f>HYPERLINK("http://www.lingerieopt.ru/images/original/5cf432bc-b6c7-4a33-b03b-70e4030aaa18.jpg","Фото")</f>
      </c>
    </row>
    <row r="627">
      <c r="A627" s="7">
        <f>HYPERLINK("http://www.lingerieopt.ru/item/10035-soblaznitelnoe-teddi-denver-s-otkrjtoi-spinoi/","10035")</f>
      </c>
      <c r="B627" s="8" t="s">
        <v>624</v>
      </c>
      <c r="C627" s="9">
        <v>1346</v>
      </c>
      <c r="D627" s="0">
        <v>9</v>
      </c>
      <c r="E627" s="10">
        <f>HYPERLINK("http://www.lingerieopt.ru/images/original/5cf432bc-b6c7-4a33-b03b-70e4030aaa18.jpg","Фото")</f>
      </c>
    </row>
    <row r="628">
      <c r="A628" s="7">
        <f>HYPERLINK("http://www.lingerieopt.ru/item/10035-soblaznitelnoe-teddi-denver-s-otkrjtoi-spinoi/","10035")</f>
      </c>
      <c r="B628" s="8" t="s">
        <v>625</v>
      </c>
      <c r="C628" s="9">
        <v>1346</v>
      </c>
      <c r="D628" s="0">
        <v>0</v>
      </c>
      <c r="E628" s="10">
        <f>HYPERLINK("http://www.lingerieopt.ru/images/original/5cf432bc-b6c7-4a33-b03b-70e4030aaa18.jpg","Фото")</f>
      </c>
    </row>
    <row r="629">
      <c r="A629" s="7">
        <f>HYPERLINK("http://www.lingerieopt.ru/item/10035-soblaznitelnoe-teddi-denver-s-otkrjtoi-spinoi/","10035")</f>
      </c>
      <c r="B629" s="8" t="s">
        <v>626</v>
      </c>
      <c r="C629" s="9">
        <v>1346</v>
      </c>
      <c r="D629" s="0">
        <v>10</v>
      </c>
      <c r="E629" s="10">
        <f>HYPERLINK("http://www.lingerieopt.ru/images/original/5cf432bc-b6c7-4a33-b03b-70e4030aaa18.jpg","Фото")</f>
      </c>
    </row>
    <row r="630">
      <c r="A630" s="7">
        <f>HYPERLINK("http://www.lingerieopt.ru/item/10053-charuyuschee-kruzhevnoe-bodi-adelaide/","10053")</f>
      </c>
      <c r="B630" s="8" t="s">
        <v>627</v>
      </c>
      <c r="C630" s="9">
        <v>1760</v>
      </c>
      <c r="D630" s="0">
        <v>6</v>
      </c>
      <c r="E630" s="10">
        <f>HYPERLINK("http://www.lingerieopt.ru/images/original/f5a6dd7a-d8c4-415c-9298-95269494b9dc.jpg","Фото")</f>
      </c>
    </row>
    <row r="631">
      <c r="A631" s="7">
        <f>HYPERLINK("http://www.lingerieopt.ru/item/10053-charuyuschee-kruzhevnoe-bodi-adelaide/","10053")</f>
      </c>
      <c r="B631" s="8" t="s">
        <v>628</v>
      </c>
      <c r="C631" s="9">
        <v>1760</v>
      </c>
      <c r="D631" s="0">
        <v>0</v>
      </c>
      <c r="E631" s="10">
        <f>HYPERLINK("http://www.lingerieopt.ru/images/original/f5a6dd7a-d8c4-415c-9298-95269494b9dc.jpg","Фото")</f>
      </c>
    </row>
    <row r="632">
      <c r="A632" s="7">
        <f>HYPERLINK("http://www.lingerieopt.ru/item/10053-charuyuschee-kruzhevnoe-bodi-adelaide/","10053")</f>
      </c>
      <c r="B632" s="8" t="s">
        <v>629</v>
      </c>
      <c r="C632" s="9">
        <v>1760</v>
      </c>
      <c r="D632" s="0">
        <v>1</v>
      </c>
      <c r="E632" s="10">
        <f>HYPERLINK("http://www.lingerieopt.ru/images/original/f5a6dd7a-d8c4-415c-9298-95269494b9dc.jpg","Фото")</f>
      </c>
    </row>
    <row r="633">
      <c r="A633" s="7">
        <f>HYPERLINK("http://www.lingerieopt.ru/item/10053-charuyuschee-kruzhevnoe-bodi-adelaide/","10053")</f>
      </c>
      <c r="B633" s="8" t="s">
        <v>630</v>
      </c>
      <c r="C633" s="9">
        <v>1760</v>
      </c>
      <c r="D633" s="0">
        <v>0</v>
      </c>
      <c r="E633" s="10">
        <f>HYPERLINK("http://www.lingerieopt.ru/images/original/f5a6dd7a-d8c4-415c-9298-95269494b9dc.jpg","Фото")</f>
      </c>
    </row>
    <row r="634">
      <c r="A634" s="7">
        <f>HYPERLINK("http://www.lingerieopt.ru/item/10058-poluprozrachnoe-bodi-beryl-iz-tyulya/","10058")</f>
      </c>
      <c r="B634" s="8" t="s">
        <v>631</v>
      </c>
      <c r="C634" s="9">
        <v>1299</v>
      </c>
      <c r="D634" s="0">
        <v>1</v>
      </c>
      <c r="E634" s="10">
        <f>HYPERLINK("http://www.lingerieopt.ru/images/original/69570c07-fc83-4f37-a167-205033eca686.jpg","Фото")</f>
      </c>
    </row>
    <row r="635">
      <c r="A635" s="7">
        <f>HYPERLINK("http://www.lingerieopt.ru/item/10058-poluprozrachnoe-bodi-beryl-iz-tyulya/","10058")</f>
      </c>
      <c r="B635" s="8" t="s">
        <v>632</v>
      </c>
      <c r="C635" s="9">
        <v>1299</v>
      </c>
      <c r="D635" s="0">
        <v>2</v>
      </c>
      <c r="E635" s="10">
        <f>HYPERLINK("http://www.lingerieopt.ru/images/original/69570c07-fc83-4f37-a167-205033eca686.jpg","Фото")</f>
      </c>
    </row>
    <row r="636">
      <c r="A636" s="7">
        <f>HYPERLINK("http://www.lingerieopt.ru/item/10059-poluprozrachnoe-bodi-iz-tyulya-beryl-plus-size/","10059")</f>
      </c>
      <c r="B636" s="8" t="s">
        <v>633</v>
      </c>
      <c r="C636" s="9">
        <v>1299</v>
      </c>
      <c r="D636" s="0">
        <v>2</v>
      </c>
      <c r="E636" s="10">
        <f>HYPERLINK("http://www.lingerieopt.ru/images/original/1e6e3060-2b99-49b0-aa5f-4daac2a454db.jpg","Фото")</f>
      </c>
    </row>
    <row r="637">
      <c r="A637" s="7">
        <f>HYPERLINK("http://www.lingerieopt.ru/item/10071-poluprozrachnoe-bodi-obsydian-s-glubokim-dekolte/","10071")</f>
      </c>
      <c r="B637" s="8" t="s">
        <v>634</v>
      </c>
      <c r="C637" s="9">
        <v>1299</v>
      </c>
      <c r="D637" s="0">
        <v>3</v>
      </c>
      <c r="E637" s="10">
        <f>HYPERLINK("http://www.lingerieopt.ru/images/original/13b683f2-f20a-4463-81fd-ef0ec010eddb.jpg","Фото")</f>
      </c>
    </row>
    <row r="638">
      <c r="A638" s="7">
        <f>HYPERLINK("http://www.lingerieopt.ru/item/10071-poluprozrachnoe-bodi-obsydian-s-glubokim-dekolte/","10071")</f>
      </c>
      <c r="B638" s="8" t="s">
        <v>635</v>
      </c>
      <c r="C638" s="9">
        <v>1299</v>
      </c>
      <c r="D638" s="0">
        <v>3</v>
      </c>
      <c r="E638" s="10">
        <f>HYPERLINK("http://www.lingerieopt.ru/images/original/13b683f2-f20a-4463-81fd-ef0ec010eddb.jpg","Фото")</f>
      </c>
    </row>
    <row r="639">
      <c r="A639" s="7">
        <f>HYPERLINK("http://www.lingerieopt.ru/item/10115-chuvstvennoe-bodi-carolyn-s-poluotkrjtjm-lifom/","10115")</f>
      </c>
      <c r="B639" s="8" t="s">
        <v>636</v>
      </c>
      <c r="C639" s="9">
        <v>1287</v>
      </c>
      <c r="D639" s="0">
        <v>6</v>
      </c>
      <c r="E639" s="10">
        <f>HYPERLINK("http://www.lingerieopt.ru/images/original/e217ec79-93f9-446d-9035-4db639e0b448.jpg","Фото")</f>
      </c>
    </row>
    <row r="640">
      <c r="A640" s="7">
        <f>HYPERLINK("http://www.lingerieopt.ru/item/10115-chuvstvennoe-bodi-carolyn-s-poluotkrjtjm-lifom/","10115")</f>
      </c>
      <c r="B640" s="8" t="s">
        <v>637</v>
      </c>
      <c r="C640" s="9">
        <v>1287</v>
      </c>
      <c r="D640" s="0">
        <v>4</v>
      </c>
      <c r="E640" s="10">
        <f>HYPERLINK("http://www.lingerieopt.ru/images/original/e217ec79-93f9-446d-9035-4db639e0b448.jpg","Фото")</f>
      </c>
    </row>
    <row r="641">
      <c r="A641" s="7">
        <f>HYPERLINK("http://www.lingerieopt.ru/item/10150-provokacionnoe-bodi-gisele-so-shnurovkami/","10150")</f>
      </c>
      <c r="B641" s="8" t="s">
        <v>638</v>
      </c>
      <c r="C641" s="9">
        <v>1275</v>
      </c>
      <c r="D641" s="0">
        <v>17</v>
      </c>
      <c r="E641" s="10">
        <f>HYPERLINK("http://www.lingerieopt.ru/images/original/a1149d2d-b1c6-4ab9-948e-5c23df809cd1.jpg","Фото")</f>
      </c>
    </row>
    <row r="642">
      <c r="A642" s="7">
        <f>HYPERLINK("http://www.lingerieopt.ru/item/10150-provokacionnoe-bodi-gisele-so-shnurovkami/","10150")</f>
      </c>
      <c r="B642" s="8" t="s">
        <v>639</v>
      </c>
      <c r="C642" s="9">
        <v>1275</v>
      </c>
      <c r="D642" s="0">
        <v>10</v>
      </c>
      <c r="E642" s="10">
        <f>HYPERLINK("http://www.lingerieopt.ru/images/original/a1149d2d-b1c6-4ab9-948e-5c23df809cd1.jpg","Фото")</f>
      </c>
    </row>
    <row r="643">
      <c r="A643" s="7">
        <f>HYPERLINK("http://www.lingerieopt.ru/item/10175-bodi-brida-plus-size-s-otkrjtoi-spinkoi/","10175")</f>
      </c>
      <c r="B643" s="8" t="s">
        <v>640</v>
      </c>
      <c r="C643" s="9">
        <v>1755</v>
      </c>
      <c r="D643" s="0">
        <v>2</v>
      </c>
      <c r="E643" s="10">
        <f>HYPERLINK("http://www.lingerieopt.ru/images/original/f54a3396-8b4b-4f98-8e1e-d8f629c21fb9.jpg","Фото")</f>
      </c>
    </row>
    <row r="644">
      <c r="A644" s="7">
        <f>HYPERLINK("http://www.lingerieopt.ru/item/10175-bodi-brida-plus-size-s-otkrjtoi-spinkoi/","10175")</f>
      </c>
      <c r="B644" s="8" t="s">
        <v>641</v>
      </c>
      <c r="C644" s="9">
        <v>1755</v>
      </c>
      <c r="D644" s="0">
        <v>2</v>
      </c>
      <c r="E644" s="10">
        <f>HYPERLINK("http://www.lingerieopt.ru/images/original/f54a3396-8b4b-4f98-8e1e-d8f629c21fb9.jpg","Фото")</f>
      </c>
    </row>
    <row r="645">
      <c r="A645" s="7">
        <f>HYPERLINK("http://www.lingerieopt.ru/item/10176-izjskannoe-bodi-haya-s-krupnjm-cvetochnjm-uzorom/","10176")</f>
      </c>
      <c r="B645" s="8" t="s">
        <v>642</v>
      </c>
      <c r="C645" s="9">
        <v>1852</v>
      </c>
      <c r="D645" s="0">
        <v>4</v>
      </c>
      <c r="E645" s="10">
        <f>HYPERLINK("http://www.lingerieopt.ru/images/original/86cae01f-008a-4e36-890a-332ba345005e.jpg","Фото")</f>
      </c>
    </row>
    <row r="646">
      <c r="A646" s="7">
        <f>HYPERLINK("http://www.lingerieopt.ru/item/10176-izjskannoe-bodi-haya-s-krupnjm-cvetochnjm-uzorom/","10176")</f>
      </c>
      <c r="B646" s="8" t="s">
        <v>643</v>
      </c>
      <c r="C646" s="9">
        <v>1852</v>
      </c>
      <c r="D646" s="0">
        <v>3</v>
      </c>
      <c r="E646" s="10">
        <f>HYPERLINK("http://www.lingerieopt.ru/images/original/86cae01f-008a-4e36-890a-332ba345005e.jpg","Фото")</f>
      </c>
    </row>
    <row r="647">
      <c r="A647" s="7">
        <f>HYPERLINK("http://www.lingerieopt.ru/item/10177-izjskannoe-bodi-haya-plus-size-s-krupnjm-cvetochnjm-risunkom/","10177")</f>
      </c>
      <c r="B647" s="8" t="s">
        <v>644</v>
      </c>
      <c r="C647" s="9">
        <v>1832</v>
      </c>
      <c r="D647" s="0">
        <v>1</v>
      </c>
      <c r="E647" s="10">
        <f>HYPERLINK("http://www.lingerieopt.ru/images/original/91342391-da1e-41f9-ba44-940fb4b249b7.jpg","Фото")</f>
      </c>
    </row>
    <row r="648">
      <c r="A648" s="7">
        <f>HYPERLINK("http://www.lingerieopt.ru/item/10178-shikarnoe-bodi-loraine-s-kruzhevnjm-lifom/","10178")</f>
      </c>
      <c r="B648" s="8" t="s">
        <v>645</v>
      </c>
      <c r="C648" s="9">
        <v>1874</v>
      </c>
      <c r="D648" s="0">
        <v>1</v>
      </c>
      <c r="E648" s="10">
        <f>HYPERLINK("http://www.lingerieopt.ru/images/original/e1f01928-5050-48d5-bbf9-03e827dcbbe9.jpg","Фото")</f>
      </c>
    </row>
    <row r="649">
      <c r="A649" s="7">
        <f>HYPERLINK("http://www.lingerieopt.ru/item/10178-shikarnoe-bodi-loraine-s-kruzhevnjm-lifom/","10178")</f>
      </c>
      <c r="B649" s="8" t="s">
        <v>646</v>
      </c>
      <c r="C649" s="9">
        <v>1874</v>
      </c>
      <c r="D649" s="0">
        <v>2</v>
      </c>
      <c r="E649" s="10">
        <f>HYPERLINK("http://www.lingerieopt.ru/images/original/e1f01928-5050-48d5-bbf9-03e827dcbbe9.jpg","Фото")</f>
      </c>
    </row>
    <row r="650">
      <c r="A650" s="7">
        <f>HYPERLINK("http://www.lingerieopt.ru/item/10179-roskoshnoe-bodi-loraine-plus-size-s-kruzhevnjm-lifom/","10179")</f>
      </c>
      <c r="B650" s="8" t="s">
        <v>647</v>
      </c>
      <c r="C650" s="9">
        <v>1874</v>
      </c>
      <c r="D650" s="0">
        <v>2</v>
      </c>
      <c r="E650" s="10">
        <f>HYPERLINK("http://www.lingerieopt.ru/images/original/c806307d-60df-494d-9bda-2b10de29985f.jpg","Фото")</f>
      </c>
    </row>
    <row r="651">
      <c r="A651" s="7">
        <f>HYPERLINK("http://www.lingerieopt.ru/item/10180-bodi-lotus-s-v-obraznoi-kruzhevnoi-vstavkoi/","10180")</f>
      </c>
      <c r="B651" s="8" t="s">
        <v>648</v>
      </c>
      <c r="C651" s="9">
        <v>1840</v>
      </c>
      <c r="D651" s="0">
        <v>4</v>
      </c>
      <c r="E651" s="10">
        <f>HYPERLINK("http://www.lingerieopt.ru/images/original/fdfa2854-bcb0-40c9-8624-659f72d3005e.jpg","Фото")</f>
      </c>
    </row>
    <row r="652">
      <c r="A652" s="7">
        <f>HYPERLINK("http://www.lingerieopt.ru/item/10180-bodi-lotus-s-v-obraznoi-kruzhevnoi-vstavkoi/","10180")</f>
      </c>
      <c r="B652" s="8" t="s">
        <v>649</v>
      </c>
      <c r="C652" s="9">
        <v>1840</v>
      </c>
      <c r="D652" s="0">
        <v>3</v>
      </c>
      <c r="E652" s="10">
        <f>HYPERLINK("http://www.lingerieopt.ru/images/original/fdfa2854-bcb0-40c9-8624-659f72d3005e.jpg","Фото")</f>
      </c>
    </row>
    <row r="653">
      <c r="A653" s="7">
        <f>HYPERLINK("http://www.lingerieopt.ru/item/10180-bodi-lotus-s-v-obraznoi-kruzhevnoi-vstavkoi/","10180")</f>
      </c>
      <c r="B653" s="8" t="s">
        <v>650</v>
      </c>
      <c r="C653" s="9">
        <v>1840</v>
      </c>
      <c r="D653" s="0">
        <v>4</v>
      </c>
      <c r="E653" s="10">
        <f>HYPERLINK("http://www.lingerieopt.ru/images/original/fdfa2854-bcb0-40c9-8624-659f72d3005e.jpg","Фото")</f>
      </c>
    </row>
    <row r="654">
      <c r="A654" s="7">
        <f>HYPERLINK("http://www.lingerieopt.ru/item/10180-bodi-lotus-s-v-obraznoi-kruzhevnoi-vstavkoi/","10180")</f>
      </c>
      <c r="B654" s="8" t="s">
        <v>651</v>
      </c>
      <c r="C654" s="9">
        <v>1840</v>
      </c>
      <c r="D654" s="0">
        <v>4</v>
      </c>
      <c r="E654" s="10">
        <f>HYPERLINK("http://www.lingerieopt.ru/images/original/fdfa2854-bcb0-40c9-8624-659f72d3005e.jpg","Фото")</f>
      </c>
    </row>
    <row r="655">
      <c r="A655" s="7">
        <f>HYPERLINK("http://www.lingerieopt.ru/item/10181-bodi-lotus-plus-size-s-v-obraznoi-azhurnoi-vstavkoi/","10181")</f>
      </c>
      <c r="B655" s="8" t="s">
        <v>652</v>
      </c>
      <c r="C655" s="9">
        <v>1840</v>
      </c>
      <c r="D655" s="0">
        <v>3</v>
      </c>
      <c r="E655" s="10">
        <f>HYPERLINK("http://www.lingerieopt.ru/images/original/4be95db0-003f-4b33-bf69-64f822479425.jpg","Фото")</f>
      </c>
    </row>
    <row r="656">
      <c r="A656" s="7">
        <f>HYPERLINK("http://www.lingerieopt.ru/item/10181-bodi-lotus-plus-size-s-v-obraznoi-azhurnoi-vstavkoi/","10181")</f>
      </c>
      <c r="B656" s="8" t="s">
        <v>653</v>
      </c>
      <c r="C656" s="9">
        <v>1840</v>
      </c>
      <c r="D656" s="0">
        <v>3</v>
      </c>
      <c r="E656" s="10">
        <f>HYPERLINK("http://www.lingerieopt.ru/images/original/4be95db0-003f-4b33-bf69-64f822479425.jpg","Фото")</f>
      </c>
    </row>
    <row r="657">
      <c r="A657" s="7">
        <f>HYPERLINK("http://www.lingerieopt.ru/item/10182-soblaznitelnoe-bodi-montana-s-cvetochnjm-kruzhevom-i-prozrachnoi-vstavkoi-po-centru/","10182")</f>
      </c>
      <c r="B657" s="8" t="s">
        <v>654</v>
      </c>
      <c r="C657" s="9">
        <v>1771</v>
      </c>
      <c r="D657" s="0">
        <v>4</v>
      </c>
      <c r="E657" s="10">
        <f>HYPERLINK("http://www.lingerieopt.ru/images/original/0794a00e-6a9e-4846-a76d-49aada73b048.jpg","Фото")</f>
      </c>
    </row>
    <row r="658">
      <c r="A658" s="7">
        <f>HYPERLINK("http://www.lingerieopt.ru/item/10182-soblaznitelnoe-bodi-montana-s-cvetochnjm-kruzhevom-i-prozrachnoi-vstavkoi-po-centru/","10182")</f>
      </c>
      <c r="B658" s="8" t="s">
        <v>655</v>
      </c>
      <c r="C658" s="9">
        <v>1771</v>
      </c>
      <c r="D658" s="0">
        <v>0</v>
      </c>
      <c r="E658" s="10">
        <f>HYPERLINK("http://www.lingerieopt.ru/images/original/0794a00e-6a9e-4846-a76d-49aada73b048.jpg","Фото")</f>
      </c>
    </row>
    <row r="659">
      <c r="A659" s="7">
        <f>HYPERLINK("http://www.lingerieopt.ru/item/10183-soblaznitelnoe-bodi-montana-plus-size-s-cvetochnjm-kruzhevom-i-prozrachnoi-vstavkoi/","10183")</f>
      </c>
      <c r="B659" s="8" t="s">
        <v>656</v>
      </c>
      <c r="C659" s="9">
        <v>1771</v>
      </c>
      <c r="D659" s="0">
        <v>3</v>
      </c>
      <c r="E659" s="10">
        <f>HYPERLINK("http://www.lingerieopt.ru/images/original/8359d389-37b0-416d-ac60-4e72d3a014b4.jpg","Фото")</f>
      </c>
    </row>
    <row r="660">
      <c r="A660" s="7">
        <f>HYPERLINK("http://www.lingerieopt.ru/item/10184-ocharovatelnoe-bodi-petra-s-vjrezom-sboku/","10184")</f>
      </c>
      <c r="B660" s="8" t="s">
        <v>657</v>
      </c>
      <c r="C660" s="9">
        <v>1852</v>
      </c>
      <c r="D660" s="0">
        <v>4</v>
      </c>
      <c r="E660" s="10">
        <f>HYPERLINK("http://www.lingerieopt.ru/images/original/3c89521d-491d-4b1a-9e53-f5c107c75db5.jpg","Фото")</f>
      </c>
    </row>
    <row r="661">
      <c r="A661" s="7">
        <f>HYPERLINK("http://www.lingerieopt.ru/item/10184-ocharovatelnoe-bodi-petra-s-vjrezom-sboku/","10184")</f>
      </c>
      <c r="B661" s="8" t="s">
        <v>658</v>
      </c>
      <c r="C661" s="9">
        <v>1852</v>
      </c>
      <c r="D661" s="0">
        <v>4</v>
      </c>
      <c r="E661" s="10">
        <f>HYPERLINK("http://www.lingerieopt.ru/images/original/3c89521d-491d-4b1a-9e53-f5c107c75db5.jpg","Фото")</f>
      </c>
    </row>
    <row r="662">
      <c r="A662" s="7">
        <f>HYPERLINK("http://www.lingerieopt.ru/item/10185-ocharovatelnoe-bodi-petra-plus-size-s-bolshim-vjrezom-sboku/","10185")</f>
      </c>
      <c r="B662" s="8" t="s">
        <v>659</v>
      </c>
      <c r="C662" s="9">
        <v>1852</v>
      </c>
      <c r="D662" s="0">
        <v>3</v>
      </c>
      <c r="E662" s="10">
        <f>HYPERLINK("http://www.lingerieopt.ru/images/original/de3c654c-71bd-4170-b1b8-c8a85934aa50.jpg","Фото")</f>
      </c>
    </row>
    <row r="663">
      <c r="A663" s="7">
        <f>HYPERLINK("http://www.lingerieopt.ru/item/10187-bodi-suelo-plus-size-so-shnurovkoi-i-pikantnjmi-razrezami-szadi/","10187")</f>
      </c>
      <c r="B663" s="8" t="s">
        <v>660</v>
      </c>
      <c r="C663" s="9">
        <v>1874</v>
      </c>
      <c r="D663" s="0">
        <v>1</v>
      </c>
      <c r="E663" s="10">
        <f>HYPERLINK("http://www.lingerieopt.ru/images/original/58e10267-edb8-4ea0-bf3f-5882bd674dca.jpg","Фото")</f>
      </c>
    </row>
    <row r="664">
      <c r="A664" s="7">
        <f>HYPERLINK("http://www.lingerieopt.ru/item/10251-igrivoe-bodi-helena-plus-size-s-bantikami/","10251")</f>
      </c>
      <c r="B664" s="8" t="s">
        <v>661</v>
      </c>
      <c r="C664" s="9">
        <v>1080</v>
      </c>
      <c r="D664" s="0">
        <v>3</v>
      </c>
      <c r="E664" s="10">
        <f>HYPERLINK("http://www.lingerieopt.ru/images/original/79352028-a630-40fd-aa71-a459498bf6d4.jpg","Фото")</f>
      </c>
    </row>
    <row r="665">
      <c r="A665" s="7">
        <f>HYPERLINK("http://www.lingerieopt.ru/item/10272-soblaznitelnoe-bodi-carmen-so-shnurovkami/","10272")</f>
      </c>
      <c r="B665" s="8" t="s">
        <v>662</v>
      </c>
      <c r="C665" s="9">
        <v>2628</v>
      </c>
      <c r="D665" s="0">
        <v>0</v>
      </c>
      <c r="E665" s="10">
        <f>HYPERLINK("http://www.lingerieopt.ru/images/original/354e9086-1018-44be-b3e7-5bccf2dbd8ce.jpg","Фото")</f>
      </c>
    </row>
    <row r="666">
      <c r="A666" s="7">
        <f>HYPERLINK("http://www.lingerieopt.ru/item/10272-soblaznitelnoe-bodi-carmen-so-shnurovkami/","10272")</f>
      </c>
      <c r="B666" s="8" t="s">
        <v>663</v>
      </c>
      <c r="C666" s="9">
        <v>2628</v>
      </c>
      <c r="D666" s="0">
        <v>4</v>
      </c>
      <c r="E666" s="10">
        <f>HYPERLINK("http://www.lingerieopt.ru/images/original/354e9086-1018-44be-b3e7-5bccf2dbd8ce.jpg","Фото")</f>
      </c>
    </row>
    <row r="667">
      <c r="A667" s="7">
        <f>HYPERLINK("http://www.lingerieopt.ru/item/10333-kruzhevnoe-bodi-otavia-plus-size-s-oborkami/","10333")</f>
      </c>
      <c r="B667" s="8" t="s">
        <v>664</v>
      </c>
      <c r="C667" s="9">
        <v>1299</v>
      </c>
      <c r="D667" s="0">
        <v>1</v>
      </c>
      <c r="E667" s="10">
        <f>HYPERLINK("http://www.lingerieopt.ru/images/original/a5b1a4dd-33fa-42bf-a422-a83d43120c27.jpg","Фото")</f>
      </c>
    </row>
    <row r="668">
      <c r="A668" s="7">
        <f>HYPERLINK("http://www.lingerieopt.ru/item/10342-bodi-clover-plus-size-s-prozrachnjmi-elementami/","10342")</f>
      </c>
      <c r="B668" s="8" t="s">
        <v>665</v>
      </c>
      <c r="C668" s="9">
        <v>1299</v>
      </c>
      <c r="D668" s="0">
        <v>2</v>
      </c>
      <c r="E668" s="10">
        <f>HYPERLINK("http://www.lingerieopt.ru/images/original/33486450-8583-4b6d-a4ad-6a19b9fad01b.jpg","Фото")</f>
      </c>
    </row>
    <row r="669">
      <c r="A669" s="7">
        <f>HYPERLINK("http://www.lingerieopt.ru/item/10397-smeloe-bodi-slave-iz-elastichnjh-lent/","10397")</f>
      </c>
      <c r="B669" s="8" t="s">
        <v>666</v>
      </c>
      <c r="C669" s="9">
        <v>1116</v>
      </c>
      <c r="D669" s="0">
        <v>4</v>
      </c>
      <c r="E669" s="10">
        <f>HYPERLINK("http://www.lingerieopt.ru/images/original/e1ed3564-fc09-45a3-b950-380eabdb2e41.jpg","Фото")</f>
      </c>
    </row>
    <row r="670">
      <c r="A670" s="7">
        <f>HYPERLINK("http://www.lingerieopt.ru/item/10417-bodi-iz-setochki-s-risunkom-v-vide-krjlev-na-spine/","10417")</f>
      </c>
      <c r="B670" s="8" t="s">
        <v>667</v>
      </c>
      <c r="C670" s="9">
        <v>1066</v>
      </c>
      <c r="D670" s="0">
        <v>10</v>
      </c>
      <c r="E670" s="10">
        <f>HYPERLINK("http://www.lingerieopt.ru/images/original/039fecd4-216d-48db-98de-3ad8c25c3287.jpg","Фото")</f>
      </c>
    </row>
    <row r="671">
      <c r="A671" s="7">
        <f>HYPERLINK("http://www.lingerieopt.ru/item/10434-prozrachnoe-bodi-livia-s-kruzhevom-v-oblasti-grudi/","10434")</f>
      </c>
      <c r="B671" s="8" t="s">
        <v>668</v>
      </c>
      <c r="C671" s="9">
        <v>1152</v>
      </c>
      <c r="D671" s="0">
        <v>0</v>
      </c>
      <c r="E671" s="10">
        <f>HYPERLINK("http://www.lingerieopt.ru/images/original/052349f3-4401-4c42-938a-b28cc72c3e69.jpg","Фото")</f>
      </c>
    </row>
    <row r="672">
      <c r="A672" s="7">
        <f>HYPERLINK("http://www.lingerieopt.ru/item/10434-prozrachnoe-bodi-livia-s-kruzhevom-v-oblasti-grudi/","10434")</f>
      </c>
      <c r="B672" s="8" t="s">
        <v>669</v>
      </c>
      <c r="C672" s="9">
        <v>1152</v>
      </c>
      <c r="D672" s="0">
        <v>5</v>
      </c>
      <c r="E672" s="10">
        <f>HYPERLINK("http://www.lingerieopt.ru/images/original/052349f3-4401-4c42-938a-b28cc72c3e69.jpg","Фото")</f>
      </c>
    </row>
    <row r="673">
      <c r="A673" s="7">
        <f>HYPERLINK("http://www.lingerieopt.ru/item/10460-effektnoe-bodi-odette-s-poluprozrachnjmi-vstavkami-po-bokami/","10460")</f>
      </c>
      <c r="B673" s="8" t="s">
        <v>670</v>
      </c>
      <c r="C673" s="9">
        <v>1404</v>
      </c>
      <c r="D673" s="0">
        <v>4</v>
      </c>
      <c r="E673" s="10">
        <f>HYPERLINK("http://www.lingerieopt.ru/images/original/2af6afc7-652f-4a60-9168-a011f02e85e4.jpg","Фото")</f>
      </c>
    </row>
    <row r="674">
      <c r="A674" s="7">
        <f>HYPERLINK("http://www.lingerieopt.ru/item/10460-effektnoe-bodi-odette-s-poluprozrachnjmi-vstavkami-po-bokami/","10460")</f>
      </c>
      <c r="B674" s="8" t="s">
        <v>671</v>
      </c>
      <c r="C674" s="9">
        <v>1404</v>
      </c>
      <c r="D674" s="0">
        <v>1</v>
      </c>
      <c r="E674" s="10">
        <f>HYPERLINK("http://www.lingerieopt.ru/images/original/2af6afc7-652f-4a60-9168-a011f02e85e4.jpg","Фото")</f>
      </c>
    </row>
    <row r="675">
      <c r="A675" s="7">
        <f>HYPERLINK("http://www.lingerieopt.ru/item/10460-effektnoe-bodi-odette-s-poluprozrachnjmi-vstavkami-po-bokami/","10460")</f>
      </c>
      <c r="B675" s="8" t="s">
        <v>672</v>
      </c>
      <c r="C675" s="9">
        <v>1404</v>
      </c>
      <c r="D675" s="0">
        <v>3</v>
      </c>
      <c r="E675" s="10">
        <f>HYPERLINK("http://www.lingerieopt.ru/images/original/2af6afc7-652f-4a60-9168-a011f02e85e4.jpg","Фото")</f>
      </c>
    </row>
    <row r="676">
      <c r="A676" s="7">
        <f>HYPERLINK("http://www.lingerieopt.ru/item/10460-effektnoe-bodi-odette-s-poluprozrachnjmi-vstavkami-po-bokami/","10460")</f>
      </c>
      <c r="B676" s="8" t="s">
        <v>673</v>
      </c>
      <c r="C676" s="9">
        <v>1404</v>
      </c>
      <c r="D676" s="0">
        <v>5</v>
      </c>
      <c r="E676" s="10">
        <f>HYPERLINK("http://www.lingerieopt.ru/images/original/2af6afc7-652f-4a60-9168-a011f02e85e4.jpg","Фото")</f>
      </c>
    </row>
    <row r="677">
      <c r="A677" s="7">
        <f>HYPERLINK("http://www.lingerieopt.ru/item/10460-effektnoe-bodi-odette-s-poluprozrachnjmi-vstavkami-po-bokami/","10460")</f>
      </c>
      <c r="B677" s="8" t="s">
        <v>674</v>
      </c>
      <c r="C677" s="9">
        <v>1404</v>
      </c>
      <c r="D677" s="0">
        <v>5</v>
      </c>
      <c r="E677" s="10">
        <f>HYPERLINK("http://www.lingerieopt.ru/images/original/2af6afc7-652f-4a60-9168-a011f02e85e4.jpg","Фото")</f>
      </c>
    </row>
    <row r="678">
      <c r="A678" s="7">
        <f>HYPERLINK("http://www.lingerieopt.ru/item/10460-effektnoe-bodi-odette-s-poluprozrachnjmi-vstavkami-po-bokami/","10460")</f>
      </c>
      <c r="B678" s="8" t="s">
        <v>675</v>
      </c>
      <c r="C678" s="9">
        <v>1404</v>
      </c>
      <c r="D678" s="0">
        <v>2</v>
      </c>
      <c r="E678" s="10">
        <f>HYPERLINK("http://www.lingerieopt.ru/images/original/2af6afc7-652f-4a60-9168-a011f02e85e4.jpg","Фото")</f>
      </c>
    </row>
    <row r="679">
      <c r="A679" s="7">
        <f>HYPERLINK("http://www.lingerieopt.ru/item/10461-effektnoe-bodi-odette-plus-size-s-poluprozrachnjmi-vstavkami-po-bokami/","10461")</f>
      </c>
      <c r="B679" s="8" t="s">
        <v>676</v>
      </c>
      <c r="C679" s="9">
        <v>1404</v>
      </c>
      <c r="D679" s="0">
        <v>3</v>
      </c>
      <c r="E679" s="10">
        <f>HYPERLINK("http://www.lingerieopt.ru/images/original/08be0f98-a946-4bb6-b4c8-61f02c945074.jpg","Фото")</f>
      </c>
    </row>
    <row r="680">
      <c r="A680" s="7">
        <f>HYPERLINK("http://www.lingerieopt.ru/item/10461-effektnoe-bodi-odette-plus-size-s-poluprozrachnjmi-vstavkami-po-bokami/","10461")</f>
      </c>
      <c r="B680" s="8" t="s">
        <v>677</v>
      </c>
      <c r="C680" s="9">
        <v>1404</v>
      </c>
      <c r="D680" s="0">
        <v>2</v>
      </c>
      <c r="E680" s="10">
        <f>HYPERLINK("http://www.lingerieopt.ru/images/original/08be0f98-a946-4bb6-b4c8-61f02c945074.jpg","Фото")</f>
      </c>
    </row>
    <row r="681">
      <c r="A681" s="7">
        <f>HYPERLINK("http://www.lingerieopt.ru/item/10461-effektnoe-bodi-odette-plus-size-s-poluprozrachnjmi-vstavkami-po-bokami/","10461")</f>
      </c>
      <c r="B681" s="8" t="s">
        <v>678</v>
      </c>
      <c r="C681" s="9">
        <v>1404</v>
      </c>
      <c r="D681" s="0">
        <v>1</v>
      </c>
      <c r="E681" s="10">
        <f>HYPERLINK("http://www.lingerieopt.ru/images/original/08be0f98-a946-4bb6-b4c8-61f02c945074.jpg","Фото")</f>
      </c>
    </row>
    <row r="682">
      <c r="A682" s="7">
        <f>HYPERLINK("http://www.lingerieopt.ru/item/10466-strep-bodi-vilte-s-povodkom/","10466")</f>
      </c>
      <c r="B682" s="8" t="s">
        <v>679</v>
      </c>
      <c r="C682" s="9">
        <v>888</v>
      </c>
      <c r="D682" s="0">
        <v>6</v>
      </c>
      <c r="E682" s="10">
        <f>HYPERLINK("http://www.lingerieopt.ru/images/original/fd337a1b-9d28-460f-bc68-9253f239c480.jpg","Фото")</f>
      </c>
    </row>
    <row r="683">
      <c r="A683" s="7">
        <f>HYPERLINK("http://www.lingerieopt.ru/item/10466-strep-bodi-vilte-s-povodkom/","10466")</f>
      </c>
      <c r="B683" s="8" t="s">
        <v>680</v>
      </c>
      <c r="C683" s="9">
        <v>888</v>
      </c>
      <c r="D683" s="0">
        <v>7</v>
      </c>
      <c r="E683" s="10">
        <f>HYPERLINK("http://www.lingerieopt.ru/images/original/fd337a1b-9d28-460f-bc68-9253f239c480.jpg","Фото")</f>
      </c>
    </row>
    <row r="684">
      <c r="A684" s="7">
        <f>HYPERLINK("http://www.lingerieopt.ru/item/10467-strep-bodi-s-povodkom-vilte-plus-size/","10467")</f>
      </c>
      <c r="B684" s="8" t="s">
        <v>681</v>
      </c>
      <c r="C684" s="9">
        <v>888</v>
      </c>
      <c r="D684" s="0">
        <v>2</v>
      </c>
      <c r="E684" s="10">
        <f>HYPERLINK("http://www.lingerieopt.ru/images/original/49bb0990-db52-42dd-b363-6a9bd5742752.jpg","Фото")</f>
      </c>
    </row>
    <row r="685">
      <c r="A685" s="7">
        <f>HYPERLINK("http://www.lingerieopt.ru/item/10470-strep-bodi-valessa-plus-size-s-manzhetami-na-ruki/","10470")</f>
      </c>
      <c r="B685" s="8" t="s">
        <v>682</v>
      </c>
      <c r="C685" s="9">
        <v>1044</v>
      </c>
      <c r="D685" s="0">
        <v>2</v>
      </c>
      <c r="E685" s="10">
        <f>HYPERLINK("http://www.lingerieopt.ru/images/original/76573ed5-8547-45f7-b4d9-8202d7a1d177.jpg","Фото")</f>
      </c>
    </row>
    <row r="686">
      <c r="A686" s="7">
        <f>HYPERLINK("http://www.lingerieopt.ru/item/10477-strep-bodi-venus-plus-size-s-pazhami-dlya-chulok/","10477")</f>
      </c>
      <c r="B686" s="8" t="s">
        <v>683</v>
      </c>
      <c r="C686" s="9">
        <v>1068</v>
      </c>
      <c r="D686" s="0">
        <v>1</v>
      </c>
      <c r="E686" s="10">
        <f>HYPERLINK("http://www.lingerieopt.ru/images/original/bcae6b12-1e68-4cf1-8288-3e7b124e90a5.jpg","Фото")</f>
      </c>
    </row>
    <row r="687">
      <c r="A687" s="7">
        <f>HYPERLINK("http://www.lingerieopt.ru/item/10480-bodi-portupeya-lola/","10480")</f>
      </c>
      <c r="B687" s="8" t="s">
        <v>684</v>
      </c>
      <c r="C687" s="9">
        <v>1193</v>
      </c>
      <c r="D687" s="0">
        <v>3</v>
      </c>
      <c r="E687" s="10">
        <f>HYPERLINK("http://www.lingerieopt.ru/images/original/10e0ea26-8b2e-414e-8fba-e17e3cd13bf1.jpg","Фото")</f>
      </c>
    </row>
    <row r="688">
      <c r="A688" s="7">
        <f>HYPERLINK("http://www.lingerieopt.ru/item/10480-bodi-portupeya-lola/","10480")</f>
      </c>
      <c r="B688" s="8" t="s">
        <v>685</v>
      </c>
      <c r="C688" s="9">
        <v>1193</v>
      </c>
      <c r="D688" s="0">
        <v>3</v>
      </c>
      <c r="E688" s="10">
        <f>HYPERLINK("http://www.lingerieopt.ru/images/original/10e0ea26-8b2e-414e-8fba-e17e3cd13bf1.jpg","Фото")</f>
      </c>
    </row>
    <row r="689">
      <c r="A689" s="7">
        <f>HYPERLINK("http://www.lingerieopt.ru/item/10480-bodi-portupeya-lola/","10480")</f>
      </c>
      <c r="B689" s="8" t="s">
        <v>686</v>
      </c>
      <c r="C689" s="9">
        <v>1193</v>
      </c>
      <c r="D689" s="0">
        <v>2</v>
      </c>
      <c r="E689" s="10">
        <f>HYPERLINK("http://www.lingerieopt.ru/images/original/10e0ea26-8b2e-414e-8fba-e17e3cd13bf1.jpg","Фото")</f>
      </c>
    </row>
    <row r="690">
      <c r="A690" s="7">
        <f>HYPERLINK("http://www.lingerieopt.ru/item/10502-bodi-s-bahromoi-sandra/","10502")</f>
      </c>
      <c r="B690" s="8" t="s">
        <v>687</v>
      </c>
      <c r="C690" s="9">
        <v>1439</v>
      </c>
      <c r="D690" s="0">
        <v>2</v>
      </c>
      <c r="E690" s="10">
        <f>HYPERLINK("http://www.lingerieopt.ru/images/original/fed7e1b7-822a-4e12-a741-efb83e5983c8.jpg","Фото")</f>
      </c>
    </row>
    <row r="691">
      <c r="A691" s="7">
        <f>HYPERLINK("http://www.lingerieopt.ru/item/10502-bodi-s-bahromoi-sandra/","10502")</f>
      </c>
      <c r="B691" s="8" t="s">
        <v>688</v>
      </c>
      <c r="C691" s="9">
        <v>1439</v>
      </c>
      <c r="D691" s="0">
        <v>4</v>
      </c>
      <c r="E691" s="10">
        <f>HYPERLINK("http://www.lingerieopt.ru/images/original/fed7e1b7-822a-4e12-a741-efb83e5983c8.jpg","Фото")</f>
      </c>
    </row>
    <row r="692">
      <c r="A692" s="7">
        <f>HYPERLINK("http://www.lingerieopt.ru/item/10502-bodi-s-bahromoi-sandra/","10502")</f>
      </c>
      <c r="B692" s="8" t="s">
        <v>689</v>
      </c>
      <c r="C692" s="9">
        <v>1439</v>
      </c>
      <c r="D692" s="0">
        <v>3</v>
      </c>
      <c r="E692" s="10">
        <f>HYPERLINK("http://www.lingerieopt.ru/images/original/fed7e1b7-822a-4e12-a741-efb83e5983c8.jpg","Фото")</f>
      </c>
    </row>
    <row r="693">
      <c r="A693" s="7">
        <f>HYPERLINK("http://www.lingerieopt.ru/item/10549-soblaznitelnoe-bodi-olimpia-s-kruzhevnjm-lifom/","10549")</f>
      </c>
      <c r="B693" s="8" t="s">
        <v>690</v>
      </c>
      <c r="C693" s="9">
        <v>1287</v>
      </c>
      <c r="D693" s="0">
        <v>2</v>
      </c>
      <c r="E693" s="10">
        <f>HYPERLINK("http://www.lingerieopt.ru/images/original/89af7c9a-312f-4474-88fb-40f735da0e4d.jpg","Фото")</f>
      </c>
    </row>
    <row r="694">
      <c r="A694" s="7">
        <f>HYPERLINK("http://www.lingerieopt.ru/item/10549-soblaznitelnoe-bodi-olimpia-s-kruzhevnjm-lifom/","10549")</f>
      </c>
      <c r="B694" s="8" t="s">
        <v>691</v>
      </c>
      <c r="C694" s="9">
        <v>1287</v>
      </c>
      <c r="D694" s="0">
        <v>10</v>
      </c>
      <c r="E694" s="10">
        <f>HYPERLINK("http://www.lingerieopt.ru/images/original/89af7c9a-312f-4474-88fb-40f735da0e4d.jpg","Фото")</f>
      </c>
    </row>
    <row r="695">
      <c r="A695" s="7">
        <f>HYPERLINK("http://www.lingerieopt.ru/item/10560-bodi-s-naruchnikami-yanne/","10560")</f>
      </c>
      <c r="B695" s="8" t="s">
        <v>692</v>
      </c>
      <c r="C695" s="9">
        <v>1346</v>
      </c>
      <c r="D695" s="0">
        <v>7</v>
      </c>
      <c r="E695" s="10">
        <f>HYPERLINK("http://www.lingerieopt.ru/images/original/c5c932c5-cc62-4e31-9d91-27abee51d75a.jpg","Фото")</f>
      </c>
    </row>
    <row r="696">
      <c r="A696" s="7">
        <f>HYPERLINK("http://www.lingerieopt.ru/item/10560-bodi-s-naruchnikami-yanne/","10560")</f>
      </c>
      <c r="B696" s="8" t="s">
        <v>693</v>
      </c>
      <c r="C696" s="9">
        <v>1346</v>
      </c>
      <c r="D696" s="0">
        <v>4</v>
      </c>
      <c r="E696" s="10">
        <f>HYPERLINK("http://www.lingerieopt.ru/images/original/c5c932c5-cc62-4e31-9d91-27abee51d75a.jpg","Фото")</f>
      </c>
    </row>
    <row r="697">
      <c r="A697" s="7">
        <f>HYPERLINK("http://www.lingerieopt.ru/item/10561-strep-bodi-valessa-s-manzhetami-na-ruki/","10561")</f>
      </c>
      <c r="B697" s="8" t="s">
        <v>694</v>
      </c>
      <c r="C697" s="9">
        <v>1044</v>
      </c>
      <c r="D697" s="0">
        <v>5</v>
      </c>
      <c r="E697" s="10">
        <f>HYPERLINK("http://www.lingerieopt.ru/images/original/1c9f322e-8d03-4dc1-bf99-a81f4c2f2947.jpg","Фото")</f>
      </c>
    </row>
    <row r="698">
      <c r="A698" s="7">
        <f>HYPERLINK("http://www.lingerieopt.ru/item/10561-strep-bodi-valessa-s-manzhetami-na-ruki/","10561")</f>
      </c>
      <c r="B698" s="8" t="s">
        <v>695</v>
      </c>
      <c r="C698" s="9">
        <v>1044</v>
      </c>
      <c r="D698" s="0">
        <v>3</v>
      </c>
      <c r="E698" s="10">
        <f>HYPERLINK("http://www.lingerieopt.ru/images/original/1c9f322e-8d03-4dc1-bf99-a81f4c2f2947.jpg","Фото")</f>
      </c>
    </row>
    <row r="699">
      <c r="A699" s="7">
        <f>HYPERLINK("http://www.lingerieopt.ru/item/10569-kruzhevnoe-bodi-dinah/","10569")</f>
      </c>
      <c r="B699" s="8" t="s">
        <v>696</v>
      </c>
      <c r="C699" s="9">
        <v>1533</v>
      </c>
      <c r="D699" s="0">
        <v>7</v>
      </c>
      <c r="E699" s="10">
        <f>HYPERLINK("http://www.lingerieopt.ru/images/original/06ddcaf2-9394-4a94-b5dd-83e6af7217c9.jpg","Фото")</f>
      </c>
    </row>
    <row r="700">
      <c r="A700" s="7">
        <f>HYPERLINK("http://www.lingerieopt.ru/item/10569-kruzhevnoe-bodi-dinah/","10569")</f>
      </c>
      <c r="B700" s="8" t="s">
        <v>697</v>
      </c>
      <c r="C700" s="9">
        <v>1533</v>
      </c>
      <c r="D700" s="0">
        <v>10</v>
      </c>
      <c r="E700" s="10">
        <f>HYPERLINK("http://www.lingerieopt.ru/images/original/06ddcaf2-9394-4a94-b5dd-83e6af7217c9.jpg","Фото")</f>
      </c>
    </row>
    <row r="701">
      <c r="A701" s="7">
        <f>HYPERLINK("http://www.lingerieopt.ru/item/10580-bodi-yanne-plus-size-s-naruchnikami/","10580")</f>
      </c>
      <c r="B701" s="8" t="s">
        <v>698</v>
      </c>
      <c r="C701" s="9">
        <v>1346</v>
      </c>
      <c r="D701" s="0">
        <v>2</v>
      </c>
      <c r="E701" s="10">
        <f>HYPERLINK("http://www.lingerieopt.ru/images/original/14cb2070-dfcd-4a36-82c3-816ea51d4e88.jpg","Фото")</f>
      </c>
    </row>
    <row r="702">
      <c r="A702" s="7">
        <f>HYPERLINK("http://www.lingerieopt.ru/item/10595-poluprozrachnoe-kontaktnoe-bodi-s-otkrjtoi-popoi/","10595")</f>
      </c>
      <c r="B702" s="8" t="s">
        <v>699</v>
      </c>
      <c r="C702" s="9">
        <v>1544</v>
      </c>
      <c r="D702" s="0">
        <v>1</v>
      </c>
      <c r="E702" s="10">
        <f>HYPERLINK("http://www.lingerieopt.ru/images/original/986207ee-b675-40cc-a823-e7e8d8f9a6c7.jpg","Фото")</f>
      </c>
    </row>
    <row r="703">
      <c r="A703" s="7">
        <f>HYPERLINK("http://www.lingerieopt.ru/item/10595-poluprozrachnoe-kontaktnoe-bodi-s-otkrjtoi-popoi/","10595")</f>
      </c>
      <c r="B703" s="8" t="s">
        <v>700</v>
      </c>
      <c r="C703" s="9">
        <v>1544</v>
      </c>
      <c r="D703" s="0">
        <v>1</v>
      </c>
      <c r="E703" s="10">
        <f>HYPERLINK("http://www.lingerieopt.ru/images/original/986207ee-b675-40cc-a823-e7e8d8f9a6c7.jpg","Фото")</f>
      </c>
    </row>
    <row r="704">
      <c r="A704" s="7">
        <f>HYPERLINK("http://www.lingerieopt.ru/item/10640-prozrachnoe-bodi-livia-plus-size-s-kruzhevom-v-oblasti-grudi/","10640")</f>
      </c>
      <c r="B704" s="8" t="s">
        <v>701</v>
      </c>
      <c r="C704" s="9">
        <v>1152</v>
      </c>
      <c r="D704" s="0">
        <v>3</v>
      </c>
      <c r="E704" s="10">
        <f>HYPERLINK("http://www.lingerieopt.ru/images/original/1dd79406-da0d-4f07-999b-be75edfd81c6.jpg","Фото")</f>
      </c>
    </row>
    <row r="705">
      <c r="A705" s="7">
        <f>HYPERLINK("http://www.lingerieopt.ru/item/10724-soblaznitelnoe-bodi-emily-s-yubochkoi/","10724")</f>
      </c>
      <c r="B705" s="8" t="s">
        <v>702</v>
      </c>
      <c r="C705" s="9">
        <v>1760</v>
      </c>
      <c r="D705" s="0">
        <v>2</v>
      </c>
      <c r="E705" s="10">
        <f>HYPERLINK("http://www.lingerieopt.ru/images/original/3a5c4e33-c6c6-4ed4-a064-b7e4996cf08a.jpg","Фото")</f>
      </c>
    </row>
    <row r="706">
      <c r="A706" s="7">
        <f>HYPERLINK("http://www.lingerieopt.ru/item/10724-soblaznitelnoe-bodi-emily-s-yubochkoi/","10724")</f>
      </c>
      <c r="B706" s="8" t="s">
        <v>703</v>
      </c>
      <c r="C706" s="9">
        <v>1760</v>
      </c>
      <c r="D706" s="0">
        <v>4</v>
      </c>
      <c r="E706" s="10">
        <f>HYPERLINK("http://www.lingerieopt.ru/images/original/3a5c4e33-c6c6-4ed4-a064-b7e4996cf08a.jpg","Фото")</f>
      </c>
    </row>
    <row r="707">
      <c r="A707" s="7">
        <f>HYPERLINK("http://www.lingerieopt.ru/item/10724-soblaznitelnoe-bodi-emily-s-yubochkoi/","10724")</f>
      </c>
      <c r="B707" s="8" t="s">
        <v>704</v>
      </c>
      <c r="C707" s="9">
        <v>1760</v>
      </c>
      <c r="D707" s="0">
        <v>10</v>
      </c>
      <c r="E707" s="10">
        <f>HYPERLINK("http://www.lingerieopt.ru/images/original/3a5c4e33-c6c6-4ed4-a064-b7e4996cf08a.jpg","Фото")</f>
      </c>
    </row>
    <row r="708">
      <c r="A708" s="7">
        <f>HYPERLINK("http://www.lingerieopt.ru/item/10724-soblaznitelnoe-bodi-emily-s-yubochkoi/","10724")</f>
      </c>
      <c r="B708" s="8" t="s">
        <v>705</v>
      </c>
      <c r="C708" s="9">
        <v>1760</v>
      </c>
      <c r="D708" s="0">
        <v>4</v>
      </c>
      <c r="E708" s="10">
        <f>HYPERLINK("http://www.lingerieopt.ru/images/original/3a5c4e33-c6c6-4ed4-a064-b7e4996cf08a.jpg","Фото")</f>
      </c>
    </row>
    <row r="709">
      <c r="A709" s="7">
        <f>HYPERLINK("http://www.lingerieopt.ru/item/10725-charuyuschee-bodi-gabi-s-kruzhevnjm-lifom-i-oborkoi-yubochkoi/","10725")</f>
      </c>
      <c r="B709" s="8" t="s">
        <v>706</v>
      </c>
      <c r="C709" s="9">
        <v>2047</v>
      </c>
      <c r="D709" s="0">
        <v>5</v>
      </c>
      <c r="E709" s="10">
        <f>HYPERLINK("http://www.lingerieopt.ru/images/original/9d46b8fa-8a5a-4bc6-bc6f-c84131b4c9ac.jpg","Фото")</f>
      </c>
    </row>
    <row r="710">
      <c r="A710" s="7">
        <f>HYPERLINK("http://www.lingerieopt.ru/item/10725-charuyuschee-bodi-gabi-s-kruzhevnjm-lifom-i-oborkoi-yubochkoi/","10725")</f>
      </c>
      <c r="B710" s="8" t="s">
        <v>707</v>
      </c>
      <c r="C710" s="9">
        <v>2047</v>
      </c>
      <c r="D710" s="0">
        <v>9</v>
      </c>
      <c r="E710" s="10">
        <f>HYPERLINK("http://www.lingerieopt.ru/images/original/9d46b8fa-8a5a-4bc6-bc6f-c84131b4c9ac.jpg","Фото")</f>
      </c>
    </row>
    <row r="711">
      <c r="A711" s="7">
        <f>HYPERLINK("http://www.lingerieopt.ru/item/10769-kruzhevnoe-bodi-natalie-s-otkrjtoi-spinoi/","10769")</f>
      </c>
      <c r="B711" s="8" t="s">
        <v>708</v>
      </c>
      <c r="C711" s="9">
        <v>1734</v>
      </c>
      <c r="D711" s="0">
        <v>4</v>
      </c>
      <c r="E711" s="10">
        <f>HYPERLINK("http://www.lingerieopt.ru/images/original/aee7538b-51e6-48e9-87fe-a6b293cb5cec.jpg","Фото")</f>
      </c>
    </row>
    <row r="712">
      <c r="A712" s="7">
        <f>HYPERLINK("http://www.lingerieopt.ru/item/10769-kruzhevnoe-bodi-natalie-s-otkrjtoi-spinoi/","10769")</f>
      </c>
      <c r="B712" s="8" t="s">
        <v>709</v>
      </c>
      <c r="C712" s="9">
        <v>1734</v>
      </c>
      <c r="D712" s="0">
        <v>6</v>
      </c>
      <c r="E712" s="10">
        <f>HYPERLINK("http://www.lingerieopt.ru/images/original/aee7538b-51e6-48e9-87fe-a6b293cb5cec.jpg","Фото")</f>
      </c>
    </row>
    <row r="713">
      <c r="A713" s="7">
        <f>HYPERLINK("http://www.lingerieopt.ru/item/10812-soblaznitelnoe-bodi-c-intimnjm-dostupom-szadi/","10812")</f>
      </c>
      <c r="B713" s="8" t="s">
        <v>710</v>
      </c>
      <c r="C713" s="9">
        <v>1158</v>
      </c>
      <c r="D713" s="0">
        <v>7</v>
      </c>
      <c r="E713" s="10">
        <f>HYPERLINK("http://www.lingerieopt.ru/images/original/ba31ad1c-4a06-4612-8adb-eda919019f72.jpg","Фото")</f>
      </c>
    </row>
    <row r="714">
      <c r="A714" s="7">
        <f>HYPERLINK("http://www.lingerieopt.ru/item/10813-elastichnoe-bodi-iz-myagkoi-setki-s-kruzhevnjmi-trusikami/","10813")</f>
      </c>
      <c r="B714" s="8" t="s">
        <v>711</v>
      </c>
      <c r="C714" s="9">
        <v>1158</v>
      </c>
      <c r="D714" s="0">
        <v>24</v>
      </c>
      <c r="E714" s="10">
        <f>HYPERLINK("http://www.lingerieopt.ru/images/original/1a15a9a5-d727-4670-91a3-b6dd3b04a1d1.jpg","Фото")</f>
      </c>
    </row>
    <row r="715">
      <c r="A715" s="7">
        <f>HYPERLINK("http://www.lingerieopt.ru/item/10814-dvustoronnee-bodi-s-figurnjmi-vjrezami/","10814")</f>
      </c>
      <c r="B715" s="8" t="s">
        <v>712</v>
      </c>
      <c r="C715" s="9">
        <v>564</v>
      </c>
      <c r="D715" s="0">
        <v>16</v>
      </c>
      <c r="E715" s="10">
        <f>HYPERLINK("http://www.lingerieopt.ru/images/original/9be973d2-f4e5-4eae-bdf5-0b9446097488.jpg","Фото")</f>
      </c>
    </row>
    <row r="716">
      <c r="A716" s="7">
        <f>HYPERLINK("http://www.lingerieopt.ru/item/10862-kruzhevnoe-bodi-s-dostupom/","10862")</f>
      </c>
      <c r="B716" s="8" t="s">
        <v>713</v>
      </c>
      <c r="C716" s="9">
        <v>3161</v>
      </c>
      <c r="D716" s="0">
        <v>7</v>
      </c>
      <c r="E716" s="10">
        <f>HYPERLINK("http://www.lingerieopt.ru/images/original/bcf134bd-38dd-464f-8a32-fd1d1f66beb9.jpg","Фото")</f>
      </c>
    </row>
    <row r="717">
      <c r="A717" s="7">
        <f>HYPERLINK("http://www.lingerieopt.ru/item/10862-kruzhevnoe-bodi-s-dostupom/","10862")</f>
      </c>
      <c r="B717" s="8" t="s">
        <v>714</v>
      </c>
      <c r="C717" s="9">
        <v>3161</v>
      </c>
      <c r="D717" s="0">
        <v>9</v>
      </c>
      <c r="E717" s="10">
        <f>HYPERLINK("http://www.lingerieopt.ru/images/original/bcf134bd-38dd-464f-8a32-fd1d1f66beb9.jpg","Фото")</f>
      </c>
    </row>
    <row r="718">
      <c r="A718" s="7">
        <f>HYPERLINK("http://www.lingerieopt.ru/item/10862-kruzhevnoe-bodi-s-dostupom/","10862")</f>
      </c>
      <c r="B718" s="8" t="s">
        <v>715</v>
      </c>
      <c r="C718" s="9">
        <v>3161</v>
      </c>
      <c r="D718" s="0">
        <v>7</v>
      </c>
      <c r="E718" s="10">
        <f>HYPERLINK("http://www.lingerieopt.ru/images/original/bcf134bd-38dd-464f-8a32-fd1d1f66beb9.jpg","Фото")</f>
      </c>
    </row>
    <row r="719">
      <c r="A719" s="7">
        <f>HYPERLINK("http://www.lingerieopt.ru/item/10880-roskoshnoe-bodi-floris-s-dvuhcvetnjm-kruzhevnjm-lifom/","10880")</f>
      </c>
      <c r="B719" s="8" t="s">
        <v>716</v>
      </c>
      <c r="C719" s="9">
        <v>1990</v>
      </c>
      <c r="D719" s="0">
        <v>10</v>
      </c>
      <c r="E719" s="10">
        <f>HYPERLINK("http://www.lingerieopt.ru/images/original/6d9ac07a-1580-4ae8-9e84-440fdc0922de.jpg","Фото")</f>
      </c>
    </row>
    <row r="720">
      <c r="A720" s="7">
        <f>HYPERLINK("http://www.lingerieopt.ru/item/10880-roskoshnoe-bodi-floris-s-dvuhcvetnjm-kruzhevnjm-lifom/","10880")</f>
      </c>
      <c r="B720" s="8" t="s">
        <v>717</v>
      </c>
      <c r="C720" s="9">
        <v>1990</v>
      </c>
      <c r="D720" s="0">
        <v>5</v>
      </c>
      <c r="E720" s="10">
        <f>HYPERLINK("http://www.lingerieopt.ru/images/original/6d9ac07a-1580-4ae8-9e84-440fdc0922de.jpg","Фото")</f>
      </c>
    </row>
    <row r="721">
      <c r="A721" s="7">
        <f>HYPERLINK("http://www.lingerieopt.ru/item/10881-roskoshnoe-bodi-floris-plus-size-s-dvuhcvetnjm-kruzhevnjm-lifom/","10881")</f>
      </c>
      <c r="B721" s="8" t="s">
        <v>718</v>
      </c>
      <c r="C721" s="9">
        <v>1990</v>
      </c>
      <c r="D721" s="0">
        <v>2</v>
      </c>
      <c r="E721" s="10">
        <f>HYPERLINK("http://www.lingerieopt.ru/images/original/3ed70213-af9c-4730-b339-34a077f1f013.jpg","Фото")</f>
      </c>
    </row>
    <row r="722">
      <c r="A722" s="7">
        <f>HYPERLINK("http://www.lingerieopt.ru/item/10887-poluprozrachnoe-bodi-hagar-so-strep-lentami/","10887")</f>
      </c>
      <c r="B722" s="8" t="s">
        <v>719</v>
      </c>
      <c r="C722" s="9">
        <v>1568</v>
      </c>
      <c r="D722" s="0">
        <v>5</v>
      </c>
      <c r="E722" s="10">
        <f>HYPERLINK("http://www.lingerieopt.ru/images/original/3a969037-b1c5-4fdf-99c8-1c0b77bcc9ef.jpg","Фото")</f>
      </c>
    </row>
    <row r="723">
      <c r="A723" s="7">
        <f>HYPERLINK("http://www.lingerieopt.ru/item/10887-poluprozrachnoe-bodi-hagar-so-strep-lentami/","10887")</f>
      </c>
      <c r="B723" s="8" t="s">
        <v>720</v>
      </c>
      <c r="C723" s="9">
        <v>1568</v>
      </c>
      <c r="D723" s="0">
        <v>9</v>
      </c>
      <c r="E723" s="10">
        <f>HYPERLINK("http://www.lingerieopt.ru/images/original/3a969037-b1c5-4fdf-99c8-1c0b77bcc9ef.jpg","Фото")</f>
      </c>
    </row>
    <row r="724">
      <c r="A724" s="7">
        <f>HYPERLINK("http://www.lingerieopt.ru/item/10888-poluprozrachnoe-bodi-so-strep-lentami-hagar-plus-size/","10888")</f>
      </c>
      <c r="B724" s="8" t="s">
        <v>721</v>
      </c>
      <c r="C724" s="9">
        <v>1568</v>
      </c>
      <c r="D724" s="0">
        <v>1</v>
      </c>
      <c r="E724" s="10">
        <f>HYPERLINK("http://www.lingerieopt.ru/images/original/732fc080-2096-4782-add3-7b1bc2caf02f.jpg","Фото")</f>
      </c>
    </row>
    <row r="725">
      <c r="A725" s="7">
        <f>HYPERLINK("http://www.lingerieopt.ru/item/10895-pikantnoe-bodi-hera-s-otkrjtjm-lifom-i-kolechkami-poverh-soskov/","10895")</f>
      </c>
      <c r="B725" s="8" t="s">
        <v>722</v>
      </c>
      <c r="C725" s="9">
        <v>1556</v>
      </c>
      <c r="D725" s="0">
        <v>3</v>
      </c>
      <c r="E725" s="10">
        <f>HYPERLINK("http://www.lingerieopt.ru/images/original/db2d1523-b0bf-4093-9239-a195918fb6b9.jpg","Фото")</f>
      </c>
    </row>
    <row r="726">
      <c r="A726" s="7">
        <f>HYPERLINK("http://www.lingerieopt.ru/item/10895-pikantnoe-bodi-hera-s-otkrjtjm-lifom-i-kolechkami-poverh-soskov/","10895")</f>
      </c>
      <c r="B726" s="8" t="s">
        <v>723</v>
      </c>
      <c r="C726" s="9">
        <v>1556</v>
      </c>
      <c r="D726" s="0">
        <v>5</v>
      </c>
      <c r="E726" s="10">
        <f>HYPERLINK("http://www.lingerieopt.ru/images/original/db2d1523-b0bf-4093-9239-a195918fb6b9.jpg","Фото")</f>
      </c>
    </row>
    <row r="727">
      <c r="A727" s="7">
        <f>HYPERLINK("http://www.lingerieopt.ru/item/10895-pikantnoe-bodi-hera-s-otkrjtjm-lifom-i-kolechkami-poverh-soskov/","10895")</f>
      </c>
      <c r="B727" s="8" t="s">
        <v>724</v>
      </c>
      <c r="C727" s="9">
        <v>1556</v>
      </c>
      <c r="D727" s="0">
        <v>4</v>
      </c>
      <c r="E727" s="10">
        <f>HYPERLINK("http://www.lingerieopt.ru/images/original/db2d1523-b0bf-4093-9239-a195918fb6b9.jpg","Фото")</f>
      </c>
    </row>
    <row r="728">
      <c r="A728" s="7">
        <f>HYPERLINK("http://www.lingerieopt.ru/item/10895-pikantnoe-bodi-hera-s-otkrjtjm-lifom-i-kolechkami-poverh-soskov/","10895")</f>
      </c>
      <c r="B728" s="8" t="s">
        <v>725</v>
      </c>
      <c r="C728" s="9">
        <v>1556</v>
      </c>
      <c r="D728" s="0">
        <v>3</v>
      </c>
      <c r="E728" s="10">
        <f>HYPERLINK("http://www.lingerieopt.ru/images/original/db2d1523-b0bf-4093-9239-a195918fb6b9.jpg","Фото")</f>
      </c>
    </row>
    <row r="729">
      <c r="A729" s="7">
        <f>HYPERLINK("http://www.lingerieopt.ru/item/10896-pikantnoe-bodi-hera-plus-size-s-otkrjtjm-lifom-i-kolechkami-poverh-soskov/","10896")</f>
      </c>
      <c r="B729" s="8" t="s">
        <v>726</v>
      </c>
      <c r="C729" s="9">
        <v>1556</v>
      </c>
      <c r="D729" s="0">
        <v>3</v>
      </c>
      <c r="E729" s="10">
        <f>HYPERLINK("http://www.lingerieopt.ru/images/original/6b389940-202b-4bcc-a946-c74dac0b77ba.jpg","Фото")</f>
      </c>
    </row>
    <row r="730">
      <c r="A730" s="7">
        <f>HYPERLINK("http://www.lingerieopt.ru/item/10896-pikantnoe-bodi-hera-plus-size-s-otkrjtjm-lifom-i-kolechkami-poverh-soskov/","10896")</f>
      </c>
      <c r="B730" s="8" t="s">
        <v>727</v>
      </c>
      <c r="C730" s="9">
        <v>1556</v>
      </c>
      <c r="D730" s="0">
        <v>2</v>
      </c>
      <c r="E730" s="10">
        <f>HYPERLINK("http://www.lingerieopt.ru/images/original/6b389940-202b-4bcc-a946-c74dac0b77ba.jpg","Фото")</f>
      </c>
    </row>
    <row r="731">
      <c r="A731" s="7">
        <f>HYPERLINK("http://www.lingerieopt.ru/item/10901-roskoshnoe-bodi-akita-s-kontrastnjm-kraem-i-dostupom/","10901")</f>
      </c>
      <c r="B731" s="8" t="s">
        <v>728</v>
      </c>
      <c r="C731" s="9">
        <v>1720</v>
      </c>
      <c r="D731" s="0">
        <v>11</v>
      </c>
      <c r="E731" s="10">
        <f>HYPERLINK("http://www.lingerieopt.ru/images/original/7d07e06f-72e8-45a1-b0b7-4dcb6eafce0b.jpg","Фото")</f>
      </c>
    </row>
    <row r="732">
      <c r="A732" s="7">
        <f>HYPERLINK("http://www.lingerieopt.ru/item/10901-roskoshnoe-bodi-akita-s-kontrastnjm-kraem-i-dostupom/","10901")</f>
      </c>
      <c r="B732" s="8" t="s">
        <v>729</v>
      </c>
      <c r="C732" s="9">
        <v>1720</v>
      </c>
      <c r="D732" s="0">
        <v>22</v>
      </c>
      <c r="E732" s="10">
        <f>HYPERLINK("http://www.lingerieopt.ru/images/original/7d07e06f-72e8-45a1-b0b7-4dcb6eafce0b.jpg","Фото")</f>
      </c>
    </row>
    <row r="733">
      <c r="A733" s="7">
        <f>HYPERLINK("http://www.lingerieopt.ru/item/10902-roskoshnoe-bodi-akita-plus-size-s-kontrastnjm-kraem-i-dostupom/","10902")</f>
      </c>
      <c r="B733" s="8" t="s">
        <v>730</v>
      </c>
      <c r="C733" s="9">
        <v>1720</v>
      </c>
      <c r="D733" s="0">
        <v>3</v>
      </c>
      <c r="E733" s="10">
        <f>HYPERLINK("http://www.lingerieopt.ru/images/original/6877e949-a4dd-4d66-b6ee-25a87c2ae6b8.jpg","Фото")</f>
      </c>
    </row>
    <row r="734">
      <c r="A734" s="7">
        <f>HYPERLINK("http://www.lingerieopt.ru/item/10940-bodi-carine-iz-nezhnogo-kruzheva-so-shnurovkoi/","10940")</f>
      </c>
      <c r="B734" s="8" t="s">
        <v>731</v>
      </c>
      <c r="C734" s="9">
        <v>2062</v>
      </c>
      <c r="D734" s="0">
        <v>20</v>
      </c>
      <c r="E734" s="10">
        <f>HYPERLINK("http://www.lingerieopt.ru/images/original/8c7651bb-c29d-413d-9b2f-d8ef5774d806.jpg","Фото")</f>
      </c>
    </row>
    <row r="735">
      <c r="A735" s="7">
        <f>HYPERLINK("http://www.lingerieopt.ru/item/10940-bodi-carine-iz-nezhnogo-kruzheva-so-shnurovkoi/","10940")</f>
      </c>
      <c r="B735" s="8" t="s">
        <v>732</v>
      </c>
      <c r="C735" s="9">
        <v>2062</v>
      </c>
      <c r="D735" s="0">
        <v>20</v>
      </c>
      <c r="E735" s="10">
        <f>HYPERLINK("http://www.lingerieopt.ru/images/original/8c7651bb-c29d-413d-9b2f-d8ef5774d806.jpg","Фото")</f>
      </c>
    </row>
    <row r="736">
      <c r="A736" s="7">
        <f>HYPERLINK("http://www.lingerieopt.ru/item/10940-bodi-carine-iz-nezhnogo-kruzheva-so-shnurovkoi/","10940")</f>
      </c>
      <c r="B736" s="8" t="s">
        <v>733</v>
      </c>
      <c r="C736" s="9">
        <v>2062</v>
      </c>
      <c r="D736" s="0">
        <v>19</v>
      </c>
      <c r="E736" s="10">
        <f>HYPERLINK("http://www.lingerieopt.ru/images/original/8c7651bb-c29d-413d-9b2f-d8ef5774d806.jpg","Фото")</f>
      </c>
    </row>
    <row r="737">
      <c r="A737" s="7">
        <f>HYPERLINK("http://www.lingerieopt.ru/item/10941-bodi-margot-s-dostupom-i-shnurovkoi/","10941")</f>
      </c>
      <c r="B737" s="8" t="s">
        <v>734</v>
      </c>
      <c r="C737" s="9">
        <v>1856</v>
      </c>
      <c r="D737" s="0">
        <v>20</v>
      </c>
      <c r="E737" s="10">
        <f>HYPERLINK("http://www.lingerieopt.ru/images/original/98b51a6a-d880-4136-968f-12b30c999f3c.jpg","Фото")</f>
      </c>
    </row>
    <row r="738">
      <c r="A738" s="7">
        <f>HYPERLINK("http://www.lingerieopt.ru/item/10941-bodi-margot-s-dostupom-i-shnurovkoi/","10941")</f>
      </c>
      <c r="B738" s="8" t="s">
        <v>735</v>
      </c>
      <c r="C738" s="9">
        <v>1856</v>
      </c>
      <c r="D738" s="0">
        <v>20</v>
      </c>
      <c r="E738" s="10">
        <f>HYPERLINK("http://www.lingerieopt.ru/images/original/98b51a6a-d880-4136-968f-12b30c999f3c.jpg","Фото")</f>
      </c>
    </row>
    <row r="739">
      <c r="A739" s="7">
        <f>HYPERLINK("http://www.lingerieopt.ru/item/10941-bodi-margot-s-dostupom-i-shnurovkoi/","10941")</f>
      </c>
      <c r="B739" s="8" t="s">
        <v>736</v>
      </c>
      <c r="C739" s="9">
        <v>1856</v>
      </c>
      <c r="D739" s="0">
        <v>20</v>
      </c>
      <c r="E739" s="10">
        <f>HYPERLINK("http://www.lingerieopt.ru/images/original/98b51a6a-d880-4136-968f-12b30c999f3c.jpg","Фото")</f>
      </c>
    </row>
    <row r="740">
      <c r="A740" s="7">
        <f>HYPERLINK("http://www.lingerieopt.ru/item/10944-bodi-florence-s-soblaznitelnoi-shnurovkoi/","10944")</f>
      </c>
      <c r="B740" s="8" t="s">
        <v>737</v>
      </c>
      <c r="C740" s="9">
        <v>2475</v>
      </c>
      <c r="D740" s="0">
        <v>20</v>
      </c>
      <c r="E740" s="10">
        <f>HYPERLINK("http://www.lingerieopt.ru/images/original/c0a5def3-2cb1-47c0-876d-3b90296dede9.jpg","Фото")</f>
      </c>
    </row>
    <row r="741">
      <c r="A741" s="7">
        <f>HYPERLINK("http://www.lingerieopt.ru/item/10944-bodi-florence-s-soblaznitelnoi-shnurovkoi/","10944")</f>
      </c>
      <c r="B741" s="8" t="s">
        <v>738</v>
      </c>
      <c r="C741" s="9">
        <v>2475</v>
      </c>
      <c r="D741" s="0">
        <v>20</v>
      </c>
      <c r="E741" s="10">
        <f>HYPERLINK("http://www.lingerieopt.ru/images/original/c0a5def3-2cb1-47c0-876d-3b90296dede9.jpg","Фото")</f>
      </c>
    </row>
    <row r="742">
      <c r="A742" s="7">
        <f>HYPERLINK("http://www.lingerieopt.ru/item/10944-bodi-florence-s-soblaznitelnoi-shnurovkoi/","10944")</f>
      </c>
      <c r="B742" s="8" t="s">
        <v>739</v>
      </c>
      <c r="C742" s="9">
        <v>2475</v>
      </c>
      <c r="D742" s="0">
        <v>20</v>
      </c>
      <c r="E742" s="10">
        <f>HYPERLINK("http://www.lingerieopt.ru/images/original/c0a5def3-2cb1-47c0-876d-3b90296dede9.jpg","Фото")</f>
      </c>
    </row>
    <row r="743">
      <c r="A743" s="7">
        <f>HYPERLINK("http://www.lingerieopt.ru/item/10999-kruzhevnoe-bodi-s-otkrjtjm-zhivotikom-to-the-extreme-lace-v-teddy/","10999")</f>
      </c>
      <c r="B743" s="8" t="s">
        <v>740</v>
      </c>
      <c r="C743" s="9">
        <v>1298</v>
      </c>
      <c r="D743" s="0">
        <v>8</v>
      </c>
      <c r="E743" s="10">
        <f>HYPERLINK("http://www.lingerieopt.ru/images/original/bcf004fc-e85c-43c9-be1c-f889ca4b3028.jpg","Фото")</f>
      </c>
    </row>
    <row r="744">
      <c r="A744" s="7">
        <f>HYPERLINK("http://www.lingerieopt.ru/item/11000-effektnoe-bodi-bez-bretelei-maja-flava-seamless-bodysuit/","11000")</f>
      </c>
      <c r="B744" s="8" t="s">
        <v>741</v>
      </c>
      <c r="C744" s="9">
        <v>1298</v>
      </c>
      <c r="D744" s="0">
        <v>9</v>
      </c>
      <c r="E744" s="10">
        <f>HYPERLINK("http://www.lingerieopt.ru/images/original/45937502-7875-470f-8047-69670012f9e1.jpg","Фото")</f>
      </c>
    </row>
    <row r="745">
      <c r="A745" s="7">
        <f>HYPERLINK("http://www.lingerieopt.ru/item/11000-effektnoe-bodi-bez-bretelei-maja-flava-seamless-bodysuit/","11000")</f>
      </c>
      <c r="B745" s="8" t="s">
        <v>742</v>
      </c>
      <c r="C745" s="9">
        <v>1298</v>
      </c>
      <c r="D745" s="0">
        <v>8</v>
      </c>
      <c r="E745" s="10">
        <f>HYPERLINK("http://www.lingerieopt.ru/images/original/45937502-7875-470f-8047-69670012f9e1.jpg","Фото")</f>
      </c>
    </row>
    <row r="746">
      <c r="A746" s="7">
        <f>HYPERLINK("http://www.lingerieopt.ru/item/11000-effektnoe-bodi-bez-bretelei-maja-flava-seamless-bodysuit/","11000")</f>
      </c>
      <c r="B746" s="8" t="s">
        <v>743</v>
      </c>
      <c r="C746" s="9">
        <v>1298</v>
      </c>
      <c r="D746" s="0">
        <v>11</v>
      </c>
      <c r="E746" s="10">
        <f>HYPERLINK("http://www.lingerieopt.ru/images/original/45937502-7875-470f-8047-69670012f9e1.jpg","Фото")</f>
      </c>
    </row>
    <row r="747">
      <c r="A747" s="7">
        <f>HYPERLINK("http://www.lingerieopt.ru/item/11056-soblaznitelnoe-bodi-mia-s-kruzhevami/","11056")</f>
      </c>
      <c r="B747" s="8" t="s">
        <v>744</v>
      </c>
      <c r="C747" s="9">
        <v>1661</v>
      </c>
      <c r="D747" s="0">
        <v>11</v>
      </c>
      <c r="E747" s="10">
        <f>HYPERLINK("http://www.lingerieopt.ru/images/original/094aebc1-850d-41b8-9371-c50c1115c014.jpg","Фото")</f>
      </c>
    </row>
    <row r="748">
      <c r="A748" s="7">
        <f>HYPERLINK("http://www.lingerieopt.ru/item/11056-soblaznitelnoe-bodi-mia-s-kruzhevami/","11056")</f>
      </c>
      <c r="B748" s="8" t="s">
        <v>745</v>
      </c>
      <c r="C748" s="9">
        <v>1661</v>
      </c>
      <c r="D748" s="0">
        <v>7</v>
      </c>
      <c r="E748" s="10">
        <f>HYPERLINK("http://www.lingerieopt.ru/images/original/094aebc1-850d-41b8-9371-c50c1115c014.jpg","Фото")</f>
      </c>
    </row>
    <row r="749">
      <c r="A749" s="7">
        <f>HYPERLINK("http://www.lingerieopt.ru/item/11057-soblaznitelnoe-bodi-mia-plus-size-s-kruzhevnjmi-elementami/","11057")</f>
      </c>
      <c r="B749" s="8" t="s">
        <v>746</v>
      </c>
      <c r="C749" s="9">
        <v>1661</v>
      </c>
      <c r="D749" s="0">
        <v>4</v>
      </c>
      <c r="E749" s="10">
        <f>HYPERLINK("http://www.lingerieopt.ru/images/original/d793a99d-25cd-4eb3-a412-db01fc662da0.jpg","Фото")</f>
      </c>
    </row>
    <row r="750">
      <c r="A750" s="7">
        <f>HYPERLINK("http://www.lingerieopt.ru/item/11068-charuyuschee-bodi-tonya-s-cvetochnjm-risunkom/","11068")</f>
      </c>
      <c r="B750" s="8" t="s">
        <v>747</v>
      </c>
      <c r="C750" s="9">
        <v>1817</v>
      </c>
      <c r="D750" s="0">
        <v>6</v>
      </c>
      <c r="E750" s="10">
        <f>HYPERLINK("http://www.lingerieopt.ru/images/original/06a6581f-75f5-41d9-ac54-c9c84e13b122.jpg","Фото")</f>
      </c>
    </row>
    <row r="751">
      <c r="A751" s="7">
        <f>HYPERLINK("http://www.lingerieopt.ru/item/11068-charuyuschee-bodi-tonya-s-cvetochnjm-risunkom/","11068")</f>
      </c>
      <c r="B751" s="8" t="s">
        <v>748</v>
      </c>
      <c r="C751" s="9">
        <v>1817</v>
      </c>
      <c r="D751" s="0">
        <v>8</v>
      </c>
      <c r="E751" s="10">
        <f>HYPERLINK("http://www.lingerieopt.ru/images/original/06a6581f-75f5-41d9-ac54-c9c84e13b122.jpg","Фото")</f>
      </c>
    </row>
    <row r="752">
      <c r="A752" s="7">
        <f>HYPERLINK("http://www.lingerieopt.ru/item/11069-charuyuschee-bodi-tonya-plus-size-s-cvetochnjm-risunkom/","11069")</f>
      </c>
      <c r="B752" s="8" t="s">
        <v>749</v>
      </c>
      <c r="C752" s="9">
        <v>1817</v>
      </c>
      <c r="D752" s="0">
        <v>4</v>
      </c>
      <c r="E752" s="10">
        <f>HYPERLINK("http://www.lingerieopt.ru/images/original/11f0a86e-0ce7-4b7d-b068-f6b60917d2f6.jpg","Фото")</f>
      </c>
    </row>
    <row r="753">
      <c r="A753" s="7">
        <f>HYPERLINK("http://www.lingerieopt.ru/item/11080-neveroyatnoe-bodi-jade-iz-kruzheva-s-melkimi-cvetami/","11080")</f>
      </c>
      <c r="B753" s="8" t="s">
        <v>750</v>
      </c>
      <c r="C753" s="9">
        <v>1673</v>
      </c>
      <c r="D753" s="0">
        <v>7</v>
      </c>
      <c r="E753" s="10">
        <f>HYPERLINK("http://www.lingerieopt.ru/images/original/52e213c4-8e55-4df1-ac85-4ebb2ff6dcf8.jpg","Фото")</f>
      </c>
    </row>
    <row r="754">
      <c r="A754" s="7">
        <f>HYPERLINK("http://www.lingerieopt.ru/item/11080-neveroyatnoe-bodi-jade-iz-kruzheva-s-melkimi-cvetami/","11080")</f>
      </c>
      <c r="B754" s="8" t="s">
        <v>751</v>
      </c>
      <c r="C754" s="9">
        <v>1673</v>
      </c>
      <c r="D754" s="0">
        <v>7</v>
      </c>
      <c r="E754" s="10">
        <f>HYPERLINK("http://www.lingerieopt.ru/images/original/52e213c4-8e55-4df1-ac85-4ebb2ff6dcf8.jpg","Фото")</f>
      </c>
    </row>
    <row r="755">
      <c r="A755" s="7">
        <f>HYPERLINK("http://www.lingerieopt.ru/item/11086-soblaznitelnoe-bodi-xante-s-otkrjtoi-spinoi/","11086")</f>
      </c>
      <c r="B755" s="8" t="s">
        <v>752</v>
      </c>
      <c r="C755" s="9">
        <v>1696</v>
      </c>
      <c r="D755" s="0">
        <v>12</v>
      </c>
      <c r="E755" s="10">
        <f>HYPERLINK("http://www.lingerieopt.ru/images/original/7502492b-5d19-4171-9dbf-e0c0812568dc.jpg","Фото")</f>
      </c>
    </row>
    <row r="756">
      <c r="A756" s="7">
        <f>HYPERLINK("http://www.lingerieopt.ru/item/11086-soblaznitelnoe-bodi-xante-s-otkrjtoi-spinoi/","11086")</f>
      </c>
      <c r="B756" s="8" t="s">
        <v>753</v>
      </c>
      <c r="C756" s="9">
        <v>1696</v>
      </c>
      <c r="D756" s="0">
        <v>5</v>
      </c>
      <c r="E756" s="10">
        <f>HYPERLINK("http://www.lingerieopt.ru/images/original/7502492b-5d19-4171-9dbf-e0c0812568dc.jpg","Фото")</f>
      </c>
    </row>
    <row r="757">
      <c r="A757" s="7">
        <f>HYPERLINK("http://www.lingerieopt.ru/item/11087-soblaznitelnoe-bodi-xante-plus-size-s-otkrjtoi-spinoi/","11087")</f>
      </c>
      <c r="B757" s="8" t="s">
        <v>754</v>
      </c>
      <c r="C757" s="9">
        <v>1696</v>
      </c>
      <c r="D757" s="0">
        <v>4</v>
      </c>
      <c r="E757" s="10">
        <f>HYPERLINK("http://www.lingerieopt.ru/images/original/1f406531-12d8-476a-904a-1386c8c4f902.jpg","Фото")</f>
      </c>
    </row>
    <row r="758">
      <c r="A758" s="7">
        <f>HYPERLINK("http://www.lingerieopt.ru/item/11127-bodi-s-dostupom-szadi/","11127")</f>
      </c>
      <c r="B758" s="8" t="s">
        <v>755</v>
      </c>
      <c r="C758" s="9">
        <v>947</v>
      </c>
      <c r="D758" s="0">
        <v>9</v>
      </c>
      <c r="E758" s="10">
        <f>HYPERLINK("http://www.lingerieopt.ru/images/original/130fe87f-cf38-456d-b336-e2398fbe48bc.jpg","Фото")</f>
      </c>
    </row>
    <row r="759">
      <c r="A759" s="7">
        <f>HYPERLINK("http://www.lingerieopt.ru/item/11193-elegantnoe-bodi-iz-streich-atlasnogo-materiala/","11193")</f>
      </c>
      <c r="B759" s="8" t="s">
        <v>756</v>
      </c>
      <c r="C759" s="9">
        <v>1439</v>
      </c>
      <c r="D759" s="0">
        <v>10</v>
      </c>
      <c r="E759" s="10">
        <f>HYPERLINK("http://www.lingerieopt.ru/images/original/5ddab930-36c4-4f1b-980e-65f484f3df99.jpg","Фото")</f>
      </c>
    </row>
    <row r="760">
      <c r="A760" s="7">
        <f>HYPERLINK("http://www.lingerieopt.ru/item/11193-elegantnoe-bodi-iz-streich-atlasnogo-materiala/","11193")</f>
      </c>
      <c r="B760" s="8" t="s">
        <v>757</v>
      </c>
      <c r="C760" s="9">
        <v>1439</v>
      </c>
      <c r="D760" s="0">
        <v>3</v>
      </c>
      <c r="E760" s="10">
        <f>HYPERLINK("http://www.lingerieopt.ru/images/original/5ddab930-36c4-4f1b-980e-65f484f3df99.jpg","Фото")</f>
      </c>
    </row>
    <row r="761">
      <c r="A761" s="7">
        <f>HYPERLINK("http://www.lingerieopt.ru/item/11194-roskoshnoe-bodi-plus-size-s-kruzhevami/","11194")</f>
      </c>
      <c r="B761" s="8" t="s">
        <v>758</v>
      </c>
      <c r="C761" s="9">
        <v>1431</v>
      </c>
      <c r="D761" s="0">
        <v>5</v>
      </c>
      <c r="E761" s="10">
        <f>HYPERLINK("http://www.lingerieopt.ru/images/original/7387693b-08cd-4131-82c2-764bcc750771.jpg","Фото")</f>
      </c>
    </row>
    <row r="762">
      <c r="A762" s="7">
        <f>HYPERLINK("http://www.lingerieopt.ru/item/11205-bodi-korsazh-shaquila-s-lentami-dlya-fiksacii-ruk/","11205")</f>
      </c>
      <c r="B762" s="8" t="s">
        <v>759</v>
      </c>
      <c r="C762" s="9">
        <v>2518</v>
      </c>
      <c r="D762" s="0">
        <v>11</v>
      </c>
      <c r="E762" s="10">
        <f>HYPERLINK("http://www.lingerieopt.ru/images/original/577fbfe3-0b63-4ecc-a251-8b26cb7700c9.jpg","Фото")</f>
      </c>
    </row>
    <row r="763">
      <c r="A763" s="7">
        <f>HYPERLINK("http://www.lingerieopt.ru/item/11205-bodi-korsazh-shaquila-s-lentami-dlya-fiksacii-ruk/","11205")</f>
      </c>
      <c r="B763" s="8" t="s">
        <v>760</v>
      </c>
      <c r="C763" s="9">
        <v>2518</v>
      </c>
      <c r="D763" s="0">
        <v>6</v>
      </c>
      <c r="E763" s="10">
        <f>HYPERLINK("http://www.lingerieopt.ru/images/original/577fbfe3-0b63-4ecc-a251-8b26cb7700c9.jpg","Фото")</f>
      </c>
    </row>
    <row r="764">
      <c r="A764" s="7">
        <f>HYPERLINK("http://www.lingerieopt.ru/item/11225-elastichnoe-azhurnoe-teddi-s-otkrjtoi-spinoi-i-dostupom/","11225")</f>
      </c>
      <c r="B764" s="8" t="s">
        <v>761</v>
      </c>
      <c r="C764" s="9">
        <v>1008</v>
      </c>
      <c r="D764" s="0">
        <v>10</v>
      </c>
      <c r="E764" s="10">
        <f>HYPERLINK("http://www.lingerieopt.ru/images/original/c21257d9-bfdd-4c56-aba2-6dad0f1bd227.jpg","Фото")</f>
      </c>
    </row>
    <row r="765">
      <c r="A765" s="7">
        <f>HYPERLINK("http://www.lingerieopt.ru/item/11280-effektnoe-bodi-coline-s-otkrjtoi-spinoi-i-vstavkami-iz-setochki/","11280")</f>
      </c>
      <c r="B765" s="8" t="s">
        <v>762</v>
      </c>
      <c r="C765" s="9">
        <v>1647</v>
      </c>
      <c r="D765" s="0">
        <v>5</v>
      </c>
      <c r="E765" s="10">
        <f>HYPERLINK("http://www.lingerieopt.ru/images/original/d5318fb9-366b-4bcd-bd97-13cded795134.jpg","Фото")</f>
      </c>
    </row>
    <row r="766">
      <c r="A766" s="7">
        <f>HYPERLINK("http://www.lingerieopt.ru/item/11280-effektnoe-bodi-coline-s-otkrjtoi-spinoi-i-vstavkami-iz-setochki/","11280")</f>
      </c>
      <c r="B766" s="8" t="s">
        <v>763</v>
      </c>
      <c r="C766" s="9">
        <v>1647</v>
      </c>
      <c r="D766" s="0">
        <v>5</v>
      </c>
      <c r="E766" s="10">
        <f>HYPERLINK("http://www.lingerieopt.ru/images/original/d5318fb9-366b-4bcd-bd97-13cded795134.jpg","Фото")</f>
      </c>
    </row>
    <row r="767">
      <c r="A767" s="7">
        <f>HYPERLINK("http://www.lingerieopt.ru/item/11284-chuvstvennoe-bodi-nea-s-kruzhevnjmi-vstavkami-po-bokam/","11284")</f>
      </c>
      <c r="B767" s="8" t="s">
        <v>764</v>
      </c>
      <c r="C767" s="9">
        <v>1650</v>
      </c>
      <c r="D767" s="0">
        <v>8</v>
      </c>
      <c r="E767" s="10">
        <f>HYPERLINK("http://www.lingerieopt.ru/images/original/33ccea52-a120-4658-9267-7d00a3b9595b.jpg","Фото")</f>
      </c>
    </row>
    <row r="768">
      <c r="A768" s="7">
        <f>HYPERLINK("http://www.lingerieopt.ru/item/11284-chuvstvennoe-bodi-nea-s-kruzhevnjmi-vstavkami-po-bokam/","11284")</f>
      </c>
      <c r="B768" s="8" t="s">
        <v>765</v>
      </c>
      <c r="C768" s="9">
        <v>1650</v>
      </c>
      <c r="D768" s="0">
        <v>14</v>
      </c>
      <c r="E768" s="10">
        <f>HYPERLINK("http://www.lingerieopt.ru/images/original/33ccea52-a120-4658-9267-7d00a3b9595b.jpg","Фото")</f>
      </c>
    </row>
    <row r="769">
      <c r="A769" s="7">
        <f>HYPERLINK("http://www.lingerieopt.ru/item/11288-roskoshnoe-bodi-ivone-s-izjskannjm-temno-sinim-kruzhevom/","11288")</f>
      </c>
      <c r="B769" s="8" t="s">
        <v>766</v>
      </c>
      <c r="C769" s="9">
        <v>1874</v>
      </c>
      <c r="D769" s="0">
        <v>12</v>
      </c>
      <c r="E769" s="10">
        <f>HYPERLINK("http://www.lingerieopt.ru/images/original/2aadc7fa-e7fc-49c5-94eb-20030a9f453c.jpg","Фото")</f>
      </c>
    </row>
    <row r="770">
      <c r="A770" s="7">
        <f>HYPERLINK("http://www.lingerieopt.ru/item/11288-roskoshnoe-bodi-ivone-s-izjskannjm-temno-sinim-kruzhevom/","11288")</f>
      </c>
      <c r="B770" s="8" t="s">
        <v>767</v>
      </c>
      <c r="C770" s="9">
        <v>1874</v>
      </c>
      <c r="D770" s="0">
        <v>6</v>
      </c>
      <c r="E770" s="10">
        <f>HYPERLINK("http://www.lingerieopt.ru/images/original/2aadc7fa-e7fc-49c5-94eb-20030a9f453c.jpg","Фото")</f>
      </c>
    </row>
    <row r="771">
      <c r="A771" s="7">
        <f>HYPERLINK("http://www.lingerieopt.ru/item/11304-poluprozrachnji-teddi-s-rombovidnjm-uzorom-na-lentah/","11304")</f>
      </c>
      <c r="B771" s="8" t="s">
        <v>768</v>
      </c>
      <c r="C771" s="9">
        <v>1275</v>
      </c>
      <c r="D771" s="0">
        <v>10</v>
      </c>
      <c r="E771" s="10">
        <f>HYPERLINK("http://www.lingerieopt.ru/images/original/ce429909-fcd9-44e7-93ec-88222b4a840c.jpg","Фото")</f>
      </c>
    </row>
    <row r="772">
      <c r="A772" s="7">
        <f>HYPERLINK("http://www.lingerieopt.ru/item/11304-poluprozrachnji-teddi-s-rombovidnjm-uzorom-na-lentah/","11304")</f>
      </c>
      <c r="B772" s="8" t="s">
        <v>769</v>
      </c>
      <c r="C772" s="9">
        <v>1275</v>
      </c>
      <c r="D772" s="0">
        <v>10</v>
      </c>
      <c r="E772" s="10">
        <f>HYPERLINK("http://www.lingerieopt.ru/images/original/ce429909-fcd9-44e7-93ec-88222b4a840c.jpg","Фото")</f>
      </c>
    </row>
    <row r="773">
      <c r="A773" s="7">
        <f>HYPERLINK("http://www.lingerieopt.ru/item/11328-originalnoe-kruzhevnoe-bodi/","11328")</f>
      </c>
      <c r="B773" s="8" t="s">
        <v>770</v>
      </c>
      <c r="C773" s="9">
        <v>1658</v>
      </c>
      <c r="D773" s="0">
        <v>9</v>
      </c>
      <c r="E773" s="10">
        <f>HYPERLINK("http://www.lingerieopt.ru/images/original/46a3fa26-78f6-483b-86b3-03b8cae5d71c.jpg","Фото")</f>
      </c>
    </row>
    <row r="774">
      <c r="A774" s="7">
        <f>HYPERLINK("http://www.lingerieopt.ru/item/11328-originalnoe-kruzhevnoe-bodi/","11328")</f>
      </c>
      <c r="B774" s="8" t="s">
        <v>771</v>
      </c>
      <c r="C774" s="9">
        <v>1658</v>
      </c>
      <c r="D774" s="0">
        <v>7</v>
      </c>
      <c r="E774" s="10">
        <f>HYPERLINK("http://www.lingerieopt.ru/images/original/46a3fa26-78f6-483b-86b3-03b8cae5d71c.jpg","Фото")</f>
      </c>
    </row>
    <row r="775">
      <c r="A775" s="7">
        <f>HYPERLINK("http://www.lingerieopt.ru/item/11349-soblaznitelnoe-bodi-maxime-s-kruzhevami/","11349")</f>
      </c>
      <c r="B775" s="8" t="s">
        <v>772</v>
      </c>
      <c r="C775" s="9">
        <v>1590</v>
      </c>
      <c r="D775" s="0">
        <v>4</v>
      </c>
      <c r="E775" s="10">
        <f>HYPERLINK("http://www.lingerieopt.ru/images/original/128499bf-7ae0-4b53-ac5b-4433e2b27fdb.jpg","Фото")</f>
      </c>
    </row>
    <row r="776">
      <c r="A776" s="7">
        <f>HYPERLINK("http://www.lingerieopt.ru/item/11349-soblaznitelnoe-bodi-maxime-s-kruzhevami/","11349")</f>
      </c>
      <c r="B776" s="8" t="s">
        <v>773</v>
      </c>
      <c r="C776" s="9">
        <v>1590</v>
      </c>
      <c r="D776" s="0">
        <v>5</v>
      </c>
      <c r="E776" s="10">
        <f>HYPERLINK("http://www.lingerieopt.ru/images/original/128499bf-7ae0-4b53-ac5b-4433e2b27fdb.jpg","Фото")</f>
      </c>
    </row>
    <row r="777">
      <c r="A777" s="7">
        <f>HYPERLINK("http://www.lingerieopt.ru/item/11349-soblaznitelnoe-bodi-maxime-s-kruzhevami/","11349")</f>
      </c>
      <c r="B777" s="8" t="s">
        <v>774</v>
      </c>
      <c r="C777" s="9">
        <v>1590</v>
      </c>
      <c r="D777" s="0">
        <v>6</v>
      </c>
      <c r="E777" s="10">
        <f>HYPERLINK("http://www.lingerieopt.ru/images/original/128499bf-7ae0-4b53-ac5b-4433e2b27fdb.jpg","Фото")</f>
      </c>
    </row>
    <row r="778">
      <c r="A778" s="7">
        <f>HYPERLINK("http://www.lingerieopt.ru/item/11349-soblaznitelnoe-bodi-maxime-s-kruzhevami/","11349")</f>
      </c>
      <c r="B778" s="8" t="s">
        <v>775</v>
      </c>
      <c r="C778" s="9">
        <v>1590</v>
      </c>
      <c r="D778" s="0">
        <v>5</v>
      </c>
      <c r="E778" s="10">
        <f>HYPERLINK("http://www.lingerieopt.ru/images/original/128499bf-7ae0-4b53-ac5b-4433e2b27fdb.jpg","Фото")</f>
      </c>
    </row>
    <row r="779">
      <c r="A779" s="7">
        <f>HYPERLINK("http://www.lingerieopt.ru/item/11350-soblaznitelnoe-bodi-maxime-plus-size-s-kruzhevom/","11350")</f>
      </c>
      <c r="B779" s="8" t="s">
        <v>776</v>
      </c>
      <c r="C779" s="9">
        <v>1590</v>
      </c>
      <c r="D779" s="0">
        <v>2</v>
      </c>
      <c r="E779" s="10">
        <f>HYPERLINK("http://www.lingerieopt.ru/images/original/32bcf12f-602b-4f11-9808-61808d4c4b8a.jpg","Фото")</f>
      </c>
    </row>
    <row r="780">
      <c r="A780" s="7">
        <f>HYPERLINK("http://www.lingerieopt.ru/item/11350-soblaznitelnoe-bodi-maxime-plus-size-s-kruzhevom/","11350")</f>
      </c>
      <c r="B780" s="8" t="s">
        <v>777</v>
      </c>
      <c r="C780" s="9">
        <v>1590</v>
      </c>
      <c r="D780" s="0">
        <v>3</v>
      </c>
      <c r="E780" s="10">
        <f>HYPERLINK("http://www.lingerieopt.ru/images/original/32bcf12f-602b-4f11-9808-61808d4c4b8a.jpg","Фото")</f>
      </c>
    </row>
    <row r="781">
      <c r="A781" s="7">
        <f>HYPERLINK("http://www.lingerieopt.ru/item/11355-chuvstvennoe-bodi-nea-plus-size-s-kruzhevnjmi-vstavkami-po-bokam/","11355")</f>
      </c>
      <c r="B781" s="8" t="s">
        <v>778</v>
      </c>
      <c r="C781" s="9">
        <v>1650</v>
      </c>
      <c r="D781" s="0">
        <v>4</v>
      </c>
      <c r="E781" s="10">
        <f>HYPERLINK("http://www.lingerieopt.ru/images/original/b70fc487-1ae3-4d9f-b21b-194cc87f5387.jpg","Фото")</f>
      </c>
    </row>
    <row r="782">
      <c r="A782" s="7">
        <f>HYPERLINK("http://www.lingerieopt.ru/item/11395-provokacionnoe-bodi-lou-s-dlinnjmi-rukavami-i-dostupom/","11395")</f>
      </c>
      <c r="B782" s="8" t="s">
        <v>779</v>
      </c>
      <c r="C782" s="9">
        <v>1647</v>
      </c>
      <c r="D782" s="0">
        <v>3</v>
      </c>
      <c r="E782" s="10">
        <f>HYPERLINK("http://www.lingerieopt.ru/images/original/1d6c68fe-beb7-4828-a9a2-029d035d09a3.jpg","Фото")</f>
      </c>
    </row>
    <row r="783">
      <c r="A783" s="7">
        <f>HYPERLINK("http://www.lingerieopt.ru/item/11395-provokacionnoe-bodi-lou-s-dlinnjmi-rukavami-i-dostupom/","11395")</f>
      </c>
      <c r="B783" s="8" t="s">
        <v>780</v>
      </c>
      <c r="C783" s="9">
        <v>1647</v>
      </c>
      <c r="D783" s="0">
        <v>0</v>
      </c>
      <c r="E783" s="10">
        <f>HYPERLINK("http://www.lingerieopt.ru/images/original/1d6c68fe-beb7-4828-a9a2-029d035d09a3.jpg","Фото")</f>
      </c>
    </row>
    <row r="784">
      <c r="A784" s="7">
        <f>HYPERLINK("http://www.lingerieopt.ru/item/11397-otkrovennoe-bodi-rebecca-s-poluotkrjtjm-lifom/","11397")</f>
      </c>
      <c r="B784" s="8" t="s">
        <v>781</v>
      </c>
      <c r="C784" s="9">
        <v>1671</v>
      </c>
      <c r="D784" s="0">
        <v>5</v>
      </c>
      <c r="E784" s="10">
        <f>HYPERLINK("http://www.lingerieopt.ru/images/original/81e6b2ec-b115-4c7b-a581-433ccdf6ff49.jpg","Фото")</f>
      </c>
    </row>
    <row r="785">
      <c r="A785" s="7">
        <f>HYPERLINK("http://www.lingerieopt.ru/item/11397-otkrovennoe-bodi-rebecca-s-poluotkrjtjm-lifom/","11397")</f>
      </c>
      <c r="B785" s="8" t="s">
        <v>782</v>
      </c>
      <c r="C785" s="9">
        <v>1671</v>
      </c>
      <c r="D785" s="0">
        <v>5</v>
      </c>
      <c r="E785" s="10">
        <f>HYPERLINK("http://www.lingerieopt.ru/images/original/81e6b2ec-b115-4c7b-a581-433ccdf6ff49.jpg","Фото")</f>
      </c>
    </row>
    <row r="786">
      <c r="A786" s="7">
        <f>HYPERLINK("http://www.lingerieopt.ru/item/11413-bodi-lamis-so-strep-lentami/","11413")</f>
      </c>
      <c r="B786" s="8" t="s">
        <v>783</v>
      </c>
      <c r="C786" s="9">
        <v>1544</v>
      </c>
      <c r="D786" s="0">
        <v>7</v>
      </c>
      <c r="E786" s="10">
        <f>HYPERLINK("http://www.lingerieopt.ru/images/original/a86a86c7-e081-46a0-80e1-d3b45653cf01.jpg","Фото")</f>
      </c>
    </row>
    <row r="787">
      <c r="A787" s="7">
        <f>HYPERLINK("http://www.lingerieopt.ru/item/11413-bodi-lamis-so-strep-lentami/","11413")</f>
      </c>
      <c r="B787" s="8" t="s">
        <v>784</v>
      </c>
      <c r="C787" s="9">
        <v>1544</v>
      </c>
      <c r="D787" s="0">
        <v>10</v>
      </c>
      <c r="E787" s="10">
        <f>HYPERLINK("http://www.lingerieopt.ru/images/original/a86a86c7-e081-46a0-80e1-d3b45653cf01.jpg","Фото")</f>
      </c>
    </row>
    <row r="788">
      <c r="A788" s="7">
        <f>HYPERLINK("http://www.lingerieopt.ru/item/11414-bodi-lamis-plus-size-iz-materiala-s-wet-look-effektom/","11414")</f>
      </c>
      <c r="B788" s="8" t="s">
        <v>785</v>
      </c>
      <c r="C788" s="9">
        <v>1544</v>
      </c>
      <c r="D788" s="0">
        <v>4</v>
      </c>
      <c r="E788" s="10">
        <f>HYPERLINK("http://www.lingerieopt.ru/images/original/55425651-43ff-4e16-b342-cdfb27ce8c3d.jpg","Фото")</f>
      </c>
    </row>
    <row r="789">
      <c r="A789" s="7">
        <f>HYPERLINK("http://www.lingerieopt.ru/item/11415-voshititelnoe-kruzhevnoe-bodi-valery-s-otkrjtjm-lifom-i-dostupom/","11415")</f>
      </c>
      <c r="B789" s="8" t="s">
        <v>786</v>
      </c>
      <c r="C789" s="9">
        <v>1732</v>
      </c>
      <c r="D789" s="0">
        <v>7</v>
      </c>
      <c r="E789" s="10">
        <f>HYPERLINK("http://www.lingerieopt.ru/images/original/3ae33ccb-542c-4e6c-9dd9-3086d0681459.jpg","Фото")</f>
      </c>
    </row>
    <row r="790">
      <c r="A790" s="7">
        <f>HYPERLINK("http://www.lingerieopt.ru/item/11415-voshititelnoe-kruzhevnoe-bodi-valery-s-otkrjtjm-lifom-i-dostupom/","11415")</f>
      </c>
      <c r="B790" s="8" t="s">
        <v>787</v>
      </c>
      <c r="C790" s="9">
        <v>1732</v>
      </c>
      <c r="D790" s="0">
        <v>4</v>
      </c>
      <c r="E790" s="10">
        <f>HYPERLINK("http://www.lingerieopt.ru/images/original/3ae33ccb-542c-4e6c-9dd9-3086d0681459.jpg","Фото")</f>
      </c>
    </row>
    <row r="791">
      <c r="A791" s="7">
        <f>HYPERLINK("http://www.lingerieopt.ru/item/11445-soblaznitelnoe-kruzhevnoe-bodi-s-tonkoi-peremjchkoi-na-zhivote/","11445")</f>
      </c>
      <c r="B791" s="8" t="s">
        <v>788</v>
      </c>
      <c r="C791" s="9">
        <v>1506</v>
      </c>
      <c r="D791" s="0">
        <v>10</v>
      </c>
      <c r="E791" s="10">
        <f>HYPERLINK("http://www.lingerieopt.ru/images/original/36e9448b-ad34-421b-9430-6fb64ee2f99b.jpg","Фото")</f>
      </c>
    </row>
    <row r="792">
      <c r="A792" s="7">
        <f>HYPERLINK("http://www.lingerieopt.ru/item/11445-soblaznitelnoe-kruzhevnoe-bodi-s-tonkoi-peremjchkoi-na-zhivote/","11445")</f>
      </c>
      <c r="B792" s="8" t="s">
        <v>789</v>
      </c>
      <c r="C792" s="9">
        <v>1506</v>
      </c>
      <c r="D792" s="0">
        <v>9</v>
      </c>
      <c r="E792" s="10">
        <f>HYPERLINK("http://www.lingerieopt.ru/images/original/36e9448b-ad34-421b-9430-6fb64ee2f99b.jpg","Фото")</f>
      </c>
    </row>
    <row r="793">
      <c r="A793" s="7">
        <f>HYPERLINK("http://www.lingerieopt.ru/item/11458-bodi-s-otkrjtoi-grudyu/","11458")</f>
      </c>
      <c r="B793" s="8" t="s">
        <v>790</v>
      </c>
      <c r="C793" s="9">
        <v>1330</v>
      </c>
      <c r="D793" s="0">
        <v>7</v>
      </c>
      <c r="E793" s="10">
        <f>HYPERLINK("http://www.lingerieopt.ru/images/original/d4eb9be1-f1ae-488d-95ff-841a86b4378e.jpg","Фото")</f>
      </c>
    </row>
    <row r="794">
      <c r="A794" s="7">
        <f>HYPERLINK("http://www.lingerieopt.ru/item/11458-bodi-s-otkrjtoi-grudyu/","11458")</f>
      </c>
      <c r="B794" s="8" t="s">
        <v>791</v>
      </c>
      <c r="C794" s="9">
        <v>1330</v>
      </c>
      <c r="D794" s="0">
        <v>10</v>
      </c>
      <c r="E794" s="10">
        <f>HYPERLINK("http://www.lingerieopt.ru/images/original/d4eb9be1-f1ae-488d-95ff-841a86b4378e.jpg","Фото")</f>
      </c>
    </row>
    <row r="795">
      <c r="A795" s="7">
        <f>HYPERLINK("http://www.lingerieopt.ru/item/11459-bodi-so-skreschennjmi-na-spinke-bretelyami/","11459")</f>
      </c>
      <c r="B795" s="8" t="s">
        <v>792</v>
      </c>
      <c r="C795" s="9">
        <v>1632</v>
      </c>
      <c r="D795" s="0">
        <v>10</v>
      </c>
      <c r="E795" s="10">
        <f>HYPERLINK("http://www.lingerieopt.ru/images/original/aba637cf-7019-4533-b862-956010fb8354.jpg","Фото")</f>
      </c>
    </row>
    <row r="796">
      <c r="A796" s="7">
        <f>HYPERLINK("http://www.lingerieopt.ru/item/11459-bodi-so-skreschennjmi-na-spinke-bretelyami/","11459")</f>
      </c>
      <c r="B796" s="8" t="s">
        <v>793</v>
      </c>
      <c r="C796" s="9">
        <v>1632</v>
      </c>
      <c r="D796" s="0">
        <v>10</v>
      </c>
      <c r="E796" s="10">
        <f>HYPERLINK("http://www.lingerieopt.ru/images/original/aba637cf-7019-4533-b862-956010fb8354.jpg","Фото")</f>
      </c>
    </row>
    <row r="797">
      <c r="A797" s="7">
        <f>HYPERLINK("http://www.lingerieopt.ru/item/11459-bodi-so-skreschennjmi-na-spinke-bretelyami/","11459")</f>
      </c>
      <c r="B797" s="8" t="s">
        <v>794</v>
      </c>
      <c r="C797" s="9">
        <v>1632</v>
      </c>
      <c r="D797" s="0">
        <v>10</v>
      </c>
      <c r="E797" s="10">
        <f>HYPERLINK("http://www.lingerieopt.ru/images/original/aba637cf-7019-4533-b862-956010fb8354.jpg","Фото")</f>
      </c>
    </row>
    <row r="798">
      <c r="A798" s="7">
        <f>HYPERLINK("http://www.lingerieopt.ru/item/11459-bodi-so-skreschennjmi-na-spinke-bretelyami/","11459")</f>
      </c>
      <c r="B798" s="8" t="s">
        <v>795</v>
      </c>
      <c r="C798" s="9">
        <v>1632</v>
      </c>
      <c r="D798" s="0">
        <v>10</v>
      </c>
      <c r="E798" s="10">
        <f>HYPERLINK("http://www.lingerieopt.ru/images/original/aba637cf-7019-4533-b862-956010fb8354.jpg","Фото")</f>
      </c>
    </row>
    <row r="799">
      <c r="A799" s="7">
        <f>HYPERLINK("http://www.lingerieopt.ru/item/11469-bodi-iona-plus-size-s-tyulevjm-bantom-na-life/","11469")</f>
      </c>
      <c r="B799" s="8" t="s">
        <v>796</v>
      </c>
      <c r="C799" s="9">
        <v>1521</v>
      </c>
      <c r="D799" s="0">
        <v>5</v>
      </c>
      <c r="E799" s="10">
        <f>HYPERLINK("http://www.lingerieopt.ru/images/original/188abc73-8570-4586-93cc-f141bcd4ddc5.jpg","Фото")</f>
      </c>
    </row>
    <row r="800">
      <c r="A800" s="7">
        <f>HYPERLINK("http://www.lingerieopt.ru/item/11469-bodi-iona-plus-size-s-tyulevjm-bantom-na-life/","11469")</f>
      </c>
      <c r="B800" s="8" t="s">
        <v>797</v>
      </c>
      <c r="C800" s="9">
        <v>1521</v>
      </c>
      <c r="D800" s="0">
        <v>14</v>
      </c>
      <c r="E800" s="10">
        <f>HYPERLINK("http://www.lingerieopt.ru/images/original/188abc73-8570-4586-93cc-f141bcd4ddc5.jpg","Фото")</f>
      </c>
    </row>
    <row r="801">
      <c r="A801" s="7">
        <f>HYPERLINK("http://www.lingerieopt.ru/item/11469-bodi-iona-plus-size-s-tyulevjm-bantom-na-life/","11469")</f>
      </c>
      <c r="B801" s="8" t="s">
        <v>798</v>
      </c>
      <c r="C801" s="9">
        <v>1521</v>
      </c>
      <c r="D801" s="0">
        <v>9</v>
      </c>
      <c r="E801" s="10">
        <f>HYPERLINK("http://www.lingerieopt.ru/images/original/188abc73-8570-4586-93cc-f141bcd4ddc5.jpg","Фото")</f>
      </c>
    </row>
    <row r="802">
      <c r="A802" s="5"/>
      <c r="B802" s="6" t="s">
        <v>799</v>
      </c>
      <c r="C802" s="5"/>
      <c r="D802" s="5"/>
      <c r="E802" s="5"/>
    </row>
    <row r="803">
      <c r="A803" s="7">
        <f>HYPERLINK("http://www.lingerieopt.ru/item/1684-kruzhevnoi-byustgalter-dolce-vita-svetlo-serogo-cveta/","1684")</f>
      </c>
      <c r="B803" s="8" t="s">
        <v>800</v>
      </c>
      <c r="C803" s="9">
        <v>1109</v>
      </c>
      <c r="D803" s="0">
        <v>1</v>
      </c>
      <c r="E803" s="10">
        <f>HYPERLINK("http://www.lingerieopt.ru/images/original/93ebc0db-f1fe-481a-994c-3c457a2f2794.jpg","Фото")</f>
      </c>
    </row>
    <row r="804">
      <c r="A804" s="7">
        <f>HYPERLINK("http://www.lingerieopt.ru/item/1684-kruzhevnoi-byustgalter-dolce-vita-svetlo-serogo-cveta/","1684")</f>
      </c>
      <c r="B804" s="8" t="s">
        <v>801</v>
      </c>
      <c r="C804" s="9">
        <v>1109</v>
      </c>
      <c r="D804" s="0">
        <v>0</v>
      </c>
      <c r="E804" s="10">
        <f>HYPERLINK("http://www.lingerieopt.ru/images/original/93ebc0db-f1fe-481a-994c-3c457a2f2794.jpg","Фото")</f>
      </c>
    </row>
    <row r="805">
      <c r="A805" s="7">
        <f>HYPERLINK("http://www.lingerieopt.ru/item/1684-kruzhevnoi-byustgalter-dolce-vita-svetlo-serogo-cveta/","1684")</f>
      </c>
      <c r="B805" s="8" t="s">
        <v>802</v>
      </c>
      <c r="C805" s="9">
        <v>1109</v>
      </c>
      <c r="D805" s="0">
        <v>0</v>
      </c>
      <c r="E805" s="10">
        <f>HYPERLINK("http://www.lingerieopt.ru/images/original/93ebc0db-f1fe-481a-994c-3c457a2f2794.jpg","Фото")</f>
      </c>
    </row>
    <row r="806">
      <c r="A806" s="7">
        <f>HYPERLINK("http://www.lingerieopt.ru/item/1684-kruzhevnoi-byustgalter-dolce-vita-svetlo-serogo-cveta/","1684")</f>
      </c>
      <c r="B806" s="8" t="s">
        <v>803</v>
      </c>
      <c r="C806" s="9">
        <v>1109</v>
      </c>
      <c r="D806" s="0">
        <v>0</v>
      </c>
      <c r="E806" s="10">
        <f>HYPERLINK("http://www.lingerieopt.ru/images/original/93ebc0db-f1fe-481a-994c-3c457a2f2794.jpg","Фото")</f>
      </c>
    </row>
    <row r="807">
      <c r="A807" s="7">
        <f>HYPERLINK("http://www.lingerieopt.ru/item/3440-byustgalter-push-ap-v-kletku/","3440")</f>
      </c>
      <c r="B807" s="8" t="s">
        <v>804</v>
      </c>
      <c r="C807" s="9">
        <v>708</v>
      </c>
      <c r="D807" s="0">
        <v>6</v>
      </c>
      <c r="E807" s="10">
        <f>HYPERLINK("http://www.lingerieopt.ru/images/original/37102eac-0e59-4d34-a850-0a6dde1e5c0f.jpg","Фото")</f>
      </c>
    </row>
    <row r="808">
      <c r="A808" s="7">
        <f>HYPERLINK("http://www.lingerieopt.ru/item/3440-byustgalter-push-ap-v-kletku/","3440")</f>
      </c>
      <c r="B808" s="8" t="s">
        <v>805</v>
      </c>
      <c r="C808" s="9">
        <v>708</v>
      </c>
      <c r="D808" s="0">
        <v>0</v>
      </c>
      <c r="E808" s="10">
        <f>HYPERLINK("http://www.lingerieopt.ru/images/original/37102eac-0e59-4d34-a850-0a6dde1e5c0f.jpg","Фото")</f>
      </c>
    </row>
    <row r="809">
      <c r="A809" s="7">
        <f>HYPERLINK("http://www.lingerieopt.ru/item/3440-byustgalter-push-ap-v-kletku/","3440")</f>
      </c>
      <c r="B809" s="8" t="s">
        <v>806</v>
      </c>
      <c r="C809" s="9">
        <v>708</v>
      </c>
      <c r="D809" s="0">
        <v>6</v>
      </c>
      <c r="E809" s="10">
        <f>HYPERLINK("http://www.lingerieopt.ru/images/original/37102eac-0e59-4d34-a850-0a6dde1e5c0f.jpg","Фото")</f>
      </c>
    </row>
    <row r="810">
      <c r="A810" s="7">
        <f>HYPERLINK("http://www.lingerieopt.ru/item/3440-byustgalter-push-ap-v-kletku/","3440")</f>
      </c>
      <c r="B810" s="8" t="s">
        <v>807</v>
      </c>
      <c r="C810" s="9">
        <v>708</v>
      </c>
      <c r="D810" s="0">
        <v>6</v>
      </c>
      <c r="E810" s="10">
        <f>HYPERLINK("http://www.lingerieopt.ru/images/original/37102eac-0e59-4d34-a850-0a6dde1e5c0f.jpg","Фото")</f>
      </c>
    </row>
    <row r="811">
      <c r="A811" s="7">
        <f>HYPERLINK("http://www.lingerieopt.ru/item/3440-byustgalter-push-ap-v-kletku/","3440")</f>
      </c>
      <c r="B811" s="8" t="s">
        <v>808</v>
      </c>
      <c r="C811" s="9">
        <v>708</v>
      </c>
      <c r="D811" s="0">
        <v>0</v>
      </c>
      <c r="E811" s="10">
        <f>HYPERLINK("http://www.lingerieopt.ru/images/original/37102eac-0e59-4d34-a850-0a6dde1e5c0f.jpg","Фото")</f>
      </c>
    </row>
    <row r="812">
      <c r="A812" s="7">
        <f>HYPERLINK("http://www.lingerieopt.ru/item/3440-byustgalter-push-ap-v-kletku/","3440")</f>
      </c>
      <c r="B812" s="8" t="s">
        <v>809</v>
      </c>
      <c r="C812" s="9">
        <v>708</v>
      </c>
      <c r="D812" s="0">
        <v>6</v>
      </c>
      <c r="E812" s="10">
        <f>HYPERLINK("http://www.lingerieopt.ru/images/original/37102eac-0e59-4d34-a850-0a6dde1e5c0f.jpg","Фото")</f>
      </c>
    </row>
    <row r="813">
      <c r="A813" s="7">
        <f>HYPERLINK("http://www.lingerieopt.ru/item/3440-byustgalter-push-ap-v-kletku/","3440")</f>
      </c>
      <c r="B813" s="8" t="s">
        <v>810</v>
      </c>
      <c r="C813" s="9">
        <v>708</v>
      </c>
      <c r="D813" s="0">
        <v>0</v>
      </c>
      <c r="E813" s="10">
        <f>HYPERLINK("http://www.lingerieopt.ru/images/original/37102eac-0e59-4d34-a850-0a6dde1e5c0f.jpg","Фото")</f>
      </c>
    </row>
    <row r="814">
      <c r="A814" s="7">
        <f>HYPERLINK("http://www.lingerieopt.ru/item/3440-byustgalter-push-ap-v-kletku/","3440")</f>
      </c>
      <c r="B814" s="8" t="s">
        <v>811</v>
      </c>
      <c r="C814" s="9">
        <v>708</v>
      </c>
      <c r="D814" s="0">
        <v>0</v>
      </c>
      <c r="E814" s="10">
        <f>HYPERLINK("http://www.lingerieopt.ru/images/original/37102eac-0e59-4d34-a850-0a6dde1e5c0f.jpg","Фото")</f>
      </c>
    </row>
    <row r="815">
      <c r="A815" s="7">
        <f>HYPERLINK("http://www.lingerieopt.ru/item/3440-byustgalter-push-ap-v-kletku/","3440")</f>
      </c>
      <c r="B815" s="8" t="s">
        <v>812</v>
      </c>
      <c r="C815" s="9">
        <v>708</v>
      </c>
      <c r="D815" s="0">
        <v>0</v>
      </c>
      <c r="E815" s="10">
        <f>HYPERLINK("http://www.lingerieopt.ru/images/original/37102eac-0e59-4d34-a850-0a6dde1e5c0f.jpg","Фото")</f>
      </c>
    </row>
    <row r="816">
      <c r="A816" s="7">
        <f>HYPERLINK("http://www.lingerieopt.ru/item/3440-byustgalter-push-ap-v-kletku/","3440")</f>
      </c>
      <c r="B816" s="8" t="s">
        <v>813</v>
      </c>
      <c r="C816" s="9">
        <v>708</v>
      </c>
      <c r="D816" s="0">
        <v>0</v>
      </c>
      <c r="E816" s="10">
        <f>HYPERLINK("http://www.lingerieopt.ru/images/original/37102eac-0e59-4d34-a850-0a6dde1e5c0f.jpg","Фото")</f>
      </c>
    </row>
    <row r="817">
      <c r="A817" s="7">
        <f>HYPERLINK("http://www.lingerieopt.ru/item/3474-poluprozrachnji-lif-bikini-iz-setochki/","3474")</f>
      </c>
      <c r="B817" s="8" t="s">
        <v>814</v>
      </c>
      <c r="C817" s="9">
        <v>229</v>
      </c>
      <c r="D817" s="0">
        <v>31</v>
      </c>
      <c r="E817" s="10">
        <f>HYPERLINK("http://www.lingerieopt.ru/images/original/b7505186-08b7-4247-8381-b46f6d97d35a.jpg","Фото")</f>
      </c>
    </row>
    <row r="818">
      <c r="A818" s="7">
        <f>HYPERLINK("http://www.lingerieopt.ru/item/3474-poluprozrachnji-lif-bikini-iz-setochki/","3474")</f>
      </c>
      <c r="B818" s="8" t="s">
        <v>815</v>
      </c>
      <c r="C818" s="9">
        <v>229</v>
      </c>
      <c r="D818" s="0">
        <v>30</v>
      </c>
      <c r="E818" s="10">
        <f>HYPERLINK("http://www.lingerieopt.ru/images/original/b7505186-08b7-4247-8381-b46f6d97d35a.jpg","Фото")</f>
      </c>
    </row>
    <row r="819">
      <c r="A819" s="7">
        <f>HYPERLINK("http://www.lingerieopt.ru/item/3474-poluprozrachnji-lif-bikini-iz-setochki/","3474")</f>
      </c>
      <c r="B819" s="8" t="s">
        <v>816</v>
      </c>
      <c r="C819" s="9">
        <v>229</v>
      </c>
      <c r="D819" s="0">
        <v>31</v>
      </c>
      <c r="E819" s="10">
        <f>HYPERLINK("http://www.lingerieopt.ru/images/original/b7505186-08b7-4247-8381-b46f6d97d35a.jpg","Фото")</f>
      </c>
    </row>
    <row r="820">
      <c r="A820" s="7">
        <f>HYPERLINK("http://www.lingerieopt.ru/item/3474-poluprozrachnji-lif-bikini-iz-setochki/","3474")</f>
      </c>
      <c r="B820" s="8" t="s">
        <v>817</v>
      </c>
      <c r="C820" s="9">
        <v>229</v>
      </c>
      <c r="D820" s="0">
        <v>30</v>
      </c>
      <c r="E820" s="10">
        <f>HYPERLINK("http://www.lingerieopt.ru/images/original/b7505186-08b7-4247-8381-b46f6d97d35a.jpg","Фото")</f>
      </c>
    </row>
    <row r="821">
      <c r="A821" s="7">
        <f>HYPERLINK("http://www.lingerieopt.ru/item/3474-poluprozrachnji-lif-bikini-iz-setochki/","3474")</f>
      </c>
      <c r="B821" s="8" t="s">
        <v>818</v>
      </c>
      <c r="C821" s="9">
        <v>229</v>
      </c>
      <c r="D821" s="0">
        <v>31</v>
      </c>
      <c r="E821" s="10">
        <f>HYPERLINK("http://www.lingerieopt.ru/images/original/b7505186-08b7-4247-8381-b46f6d97d35a.jpg","Фото")</f>
      </c>
    </row>
    <row r="822">
      <c r="A822" s="7">
        <f>HYPERLINK("http://www.lingerieopt.ru/item/3474-poluprozrachnji-lif-bikini-iz-setochki/","3474")</f>
      </c>
      <c r="B822" s="8" t="s">
        <v>819</v>
      </c>
      <c r="C822" s="9">
        <v>229</v>
      </c>
      <c r="D822" s="0">
        <v>30</v>
      </c>
      <c r="E822" s="10">
        <f>HYPERLINK("http://www.lingerieopt.ru/images/original/b7505186-08b7-4247-8381-b46f6d97d35a.jpg","Фото")</f>
      </c>
    </row>
    <row r="823">
      <c r="A823" s="7">
        <f>HYPERLINK("http://www.lingerieopt.ru/item/3476-push-ap-byustgalter-charm/","3476")</f>
      </c>
      <c r="B823" s="8" t="s">
        <v>820</v>
      </c>
      <c r="C823" s="9">
        <v>754</v>
      </c>
      <c r="D823" s="0">
        <v>3</v>
      </c>
      <c r="E823" s="10">
        <f>HYPERLINK("http://www.lingerieopt.ru/images/original/d2a2a579-6f1e-457c-8bc7-2b5ff7698506.jpg","Фото")</f>
      </c>
    </row>
    <row r="824">
      <c r="A824" s="7">
        <f>HYPERLINK("http://www.lingerieopt.ru/item/3476-push-ap-byustgalter-charm/","3476")</f>
      </c>
      <c r="B824" s="8" t="s">
        <v>821</v>
      </c>
      <c r="C824" s="9">
        <v>754</v>
      </c>
      <c r="D824" s="0">
        <v>3</v>
      </c>
      <c r="E824" s="10">
        <f>HYPERLINK("http://www.lingerieopt.ru/images/original/d2a2a579-6f1e-457c-8bc7-2b5ff7698506.jpg","Фото")</f>
      </c>
    </row>
    <row r="825">
      <c r="A825" s="7">
        <f>HYPERLINK("http://www.lingerieopt.ru/item/3476-push-ap-byustgalter-charm/","3476")</f>
      </c>
      <c r="B825" s="8" t="s">
        <v>822</v>
      </c>
      <c r="C825" s="9">
        <v>754</v>
      </c>
      <c r="D825" s="0">
        <v>6</v>
      </c>
      <c r="E825" s="10">
        <f>HYPERLINK("http://www.lingerieopt.ru/images/original/d2a2a579-6f1e-457c-8bc7-2b5ff7698506.jpg","Фото")</f>
      </c>
    </row>
    <row r="826">
      <c r="A826" s="7">
        <f>HYPERLINK("http://www.lingerieopt.ru/item/3476-push-ap-byustgalter-charm/","3476")</f>
      </c>
      <c r="B826" s="8" t="s">
        <v>823</v>
      </c>
      <c r="C826" s="9">
        <v>754</v>
      </c>
      <c r="D826" s="0">
        <v>3</v>
      </c>
      <c r="E826" s="10">
        <f>HYPERLINK("http://www.lingerieopt.ru/images/original/d2a2a579-6f1e-457c-8bc7-2b5ff7698506.jpg","Фото")</f>
      </c>
    </row>
    <row r="827">
      <c r="A827" s="7">
        <f>HYPERLINK("http://www.lingerieopt.ru/item/3476-push-ap-byustgalter-charm/","3476")</f>
      </c>
      <c r="B827" s="8" t="s">
        <v>824</v>
      </c>
      <c r="C827" s="9">
        <v>754</v>
      </c>
      <c r="D827" s="0">
        <v>0</v>
      </c>
      <c r="E827" s="10">
        <f>HYPERLINK("http://www.lingerieopt.ru/images/original/d2a2a579-6f1e-457c-8bc7-2b5ff7698506.jpg","Фото")</f>
      </c>
    </row>
    <row r="828">
      <c r="A828" s="7">
        <f>HYPERLINK("http://www.lingerieopt.ru/item/3476-push-ap-byustgalter-charm/","3476")</f>
      </c>
      <c r="B828" s="8" t="s">
        <v>825</v>
      </c>
      <c r="C828" s="9">
        <v>754</v>
      </c>
      <c r="D828" s="0">
        <v>6</v>
      </c>
      <c r="E828" s="10">
        <f>HYPERLINK("http://www.lingerieopt.ru/images/original/d2a2a579-6f1e-457c-8bc7-2b5ff7698506.jpg","Фото")</f>
      </c>
    </row>
    <row r="829">
      <c r="A829" s="7">
        <f>HYPERLINK("http://www.lingerieopt.ru/item/3476-push-ap-byustgalter-charm/","3476")</f>
      </c>
      <c r="B829" s="8" t="s">
        <v>826</v>
      </c>
      <c r="C829" s="9">
        <v>754</v>
      </c>
      <c r="D829" s="0">
        <v>3</v>
      </c>
      <c r="E829" s="10">
        <f>HYPERLINK("http://www.lingerieopt.ru/images/original/d2a2a579-6f1e-457c-8bc7-2b5ff7698506.jpg","Фото")</f>
      </c>
    </row>
    <row r="830">
      <c r="A830" s="7">
        <f>HYPERLINK("http://www.lingerieopt.ru/item/3476-push-ap-byustgalter-charm/","3476")</f>
      </c>
      <c r="B830" s="8" t="s">
        <v>827</v>
      </c>
      <c r="C830" s="9">
        <v>754</v>
      </c>
      <c r="D830" s="0">
        <v>6</v>
      </c>
      <c r="E830" s="10">
        <f>HYPERLINK("http://www.lingerieopt.ru/images/original/d2a2a579-6f1e-457c-8bc7-2b5ff7698506.jpg","Фото")</f>
      </c>
    </row>
    <row r="831">
      <c r="A831" s="7">
        <f>HYPERLINK("http://www.lingerieopt.ru/item/3476-push-ap-byustgalter-charm/","3476")</f>
      </c>
      <c r="B831" s="8" t="s">
        <v>828</v>
      </c>
      <c r="C831" s="9">
        <v>754</v>
      </c>
      <c r="D831" s="0">
        <v>3</v>
      </c>
      <c r="E831" s="10">
        <f>HYPERLINK("http://www.lingerieopt.ru/images/original/d2a2a579-6f1e-457c-8bc7-2b5ff7698506.jpg","Фото")</f>
      </c>
    </row>
    <row r="832">
      <c r="A832" s="7">
        <f>HYPERLINK("http://www.lingerieopt.ru/item/3476-push-ap-byustgalter-charm/","3476")</f>
      </c>
      <c r="B832" s="8" t="s">
        <v>829</v>
      </c>
      <c r="C832" s="9">
        <v>754</v>
      </c>
      <c r="D832" s="0">
        <v>6</v>
      </c>
      <c r="E832" s="10">
        <f>HYPERLINK("http://www.lingerieopt.ru/images/original/d2a2a579-6f1e-457c-8bc7-2b5ff7698506.jpg","Фото")</f>
      </c>
    </row>
    <row r="833">
      <c r="A833" s="7">
        <f>HYPERLINK("http://www.lingerieopt.ru/item/3476-push-ap-byustgalter-charm/","3476")</f>
      </c>
      <c r="B833" s="8" t="s">
        <v>830</v>
      </c>
      <c r="C833" s="9">
        <v>754</v>
      </c>
      <c r="D833" s="0">
        <v>6</v>
      </c>
      <c r="E833" s="10">
        <f>HYPERLINK("http://www.lingerieopt.ru/images/original/d2a2a579-6f1e-457c-8bc7-2b5ff7698506.jpg","Фото")</f>
      </c>
    </row>
    <row r="834">
      <c r="A834" s="7">
        <f>HYPERLINK("http://www.lingerieopt.ru/item/3476-push-ap-byustgalter-charm/","3476")</f>
      </c>
      <c r="B834" s="8" t="s">
        <v>831</v>
      </c>
      <c r="C834" s="9">
        <v>754</v>
      </c>
      <c r="D834" s="0">
        <v>7</v>
      </c>
      <c r="E834" s="10">
        <f>HYPERLINK("http://www.lingerieopt.ru/images/original/d2a2a579-6f1e-457c-8bc7-2b5ff7698506.jpg","Фото")</f>
      </c>
    </row>
    <row r="835">
      <c r="A835" s="7">
        <f>HYPERLINK("http://www.lingerieopt.ru/item/3476-push-ap-byustgalter-charm/","3476")</f>
      </c>
      <c r="B835" s="8" t="s">
        <v>832</v>
      </c>
      <c r="C835" s="9">
        <v>754</v>
      </c>
      <c r="D835" s="0">
        <v>6</v>
      </c>
      <c r="E835" s="10">
        <f>HYPERLINK("http://www.lingerieopt.ru/images/original/d2a2a579-6f1e-457c-8bc7-2b5ff7698506.jpg","Фото")</f>
      </c>
    </row>
    <row r="836">
      <c r="A836" s="7">
        <f>HYPERLINK("http://www.lingerieopt.ru/item/3476-push-ap-byustgalter-charm/","3476")</f>
      </c>
      <c r="B836" s="8" t="s">
        <v>833</v>
      </c>
      <c r="C836" s="9">
        <v>754</v>
      </c>
      <c r="D836" s="0">
        <v>6</v>
      </c>
      <c r="E836" s="10">
        <f>HYPERLINK("http://www.lingerieopt.ru/images/original/d2a2a579-6f1e-457c-8bc7-2b5ff7698506.jpg","Фото")</f>
      </c>
    </row>
    <row r="837">
      <c r="A837" s="7">
        <f>HYPERLINK("http://www.lingerieopt.ru/item/3476-push-ap-byustgalter-charm/","3476")</f>
      </c>
      <c r="B837" s="8" t="s">
        <v>834</v>
      </c>
      <c r="C837" s="9">
        <v>754</v>
      </c>
      <c r="D837" s="0">
        <v>6</v>
      </c>
      <c r="E837" s="10">
        <f>HYPERLINK("http://www.lingerieopt.ru/images/original/d2a2a579-6f1e-457c-8bc7-2b5ff7698506.jpg","Фото")</f>
      </c>
    </row>
    <row r="838">
      <c r="A838" s="7">
        <f>HYPERLINK("http://www.lingerieopt.ru/item/3476-push-ap-byustgalter-charm/","3476")</f>
      </c>
      <c r="B838" s="8" t="s">
        <v>835</v>
      </c>
      <c r="C838" s="9">
        <v>754</v>
      </c>
      <c r="D838" s="0">
        <v>6</v>
      </c>
      <c r="E838" s="10">
        <f>HYPERLINK("http://www.lingerieopt.ru/images/original/d2a2a579-6f1e-457c-8bc7-2b5ff7698506.jpg","Фото")</f>
      </c>
    </row>
    <row r="839">
      <c r="A839" s="7">
        <f>HYPERLINK("http://www.lingerieopt.ru/item/3476-push-ap-byustgalter-charm/","3476")</f>
      </c>
      <c r="B839" s="8" t="s">
        <v>836</v>
      </c>
      <c r="C839" s="9">
        <v>754</v>
      </c>
      <c r="D839" s="0">
        <v>6</v>
      </c>
      <c r="E839" s="10">
        <f>HYPERLINK("http://www.lingerieopt.ru/images/original/d2a2a579-6f1e-457c-8bc7-2b5ff7698506.jpg","Фото")</f>
      </c>
    </row>
    <row r="840">
      <c r="A840" s="7">
        <f>HYPERLINK("http://www.lingerieopt.ru/item/3476-push-ap-byustgalter-charm/","3476")</f>
      </c>
      <c r="B840" s="8" t="s">
        <v>837</v>
      </c>
      <c r="C840" s="9">
        <v>754</v>
      </c>
      <c r="D840" s="0">
        <v>6</v>
      </c>
      <c r="E840" s="10">
        <f>HYPERLINK("http://www.lingerieopt.ru/images/original/d2a2a579-6f1e-457c-8bc7-2b5ff7698506.jpg","Фото")</f>
      </c>
    </row>
    <row r="841">
      <c r="A841" s="7">
        <f>HYPERLINK("http://www.lingerieopt.ru/item/3476-push-ap-byustgalter-charm/","3476")</f>
      </c>
      <c r="B841" s="8" t="s">
        <v>838</v>
      </c>
      <c r="C841" s="9">
        <v>754</v>
      </c>
      <c r="D841" s="0">
        <v>6</v>
      </c>
      <c r="E841" s="10">
        <f>HYPERLINK("http://www.lingerieopt.ru/images/original/d2a2a579-6f1e-457c-8bc7-2b5ff7698506.jpg","Фото")</f>
      </c>
    </row>
    <row r="842">
      <c r="A842" s="7">
        <f>HYPERLINK("http://www.lingerieopt.ru/item/3476-push-ap-byustgalter-charm/","3476")</f>
      </c>
      <c r="B842" s="8" t="s">
        <v>839</v>
      </c>
      <c r="C842" s="9">
        <v>754</v>
      </c>
      <c r="D842" s="0">
        <v>6</v>
      </c>
      <c r="E842" s="10">
        <f>HYPERLINK("http://www.lingerieopt.ru/images/original/d2a2a579-6f1e-457c-8bc7-2b5ff7698506.jpg","Фото")</f>
      </c>
    </row>
    <row r="843">
      <c r="A843" s="7">
        <f>HYPERLINK("http://www.lingerieopt.ru/item/3476-push-ap-byustgalter-charm/","3476")</f>
      </c>
      <c r="B843" s="8" t="s">
        <v>840</v>
      </c>
      <c r="C843" s="9">
        <v>754</v>
      </c>
      <c r="D843" s="0">
        <v>6</v>
      </c>
      <c r="E843" s="10">
        <f>HYPERLINK("http://www.lingerieopt.ru/images/original/d2a2a579-6f1e-457c-8bc7-2b5ff7698506.jpg","Фото")</f>
      </c>
    </row>
    <row r="844">
      <c r="A844" s="7">
        <f>HYPERLINK("http://www.lingerieopt.ru/item/3476-push-ap-byustgalter-charm/","3476")</f>
      </c>
      <c r="B844" s="8" t="s">
        <v>841</v>
      </c>
      <c r="C844" s="9">
        <v>754</v>
      </c>
      <c r="D844" s="0">
        <v>6</v>
      </c>
      <c r="E844" s="10">
        <f>HYPERLINK("http://www.lingerieopt.ru/images/original/d2a2a579-6f1e-457c-8bc7-2b5ff7698506.jpg","Фото")</f>
      </c>
    </row>
    <row r="845">
      <c r="A845" s="7">
        <f>HYPERLINK("http://www.lingerieopt.ru/item/3476-push-ap-byustgalter-charm/","3476")</f>
      </c>
      <c r="B845" s="8" t="s">
        <v>842</v>
      </c>
      <c r="C845" s="9">
        <v>754</v>
      </c>
      <c r="D845" s="0">
        <v>6</v>
      </c>
      <c r="E845" s="10">
        <f>HYPERLINK("http://www.lingerieopt.ru/images/original/d2a2a579-6f1e-457c-8bc7-2b5ff7698506.jpg","Фото")</f>
      </c>
    </row>
    <row r="846">
      <c r="A846" s="7">
        <f>HYPERLINK("http://www.lingerieopt.ru/item/3476-push-ap-byustgalter-charm/","3476")</f>
      </c>
      <c r="B846" s="8" t="s">
        <v>843</v>
      </c>
      <c r="C846" s="9">
        <v>754</v>
      </c>
      <c r="D846" s="0">
        <v>3</v>
      </c>
      <c r="E846" s="10">
        <f>HYPERLINK("http://www.lingerieopt.ru/images/original/d2a2a579-6f1e-457c-8bc7-2b5ff7698506.jpg","Фото")</f>
      </c>
    </row>
    <row r="847">
      <c r="A847" s="7">
        <f>HYPERLINK("http://www.lingerieopt.ru/item/3476-push-ap-byustgalter-charm/","3476")</f>
      </c>
      <c r="B847" s="8" t="s">
        <v>844</v>
      </c>
      <c r="C847" s="9">
        <v>754</v>
      </c>
      <c r="D847" s="0">
        <v>6</v>
      </c>
      <c r="E847" s="10">
        <f>HYPERLINK("http://www.lingerieopt.ru/images/original/d2a2a579-6f1e-457c-8bc7-2b5ff7698506.jpg","Фото")</f>
      </c>
    </row>
    <row r="848">
      <c r="A848" s="7">
        <f>HYPERLINK("http://www.lingerieopt.ru/item/3476-push-ap-byustgalter-charm/","3476")</f>
      </c>
      <c r="B848" s="8" t="s">
        <v>845</v>
      </c>
      <c r="C848" s="9">
        <v>754</v>
      </c>
      <c r="D848" s="0">
        <v>6</v>
      </c>
      <c r="E848" s="10">
        <f>HYPERLINK("http://www.lingerieopt.ru/images/original/d2a2a579-6f1e-457c-8bc7-2b5ff7698506.jpg","Фото")</f>
      </c>
    </row>
    <row r="849">
      <c r="A849" s="7">
        <f>HYPERLINK("http://www.lingerieopt.ru/item/3476-push-ap-byustgalter-charm/","3476")</f>
      </c>
      <c r="B849" s="8" t="s">
        <v>846</v>
      </c>
      <c r="C849" s="9">
        <v>754</v>
      </c>
      <c r="D849" s="0">
        <v>6</v>
      </c>
      <c r="E849" s="10">
        <f>HYPERLINK("http://www.lingerieopt.ru/images/original/d2a2a579-6f1e-457c-8bc7-2b5ff7698506.jpg","Фото")</f>
      </c>
    </row>
    <row r="850">
      <c r="A850" s="7">
        <f>HYPERLINK("http://www.lingerieopt.ru/item/3476-push-ap-byustgalter-charm/","3476")</f>
      </c>
      <c r="B850" s="8" t="s">
        <v>847</v>
      </c>
      <c r="C850" s="9">
        <v>754</v>
      </c>
      <c r="D850" s="0">
        <v>0</v>
      </c>
      <c r="E850" s="10">
        <f>HYPERLINK("http://www.lingerieopt.ru/images/original/d2a2a579-6f1e-457c-8bc7-2b5ff7698506.jpg","Фото")</f>
      </c>
    </row>
    <row r="851">
      <c r="A851" s="7">
        <f>HYPERLINK("http://www.lingerieopt.ru/item/3476-push-ap-byustgalter-charm/","3476")</f>
      </c>
      <c r="B851" s="8" t="s">
        <v>848</v>
      </c>
      <c r="C851" s="9">
        <v>754</v>
      </c>
      <c r="D851" s="0">
        <v>0</v>
      </c>
      <c r="E851" s="10">
        <f>HYPERLINK("http://www.lingerieopt.ru/images/original/d2a2a579-6f1e-457c-8bc7-2b5ff7698506.jpg","Фото")</f>
      </c>
    </row>
    <row r="852">
      <c r="A852" s="7">
        <f>HYPERLINK("http://www.lingerieopt.ru/item/3476-push-ap-byustgalter-charm/","3476")</f>
      </c>
      <c r="B852" s="8" t="s">
        <v>849</v>
      </c>
      <c r="C852" s="9">
        <v>754</v>
      </c>
      <c r="D852" s="0">
        <v>6</v>
      </c>
      <c r="E852" s="10">
        <f>HYPERLINK("http://www.lingerieopt.ru/images/original/d2a2a579-6f1e-457c-8bc7-2b5ff7698506.jpg","Фото")</f>
      </c>
    </row>
    <row r="853">
      <c r="A853" s="7">
        <f>HYPERLINK("http://www.lingerieopt.ru/item/3477-podderzhivayuschii-lif-s-reguliruemjmi-bretelyami/","3477")</f>
      </c>
      <c r="B853" s="8" t="s">
        <v>850</v>
      </c>
      <c r="C853" s="9">
        <v>754</v>
      </c>
      <c r="D853" s="0">
        <v>0</v>
      </c>
      <c r="E853" s="10">
        <f>HYPERLINK("http://www.lingerieopt.ru/images/original/3ed8ffd1-e8fa-4f48-b938-ba966df79fa9.jpg","Фото")</f>
      </c>
    </row>
    <row r="854">
      <c r="A854" s="7">
        <f>HYPERLINK("http://www.lingerieopt.ru/item/3477-podderzhivayuschii-lif-s-reguliruemjmi-bretelyami/","3477")</f>
      </c>
      <c r="B854" s="8" t="s">
        <v>851</v>
      </c>
      <c r="C854" s="9">
        <v>754</v>
      </c>
      <c r="D854" s="0">
        <v>0</v>
      </c>
      <c r="E854" s="10">
        <f>HYPERLINK("http://www.lingerieopt.ru/images/original/3ed8ffd1-e8fa-4f48-b938-ba966df79fa9.jpg","Фото")</f>
      </c>
    </row>
    <row r="855">
      <c r="A855" s="7">
        <f>HYPERLINK("http://www.lingerieopt.ru/item/3477-podderzhivayuschii-lif-s-reguliruemjmi-bretelyami/","3477")</f>
      </c>
      <c r="B855" s="8" t="s">
        <v>852</v>
      </c>
      <c r="C855" s="9">
        <v>754</v>
      </c>
      <c r="D855" s="0">
        <v>6</v>
      </c>
      <c r="E855" s="10">
        <f>HYPERLINK("http://www.lingerieopt.ru/images/original/3ed8ffd1-e8fa-4f48-b938-ba966df79fa9.jpg","Фото")</f>
      </c>
    </row>
    <row r="856">
      <c r="A856" s="7">
        <f>HYPERLINK("http://www.lingerieopt.ru/item/3477-podderzhivayuschii-lif-s-reguliruemjmi-bretelyami/","3477")</f>
      </c>
      <c r="B856" s="8" t="s">
        <v>853</v>
      </c>
      <c r="C856" s="9">
        <v>754</v>
      </c>
      <c r="D856" s="0">
        <v>6</v>
      </c>
      <c r="E856" s="10">
        <f>HYPERLINK("http://www.lingerieopt.ru/images/original/3ed8ffd1-e8fa-4f48-b938-ba966df79fa9.jpg","Фото")</f>
      </c>
    </row>
    <row r="857">
      <c r="A857" s="7">
        <f>HYPERLINK("http://www.lingerieopt.ru/item/3477-podderzhivayuschii-lif-s-reguliruemjmi-bretelyami/","3477")</f>
      </c>
      <c r="B857" s="8" t="s">
        <v>854</v>
      </c>
      <c r="C857" s="9">
        <v>754</v>
      </c>
      <c r="D857" s="0">
        <v>1</v>
      </c>
      <c r="E857" s="10">
        <f>HYPERLINK("http://www.lingerieopt.ru/images/original/3ed8ffd1-e8fa-4f48-b938-ba966df79fa9.jpg","Фото")</f>
      </c>
    </row>
    <row r="858">
      <c r="A858" s="7">
        <f>HYPERLINK("http://www.lingerieopt.ru/item/3477-podderzhivayuschii-lif-s-reguliruemjmi-bretelyami/","3477")</f>
      </c>
      <c r="B858" s="8" t="s">
        <v>855</v>
      </c>
      <c r="C858" s="9">
        <v>754</v>
      </c>
      <c r="D858" s="0">
        <v>6</v>
      </c>
      <c r="E858" s="10">
        <f>HYPERLINK("http://www.lingerieopt.ru/images/original/3ed8ffd1-e8fa-4f48-b938-ba966df79fa9.jpg","Фото")</f>
      </c>
    </row>
    <row r="859">
      <c r="A859" s="7">
        <f>HYPERLINK("http://www.lingerieopt.ru/item/3477-podderzhivayuschii-lif-s-reguliruemjmi-bretelyami/","3477")</f>
      </c>
      <c r="B859" s="8" t="s">
        <v>856</v>
      </c>
      <c r="C859" s="9">
        <v>754</v>
      </c>
      <c r="D859" s="0">
        <v>1</v>
      </c>
      <c r="E859" s="10">
        <f>HYPERLINK("http://www.lingerieopt.ru/images/original/3ed8ffd1-e8fa-4f48-b938-ba966df79fa9.jpg","Фото")</f>
      </c>
    </row>
    <row r="860">
      <c r="A860" s="7">
        <f>HYPERLINK("http://www.lingerieopt.ru/item/3477-podderzhivayuschii-lif-s-reguliruemjmi-bretelyami/","3477")</f>
      </c>
      <c r="B860" s="8" t="s">
        <v>857</v>
      </c>
      <c r="C860" s="9">
        <v>754</v>
      </c>
      <c r="D860" s="0">
        <v>30</v>
      </c>
      <c r="E860" s="10">
        <f>HYPERLINK("http://www.lingerieopt.ru/images/original/3ed8ffd1-e8fa-4f48-b938-ba966df79fa9.jpg","Фото")</f>
      </c>
    </row>
    <row r="861">
      <c r="A861" s="7">
        <f>HYPERLINK("http://www.lingerieopt.ru/item/3477-podderzhivayuschii-lif-s-reguliruemjmi-bretelyami/","3477")</f>
      </c>
      <c r="B861" s="8" t="s">
        <v>858</v>
      </c>
      <c r="C861" s="9">
        <v>754</v>
      </c>
      <c r="D861" s="0">
        <v>6</v>
      </c>
      <c r="E861" s="10">
        <f>HYPERLINK("http://www.lingerieopt.ru/images/original/3ed8ffd1-e8fa-4f48-b938-ba966df79fa9.jpg","Фото")</f>
      </c>
    </row>
    <row r="862">
      <c r="A862" s="7">
        <f>HYPERLINK("http://www.lingerieopt.ru/item/3477-podderzhivayuschii-lif-s-reguliruemjmi-bretelyami/","3477")</f>
      </c>
      <c r="B862" s="8" t="s">
        <v>859</v>
      </c>
      <c r="C862" s="9">
        <v>754</v>
      </c>
      <c r="D862" s="0">
        <v>30</v>
      </c>
      <c r="E862" s="10">
        <f>HYPERLINK("http://www.lingerieopt.ru/images/original/3ed8ffd1-e8fa-4f48-b938-ba966df79fa9.jpg","Фото")</f>
      </c>
    </row>
    <row r="863">
      <c r="A863" s="7">
        <f>HYPERLINK("http://www.lingerieopt.ru/item/3477-podderzhivayuschii-lif-s-reguliruemjmi-bretelyami/","3477")</f>
      </c>
      <c r="B863" s="8" t="s">
        <v>860</v>
      </c>
      <c r="C863" s="9">
        <v>754</v>
      </c>
      <c r="D863" s="0">
        <v>0</v>
      </c>
      <c r="E863" s="10">
        <f>HYPERLINK("http://www.lingerieopt.ru/images/original/3ed8ffd1-e8fa-4f48-b938-ba966df79fa9.jpg","Фото")</f>
      </c>
    </row>
    <row r="864">
      <c r="A864" s="7">
        <f>HYPERLINK("http://www.lingerieopt.ru/item/3477-podderzhivayuschii-lif-s-reguliruemjmi-bretelyami/","3477")</f>
      </c>
      <c r="B864" s="8" t="s">
        <v>861</v>
      </c>
      <c r="C864" s="9">
        <v>754</v>
      </c>
      <c r="D864" s="0">
        <v>6</v>
      </c>
      <c r="E864" s="10">
        <f>HYPERLINK("http://www.lingerieopt.ru/images/original/3ed8ffd1-e8fa-4f48-b938-ba966df79fa9.jpg","Фото")</f>
      </c>
    </row>
    <row r="865">
      <c r="A865" s="7">
        <f>HYPERLINK("http://www.lingerieopt.ru/item/3477-podderzhivayuschii-lif-s-reguliruemjmi-bretelyami/","3477")</f>
      </c>
      <c r="B865" s="8" t="s">
        <v>862</v>
      </c>
      <c r="C865" s="9">
        <v>754</v>
      </c>
      <c r="D865" s="0">
        <v>0</v>
      </c>
      <c r="E865" s="10">
        <f>HYPERLINK("http://www.lingerieopt.ru/images/original/3ed8ffd1-e8fa-4f48-b938-ba966df79fa9.jpg","Фото")</f>
      </c>
    </row>
    <row r="866">
      <c r="A866" s="7">
        <f>HYPERLINK("http://www.lingerieopt.ru/item/3477-podderzhivayuschii-lif-s-reguliruemjmi-bretelyami/","3477")</f>
      </c>
      <c r="B866" s="8" t="s">
        <v>863</v>
      </c>
      <c r="C866" s="9">
        <v>754</v>
      </c>
      <c r="D866" s="0">
        <v>30</v>
      </c>
      <c r="E866" s="10">
        <f>HYPERLINK("http://www.lingerieopt.ru/images/original/3ed8ffd1-e8fa-4f48-b938-ba966df79fa9.jpg","Фото")</f>
      </c>
    </row>
    <row r="867">
      <c r="A867" s="7">
        <f>HYPERLINK("http://www.lingerieopt.ru/item/3477-podderzhivayuschii-lif-s-reguliruemjmi-bretelyami/","3477")</f>
      </c>
      <c r="B867" s="8" t="s">
        <v>864</v>
      </c>
      <c r="C867" s="9">
        <v>754</v>
      </c>
      <c r="D867" s="0">
        <v>0</v>
      </c>
      <c r="E867" s="10">
        <f>HYPERLINK("http://www.lingerieopt.ru/images/original/3ed8ffd1-e8fa-4f48-b938-ba966df79fa9.jpg","Фото")</f>
      </c>
    </row>
    <row r="868">
      <c r="A868" s="7">
        <f>HYPERLINK("http://www.lingerieopt.ru/item/3477-podderzhivayuschii-lif-s-reguliruemjmi-bretelyami/","3477")</f>
      </c>
      <c r="B868" s="8" t="s">
        <v>865</v>
      </c>
      <c r="C868" s="9">
        <v>754</v>
      </c>
      <c r="D868" s="0">
        <v>6</v>
      </c>
      <c r="E868" s="10">
        <f>HYPERLINK("http://www.lingerieopt.ru/images/original/3ed8ffd1-e8fa-4f48-b938-ba966df79fa9.jpg","Фото")</f>
      </c>
    </row>
    <row r="869">
      <c r="A869" s="7">
        <f>HYPERLINK("http://www.lingerieopt.ru/item/3477-podderzhivayuschii-lif-s-reguliruemjmi-bretelyami/","3477")</f>
      </c>
      <c r="B869" s="8" t="s">
        <v>866</v>
      </c>
      <c r="C869" s="9">
        <v>754</v>
      </c>
      <c r="D869" s="0">
        <v>0</v>
      </c>
      <c r="E869" s="10">
        <f>HYPERLINK("http://www.lingerieopt.ru/images/original/3ed8ffd1-e8fa-4f48-b938-ba966df79fa9.jpg","Фото")</f>
      </c>
    </row>
    <row r="870">
      <c r="A870" s="7">
        <f>HYPERLINK("http://www.lingerieopt.ru/item/3477-podderzhivayuschii-lif-s-reguliruemjmi-bretelyami/","3477")</f>
      </c>
      <c r="B870" s="8" t="s">
        <v>867</v>
      </c>
      <c r="C870" s="9">
        <v>754</v>
      </c>
      <c r="D870" s="0">
        <v>30</v>
      </c>
      <c r="E870" s="10">
        <f>HYPERLINK("http://www.lingerieopt.ru/images/original/3ed8ffd1-e8fa-4f48-b938-ba966df79fa9.jpg","Фото")</f>
      </c>
    </row>
    <row r="871">
      <c r="A871" s="7">
        <f>HYPERLINK("http://www.lingerieopt.ru/item/3477-podderzhivayuschii-lif-s-reguliruemjmi-bretelyami/","3477")</f>
      </c>
      <c r="B871" s="8" t="s">
        <v>868</v>
      </c>
      <c r="C871" s="9">
        <v>754</v>
      </c>
      <c r="D871" s="0">
        <v>3</v>
      </c>
      <c r="E871" s="10">
        <f>HYPERLINK("http://www.lingerieopt.ru/images/original/3ed8ffd1-e8fa-4f48-b938-ba966df79fa9.jpg","Фото")</f>
      </c>
    </row>
    <row r="872">
      <c r="A872" s="7">
        <f>HYPERLINK("http://www.lingerieopt.ru/item/3477-podderzhivayuschii-lif-s-reguliruemjmi-bretelyami/","3477")</f>
      </c>
      <c r="B872" s="8" t="s">
        <v>869</v>
      </c>
      <c r="C872" s="9">
        <v>754</v>
      </c>
      <c r="D872" s="0">
        <v>0</v>
      </c>
      <c r="E872" s="10">
        <f>HYPERLINK("http://www.lingerieopt.ru/images/original/3ed8ffd1-e8fa-4f48-b938-ba966df79fa9.jpg","Фото")</f>
      </c>
    </row>
    <row r="873">
      <c r="A873" s="7">
        <f>HYPERLINK("http://www.lingerieopt.ru/item/3481-sportivnji-byustgalter-na-myagkoi-chashke-hustler/","3481")</f>
      </c>
      <c r="B873" s="8" t="s">
        <v>870</v>
      </c>
      <c r="C873" s="9">
        <v>559</v>
      </c>
      <c r="D873" s="0">
        <v>30</v>
      </c>
      <c r="E873" s="10">
        <f>HYPERLINK("http://www.lingerieopt.ru/images/original/76bdf216-c9ed-4e9c-8a47-79e53eecf116.jpg","Фото")</f>
      </c>
    </row>
    <row r="874">
      <c r="A874" s="7">
        <f>HYPERLINK("http://www.lingerieopt.ru/item/3481-sportivnji-byustgalter-na-myagkoi-chashke-hustler/","3481")</f>
      </c>
      <c r="B874" s="8" t="s">
        <v>871</v>
      </c>
      <c r="C874" s="9">
        <v>559</v>
      </c>
      <c r="D874" s="0">
        <v>0</v>
      </c>
      <c r="E874" s="10">
        <f>HYPERLINK("http://www.lingerieopt.ru/images/original/76bdf216-c9ed-4e9c-8a47-79e53eecf116.jpg","Фото")</f>
      </c>
    </row>
    <row r="875">
      <c r="A875" s="7">
        <f>HYPERLINK("http://www.lingerieopt.ru/item/3481-sportivnji-byustgalter-na-myagkoi-chashke-hustler/","3481")</f>
      </c>
      <c r="B875" s="8" t="s">
        <v>872</v>
      </c>
      <c r="C875" s="9">
        <v>559</v>
      </c>
      <c r="D875" s="0">
        <v>0</v>
      </c>
      <c r="E875" s="10">
        <f>HYPERLINK("http://www.lingerieopt.ru/images/original/76bdf216-c9ed-4e9c-8a47-79e53eecf116.jpg","Фото")</f>
      </c>
    </row>
    <row r="876">
      <c r="A876" s="7">
        <f>HYPERLINK("http://www.lingerieopt.ru/item/3481-sportivnji-byustgalter-na-myagkoi-chashke-hustler/","3481")</f>
      </c>
      <c r="B876" s="8" t="s">
        <v>873</v>
      </c>
      <c r="C876" s="9">
        <v>559</v>
      </c>
      <c r="D876" s="0">
        <v>30</v>
      </c>
      <c r="E876" s="10">
        <f>HYPERLINK("http://www.lingerieopt.ru/images/original/76bdf216-c9ed-4e9c-8a47-79e53eecf116.jpg","Фото")</f>
      </c>
    </row>
    <row r="877">
      <c r="A877" s="7">
        <f>HYPERLINK("http://www.lingerieopt.ru/item/3481-sportivnji-byustgalter-na-myagkoi-chashke-hustler/","3481")</f>
      </c>
      <c r="B877" s="8" t="s">
        <v>874</v>
      </c>
      <c r="C877" s="9">
        <v>559</v>
      </c>
      <c r="D877" s="0">
        <v>4</v>
      </c>
      <c r="E877" s="10">
        <f>HYPERLINK("http://www.lingerieopt.ru/images/original/76bdf216-c9ed-4e9c-8a47-79e53eecf116.jpg","Фото")</f>
      </c>
    </row>
    <row r="878">
      <c r="A878" s="7">
        <f>HYPERLINK("http://www.lingerieopt.ru/item/3481-sportivnji-byustgalter-na-myagkoi-chashke-hustler/","3481")</f>
      </c>
      <c r="B878" s="8" t="s">
        <v>875</v>
      </c>
      <c r="C878" s="9">
        <v>559</v>
      </c>
      <c r="D878" s="0">
        <v>0</v>
      </c>
      <c r="E878" s="10">
        <f>HYPERLINK("http://www.lingerieopt.ru/images/original/76bdf216-c9ed-4e9c-8a47-79e53eecf116.jpg","Фото")</f>
      </c>
    </row>
    <row r="879">
      <c r="A879" s="7">
        <f>HYPERLINK("http://www.lingerieopt.ru/item/3550-shirokii-lif-bando-s-nadpisyu-strazami-hustler/","3550")</f>
      </c>
      <c r="B879" s="8" t="s">
        <v>876</v>
      </c>
      <c r="C879" s="9">
        <v>373</v>
      </c>
      <c r="D879" s="0">
        <v>30</v>
      </c>
      <c r="E879" s="10">
        <f>HYPERLINK("http://www.lingerieopt.ru/images/original/d7577b72-5211-4036-b465-47d03cd12741.jpg","Фото")</f>
      </c>
    </row>
    <row r="880">
      <c r="A880" s="7">
        <f>HYPERLINK("http://www.lingerieopt.ru/item/3550-shirokii-lif-bando-s-nadpisyu-strazami-hustler/","3550")</f>
      </c>
      <c r="B880" s="8" t="s">
        <v>877</v>
      </c>
      <c r="C880" s="9">
        <v>373</v>
      </c>
      <c r="D880" s="0">
        <v>30</v>
      </c>
      <c r="E880" s="10">
        <f>HYPERLINK("http://www.lingerieopt.ru/images/original/d7577b72-5211-4036-b465-47d03cd12741.jpg","Фото")</f>
      </c>
    </row>
    <row r="881">
      <c r="A881" s="7">
        <f>HYPERLINK("http://www.lingerieopt.ru/item/3550-shirokii-lif-bando-s-nadpisyu-strazami-hustler/","3550")</f>
      </c>
      <c r="B881" s="8" t="s">
        <v>878</v>
      </c>
      <c r="C881" s="9">
        <v>373</v>
      </c>
      <c r="D881" s="0">
        <v>30</v>
      </c>
      <c r="E881" s="10">
        <f>HYPERLINK("http://www.lingerieopt.ru/images/original/d7577b72-5211-4036-b465-47d03cd12741.jpg","Фото")</f>
      </c>
    </row>
    <row r="882">
      <c r="A882" s="7">
        <f>HYPERLINK("http://www.lingerieopt.ru/item/3550-shirokii-lif-bando-s-nadpisyu-strazami-hustler/","3550")</f>
      </c>
      <c r="B882" s="8" t="s">
        <v>879</v>
      </c>
      <c r="C882" s="9">
        <v>373</v>
      </c>
      <c r="D882" s="0">
        <v>30</v>
      </c>
      <c r="E882" s="10">
        <f>HYPERLINK("http://www.lingerieopt.ru/images/original/d7577b72-5211-4036-b465-47d03cd12741.jpg","Фото")</f>
      </c>
    </row>
    <row r="883">
      <c r="A883" s="7">
        <f>HYPERLINK("http://www.lingerieopt.ru/item/4001-byustgalter-s-otkrjtoi-chashechkoi-i-otdelkoi-kruzhevom/","4001")</f>
      </c>
      <c r="B883" s="8" t="s">
        <v>880</v>
      </c>
      <c r="C883" s="9">
        <v>743</v>
      </c>
      <c r="D883" s="0">
        <v>0</v>
      </c>
      <c r="E883" s="10">
        <f>HYPERLINK("http://www.lingerieopt.ru/images/original/e6531cbe-38ca-48e0-adfc-432e067b5f82.jpg","Фото")</f>
      </c>
    </row>
    <row r="884">
      <c r="A884" s="7">
        <f>HYPERLINK("http://www.lingerieopt.ru/item/4001-byustgalter-s-otkrjtoi-chashechkoi-i-otdelkoi-kruzhevom/","4001")</f>
      </c>
      <c r="B884" s="8" t="s">
        <v>881</v>
      </c>
      <c r="C884" s="9">
        <v>743</v>
      </c>
      <c r="D884" s="0">
        <v>0</v>
      </c>
      <c r="E884" s="10">
        <f>HYPERLINK("http://www.lingerieopt.ru/images/original/e6531cbe-38ca-48e0-adfc-432e067b5f82.jpg","Фото")</f>
      </c>
    </row>
    <row r="885">
      <c r="A885" s="7">
        <f>HYPERLINK("http://www.lingerieopt.ru/item/4001-byustgalter-s-otkrjtoi-chashechkoi-i-otdelkoi-kruzhevom/","4001")</f>
      </c>
      <c r="B885" s="8" t="s">
        <v>882</v>
      </c>
      <c r="C885" s="9">
        <v>743</v>
      </c>
      <c r="D885" s="0">
        <v>0</v>
      </c>
      <c r="E885" s="10">
        <f>HYPERLINK("http://www.lingerieopt.ru/images/original/e6531cbe-38ca-48e0-adfc-432e067b5f82.jpg","Фото")</f>
      </c>
    </row>
    <row r="886">
      <c r="A886" s="7">
        <f>HYPERLINK("http://www.lingerieopt.ru/item/4001-byustgalter-s-otkrjtoi-chashechkoi-i-otdelkoi-kruzhevom/","4001")</f>
      </c>
      <c r="B886" s="8" t="s">
        <v>883</v>
      </c>
      <c r="C886" s="9">
        <v>743</v>
      </c>
      <c r="D886" s="0">
        <v>0</v>
      </c>
      <c r="E886" s="10">
        <f>HYPERLINK("http://www.lingerieopt.ru/images/original/e6531cbe-38ca-48e0-adfc-432e067b5f82.jpg","Фото")</f>
      </c>
    </row>
    <row r="887">
      <c r="A887" s="7">
        <f>HYPERLINK("http://www.lingerieopt.ru/item/4001-byustgalter-s-otkrjtoi-chashechkoi-i-otdelkoi-kruzhevom/","4001")</f>
      </c>
      <c r="B887" s="8" t="s">
        <v>884</v>
      </c>
      <c r="C887" s="9">
        <v>743</v>
      </c>
      <c r="D887" s="0">
        <v>2</v>
      </c>
      <c r="E887" s="10">
        <f>HYPERLINK("http://www.lingerieopt.ru/images/original/e6531cbe-38ca-48e0-adfc-432e067b5f82.jpg","Фото")</f>
      </c>
    </row>
    <row r="888">
      <c r="A888" s="7">
        <f>HYPERLINK("http://www.lingerieopt.ru/item/4001-byustgalter-s-otkrjtoi-chashechkoi-i-otdelkoi-kruzhevom/","4001")</f>
      </c>
      <c r="B888" s="8" t="s">
        <v>885</v>
      </c>
      <c r="C888" s="9">
        <v>743</v>
      </c>
      <c r="D888" s="0">
        <v>0</v>
      </c>
      <c r="E888" s="10">
        <f>HYPERLINK("http://www.lingerieopt.ru/images/original/e6531cbe-38ca-48e0-adfc-432e067b5f82.jpg","Фото")</f>
      </c>
    </row>
    <row r="889">
      <c r="A889" s="7">
        <f>HYPERLINK("http://www.lingerieopt.ru/item/4001-byustgalter-s-otkrjtoi-chashechkoi-i-otdelkoi-kruzhevom/","4001")</f>
      </c>
      <c r="B889" s="8" t="s">
        <v>886</v>
      </c>
      <c r="C889" s="9">
        <v>743</v>
      </c>
      <c r="D889" s="0">
        <v>0</v>
      </c>
      <c r="E889" s="10">
        <f>HYPERLINK("http://www.lingerieopt.ru/images/original/e6531cbe-38ca-48e0-adfc-432e067b5f82.jpg","Фото")</f>
      </c>
    </row>
    <row r="890">
      <c r="A890" s="7">
        <f>HYPERLINK("http://www.lingerieopt.ru/item/4001-byustgalter-s-otkrjtoi-chashechkoi-i-otdelkoi-kruzhevom/","4001")</f>
      </c>
      <c r="B890" s="8" t="s">
        <v>887</v>
      </c>
      <c r="C890" s="9">
        <v>743</v>
      </c>
      <c r="D890" s="0">
        <v>0</v>
      </c>
      <c r="E890" s="10">
        <f>HYPERLINK("http://www.lingerieopt.ru/images/original/e6531cbe-38ca-48e0-adfc-432e067b5f82.jpg","Фото")</f>
      </c>
    </row>
    <row r="891">
      <c r="A891" s="7">
        <f>HYPERLINK("http://www.lingerieopt.ru/item/4001-byustgalter-s-otkrjtoi-chashechkoi-i-otdelkoi-kruzhevom/","4001")</f>
      </c>
      <c r="B891" s="8" t="s">
        <v>888</v>
      </c>
      <c r="C891" s="9">
        <v>743</v>
      </c>
      <c r="D891" s="0">
        <v>0</v>
      </c>
      <c r="E891" s="10">
        <f>HYPERLINK("http://www.lingerieopt.ru/images/original/e6531cbe-38ca-48e0-adfc-432e067b5f82.jpg","Фото")</f>
      </c>
    </row>
    <row r="892">
      <c r="A892" s="7">
        <f>HYPERLINK("http://www.lingerieopt.ru/item/4001-byustgalter-s-otkrjtoi-chashechkoi-i-otdelkoi-kruzhevom/","4001")</f>
      </c>
      <c r="B892" s="8" t="s">
        <v>889</v>
      </c>
      <c r="C892" s="9">
        <v>743</v>
      </c>
      <c r="D892" s="0">
        <v>0</v>
      </c>
      <c r="E892" s="10">
        <f>HYPERLINK("http://www.lingerieopt.ru/images/original/e6531cbe-38ca-48e0-adfc-432e067b5f82.jpg","Фото")</f>
      </c>
    </row>
    <row r="893">
      <c r="A893" s="7">
        <f>HYPERLINK("http://www.lingerieopt.ru/item/4001-byustgalter-s-otkrjtoi-chashechkoi-i-otdelkoi-kruzhevom/","4001")</f>
      </c>
      <c r="B893" s="8" t="s">
        <v>890</v>
      </c>
      <c r="C893" s="9">
        <v>743</v>
      </c>
      <c r="D893" s="0">
        <v>6</v>
      </c>
      <c r="E893" s="10">
        <f>HYPERLINK("http://www.lingerieopt.ru/images/original/e6531cbe-38ca-48e0-adfc-432e067b5f82.jpg","Фото")</f>
      </c>
    </row>
    <row r="894">
      <c r="A894" s="7">
        <f>HYPERLINK("http://www.lingerieopt.ru/item/4181-uvelichivayuschii-grud-byustgalter-push-up-v-goroshek/","4181")</f>
      </c>
      <c r="B894" s="8" t="s">
        <v>891</v>
      </c>
      <c r="C894" s="9">
        <v>730</v>
      </c>
      <c r="D894" s="0">
        <v>0</v>
      </c>
      <c r="E894" s="10">
        <f>HYPERLINK("http://www.lingerieopt.ru/images/original/0ce1984d-88eb-46ba-9f54-18885a288391.jpg","Фото")</f>
      </c>
    </row>
    <row r="895">
      <c r="A895" s="7">
        <f>HYPERLINK("http://www.lingerieopt.ru/item/4181-uvelichivayuschii-grud-byustgalter-push-up-v-goroshek/","4181")</f>
      </c>
      <c r="B895" s="8" t="s">
        <v>892</v>
      </c>
      <c r="C895" s="9">
        <v>730</v>
      </c>
      <c r="D895" s="0">
        <v>1</v>
      </c>
      <c r="E895" s="10">
        <f>HYPERLINK("http://www.lingerieopt.ru/images/original/0ce1984d-88eb-46ba-9f54-18885a288391.jpg","Фото")</f>
      </c>
    </row>
    <row r="896">
      <c r="A896" s="7">
        <f>HYPERLINK("http://www.lingerieopt.ru/item/4181-uvelichivayuschii-grud-byustgalter-push-up-v-goroshek/","4181")</f>
      </c>
      <c r="B896" s="8" t="s">
        <v>893</v>
      </c>
      <c r="C896" s="9">
        <v>730</v>
      </c>
      <c r="D896" s="0">
        <v>0</v>
      </c>
      <c r="E896" s="10">
        <f>HYPERLINK("http://www.lingerieopt.ru/images/original/0ce1984d-88eb-46ba-9f54-18885a288391.jpg","Фото")</f>
      </c>
    </row>
    <row r="897">
      <c r="A897" s="7">
        <f>HYPERLINK("http://www.lingerieopt.ru/item/4181-uvelichivayuschii-grud-byustgalter-push-up-v-goroshek/","4181")</f>
      </c>
      <c r="B897" s="8" t="s">
        <v>894</v>
      </c>
      <c r="C897" s="9">
        <v>730</v>
      </c>
      <c r="D897" s="0">
        <v>30</v>
      </c>
      <c r="E897" s="10">
        <f>HYPERLINK("http://www.lingerieopt.ru/images/original/0ce1984d-88eb-46ba-9f54-18885a288391.jpg","Фото")</f>
      </c>
    </row>
    <row r="898">
      <c r="A898" s="7">
        <f>HYPERLINK("http://www.lingerieopt.ru/item/4213-byustgalter-push-up-s-bantikami/","4213")</f>
      </c>
      <c r="B898" s="8" t="s">
        <v>895</v>
      </c>
      <c r="C898" s="9">
        <v>730</v>
      </c>
      <c r="D898" s="0">
        <v>0</v>
      </c>
      <c r="E898" s="10">
        <f>HYPERLINK("http://www.lingerieopt.ru/images/original/9df40b01-d9d9-4109-9f87-92cc939e2126.jpg","Фото")</f>
      </c>
    </row>
    <row r="899">
      <c r="A899" s="7">
        <f>HYPERLINK("http://www.lingerieopt.ru/item/4213-byustgalter-push-up-s-bantikami/","4213")</f>
      </c>
      <c r="B899" s="8" t="s">
        <v>896</v>
      </c>
      <c r="C899" s="9">
        <v>730</v>
      </c>
      <c r="D899" s="0">
        <v>32</v>
      </c>
      <c r="E899" s="10">
        <f>HYPERLINK("http://www.lingerieopt.ru/images/original/9df40b01-d9d9-4109-9f87-92cc939e2126.jpg","Фото")</f>
      </c>
    </row>
    <row r="900">
      <c r="A900" s="7">
        <f>HYPERLINK("http://www.lingerieopt.ru/item/4213-byustgalter-push-up-s-bantikami/","4213")</f>
      </c>
      <c r="B900" s="8" t="s">
        <v>897</v>
      </c>
      <c r="C900" s="9">
        <v>730</v>
      </c>
      <c r="D900" s="0">
        <v>6</v>
      </c>
      <c r="E900" s="10">
        <f>HYPERLINK("http://www.lingerieopt.ru/images/original/9df40b01-d9d9-4109-9f87-92cc939e2126.jpg","Фото")</f>
      </c>
    </row>
    <row r="901">
      <c r="A901" s="7">
        <f>HYPERLINK("http://www.lingerieopt.ru/item/4213-byustgalter-push-up-s-bantikami/","4213")</f>
      </c>
      <c r="B901" s="8" t="s">
        <v>898</v>
      </c>
      <c r="C901" s="9">
        <v>730</v>
      </c>
      <c r="D901" s="0">
        <v>0</v>
      </c>
      <c r="E901" s="10">
        <f>HYPERLINK("http://www.lingerieopt.ru/images/original/9df40b01-d9d9-4109-9f87-92cc939e2126.jpg","Фото")</f>
      </c>
    </row>
    <row r="902">
      <c r="A902" s="7">
        <f>HYPERLINK("http://www.lingerieopt.ru/item/4213-byustgalter-push-up-s-bantikami/","4213")</f>
      </c>
      <c r="B902" s="8" t="s">
        <v>899</v>
      </c>
      <c r="C902" s="9">
        <v>730</v>
      </c>
      <c r="D902" s="0">
        <v>0</v>
      </c>
      <c r="E902" s="10">
        <f>HYPERLINK("http://www.lingerieopt.ru/images/original/9df40b01-d9d9-4109-9f87-92cc939e2126.jpg","Фото")</f>
      </c>
    </row>
    <row r="903">
      <c r="A903" s="7">
        <f>HYPERLINK("http://www.lingerieopt.ru/item/4213-byustgalter-push-up-s-bantikami/","4213")</f>
      </c>
      <c r="B903" s="8" t="s">
        <v>900</v>
      </c>
      <c r="C903" s="9">
        <v>730</v>
      </c>
      <c r="D903" s="0">
        <v>3</v>
      </c>
      <c r="E903" s="10">
        <f>HYPERLINK("http://www.lingerieopt.ru/images/original/9df40b01-d9d9-4109-9f87-92cc939e2126.jpg","Фото")</f>
      </c>
    </row>
    <row r="904">
      <c r="A904" s="7">
        <f>HYPERLINK("http://www.lingerieopt.ru/item/4213-byustgalter-push-up-s-bantikami/","4213")</f>
      </c>
      <c r="B904" s="8" t="s">
        <v>901</v>
      </c>
      <c r="C904" s="9">
        <v>730</v>
      </c>
      <c r="D904" s="0">
        <v>0</v>
      </c>
      <c r="E904" s="10">
        <f>HYPERLINK("http://www.lingerieopt.ru/images/original/9df40b01-d9d9-4109-9f87-92cc939e2126.jpg","Фото")</f>
      </c>
    </row>
    <row r="905">
      <c r="A905" s="7">
        <f>HYPERLINK("http://www.lingerieopt.ru/item/4213-byustgalter-push-up-s-bantikami/","4213")</f>
      </c>
      <c r="B905" s="8" t="s">
        <v>902</v>
      </c>
      <c r="C905" s="9">
        <v>730</v>
      </c>
      <c r="D905" s="0">
        <v>30</v>
      </c>
      <c r="E905" s="10">
        <f>HYPERLINK("http://www.lingerieopt.ru/images/original/9df40b01-d9d9-4109-9f87-92cc939e2126.jpg","Фото")</f>
      </c>
    </row>
    <row r="906">
      <c r="A906" s="7">
        <f>HYPERLINK("http://www.lingerieopt.ru/item/4540-silikonovji-bra-bez-bretelei-na-kleikoi-osnove/","4540")</f>
      </c>
      <c r="B906" s="8" t="s">
        <v>903</v>
      </c>
      <c r="C906" s="9">
        <v>1581</v>
      </c>
      <c r="D906" s="0">
        <v>0</v>
      </c>
      <c r="E906" s="10">
        <f>HYPERLINK("http://www.lingerieopt.ru/images/original/dc16726a-93ce-4660-8bce-a46b3bf79d62.jpg","Фото")</f>
      </c>
    </row>
    <row r="907">
      <c r="A907" s="7">
        <f>HYPERLINK("http://www.lingerieopt.ru/item/4540-silikonovji-bra-bez-bretelei-na-kleikoi-osnove/","4540")</f>
      </c>
      <c r="B907" s="8" t="s">
        <v>904</v>
      </c>
      <c r="C907" s="9">
        <v>1581</v>
      </c>
      <c r="D907" s="0">
        <v>0</v>
      </c>
      <c r="E907" s="10">
        <f>HYPERLINK("http://www.lingerieopt.ru/images/original/dc16726a-93ce-4660-8bce-a46b3bf79d62.jpg","Фото")</f>
      </c>
    </row>
    <row r="908">
      <c r="A908" s="7">
        <f>HYPERLINK("http://www.lingerieopt.ru/item/4540-silikonovji-bra-bez-bretelei-na-kleikoi-osnove/","4540")</f>
      </c>
      <c r="B908" s="8" t="s">
        <v>905</v>
      </c>
      <c r="C908" s="9">
        <v>1581</v>
      </c>
      <c r="D908" s="0">
        <v>1</v>
      </c>
      <c r="E908" s="10">
        <f>HYPERLINK("http://www.lingerieopt.ru/images/original/dc16726a-93ce-4660-8bce-a46b3bf79d62.jpg","Фото")</f>
      </c>
    </row>
    <row r="909">
      <c r="A909" s="7">
        <f>HYPERLINK("http://www.lingerieopt.ru/item/5058-byustgalter-brilliant-iz-serebryannjh-kristallov/","5058")</f>
      </c>
      <c r="B909" s="8" t="s">
        <v>906</v>
      </c>
      <c r="C909" s="9">
        <v>7473</v>
      </c>
      <c r="D909" s="0">
        <v>3</v>
      </c>
      <c r="E909" s="10">
        <f>HYPERLINK("http://www.lingerieopt.ru/images/original/86bb5c7f-35e7-48a5-8358-287b81101d9f.jpg","Фото")</f>
      </c>
    </row>
    <row r="910">
      <c r="A910" s="7">
        <f>HYPERLINK("http://www.lingerieopt.ru/item/5059-byustgalter-all-rhinestone-bra-iz-zolotjh-kristallov/","5059")</f>
      </c>
      <c r="B910" s="8" t="s">
        <v>907</v>
      </c>
      <c r="C910" s="9">
        <v>7774</v>
      </c>
      <c r="D910" s="0">
        <v>6</v>
      </c>
      <c r="E910" s="10">
        <f>HYPERLINK("http://www.lingerieopt.ru/images/original/bc470d93-8000-4fa9-b5e9-81b42a324827.jpg","Фото")</f>
      </c>
    </row>
    <row r="911">
      <c r="A911" s="7">
        <f>HYPERLINK("http://www.lingerieopt.ru/item/5060-byustgalter-all-rhinestone-bra-iz-serebryannjh-kristallov/","5060")</f>
      </c>
      <c r="B911" s="8" t="s">
        <v>908</v>
      </c>
      <c r="C911" s="9">
        <v>7774</v>
      </c>
      <c r="D911" s="0">
        <v>6</v>
      </c>
      <c r="E911" s="10">
        <f>HYPERLINK("http://www.lingerieopt.ru/images/original/a3fcf11a-fa8e-4ed0-8042-d36048a07702.jpg","Фото")</f>
      </c>
    </row>
    <row r="912">
      <c r="A912" s="7">
        <f>HYPERLINK("http://www.lingerieopt.ru/item/7493-neonovo-rozovji-planzh-byustgalter-s-push-ap/","7493")</f>
      </c>
      <c r="B912" s="8" t="s">
        <v>909</v>
      </c>
      <c r="C912" s="9">
        <v>1174</v>
      </c>
      <c r="D912" s="0">
        <v>6</v>
      </c>
      <c r="E912" s="10">
        <f>HYPERLINK("http://www.lingerieopt.ru/images/original/9853c54b-e246-4288-b41c-5ef6ebea6c1f.jpg","Фото")</f>
      </c>
    </row>
    <row r="913">
      <c r="A913" s="7">
        <f>HYPERLINK("http://www.lingerieopt.ru/item/7493-neonovo-rozovji-planzh-byustgalter-s-push-ap/","7493")</f>
      </c>
      <c r="B913" s="8" t="s">
        <v>910</v>
      </c>
      <c r="C913" s="9">
        <v>1174</v>
      </c>
      <c r="D913" s="0">
        <v>6</v>
      </c>
      <c r="E913" s="10">
        <f>HYPERLINK("http://www.lingerieopt.ru/images/original/9853c54b-e246-4288-b41c-5ef6ebea6c1f.jpg","Фото")</f>
      </c>
    </row>
    <row r="914">
      <c r="A914" s="7">
        <f>HYPERLINK("http://www.lingerieopt.ru/item/7493-neonovo-rozovji-planzh-byustgalter-s-push-ap/","7493")</f>
      </c>
      <c r="B914" s="8" t="s">
        <v>911</v>
      </c>
      <c r="C914" s="9">
        <v>1174</v>
      </c>
      <c r="D914" s="0">
        <v>6</v>
      </c>
      <c r="E914" s="10">
        <f>HYPERLINK("http://www.lingerieopt.ru/images/original/9853c54b-e246-4288-b41c-5ef6ebea6c1f.jpg","Фото")</f>
      </c>
    </row>
    <row r="915">
      <c r="A915" s="7">
        <f>HYPERLINK("http://www.lingerieopt.ru/item/7493-neonovo-rozovji-planzh-byustgalter-s-push-ap/","7493")</f>
      </c>
      <c r="B915" s="8" t="s">
        <v>912</v>
      </c>
      <c r="C915" s="9">
        <v>1174</v>
      </c>
      <c r="D915" s="0">
        <v>6</v>
      </c>
      <c r="E915" s="10">
        <f>HYPERLINK("http://www.lingerieopt.ru/images/original/9853c54b-e246-4288-b41c-5ef6ebea6c1f.jpg","Фото")</f>
      </c>
    </row>
    <row r="916">
      <c r="A916" s="7">
        <f>HYPERLINK("http://www.lingerieopt.ru/item/7493-neonovo-rozovji-planzh-byustgalter-s-push-ap/","7493")</f>
      </c>
      <c r="B916" s="8" t="s">
        <v>913</v>
      </c>
      <c r="C916" s="9">
        <v>1174</v>
      </c>
      <c r="D916" s="0">
        <v>6</v>
      </c>
      <c r="E916" s="10">
        <f>HYPERLINK("http://www.lingerieopt.ru/images/original/9853c54b-e246-4288-b41c-5ef6ebea6c1f.jpg","Фото")</f>
      </c>
    </row>
    <row r="917">
      <c r="A917" s="7">
        <f>HYPERLINK("http://www.lingerieopt.ru/item/7493-neonovo-rozovji-planzh-byustgalter-s-push-ap/","7493")</f>
      </c>
      <c r="B917" s="8" t="s">
        <v>914</v>
      </c>
      <c r="C917" s="9">
        <v>1174</v>
      </c>
      <c r="D917" s="0">
        <v>6</v>
      </c>
      <c r="E917" s="10">
        <f>HYPERLINK("http://www.lingerieopt.ru/images/original/9853c54b-e246-4288-b41c-5ef6ebea6c1f.jpg","Фото")</f>
      </c>
    </row>
    <row r="918">
      <c r="A918" s="7">
        <f>HYPERLINK("http://www.lingerieopt.ru/item/7494-byustgalter-s-push-ap-i-shnurovkoi-na-chashechkah/","7494")</f>
      </c>
      <c r="B918" s="8" t="s">
        <v>915</v>
      </c>
      <c r="C918" s="9">
        <v>1372</v>
      </c>
      <c r="D918" s="0">
        <v>6</v>
      </c>
      <c r="E918" s="10">
        <f>HYPERLINK("http://www.lingerieopt.ru/images/original/b093823f-fff8-44f4-ac4d-3a7d96c2e2ed.jpg","Фото")</f>
      </c>
    </row>
    <row r="919">
      <c r="A919" s="7">
        <f>HYPERLINK("http://www.lingerieopt.ru/item/7494-byustgalter-s-push-ap-i-shnurovkoi-na-chashechkah/","7494")</f>
      </c>
      <c r="B919" s="8" t="s">
        <v>916</v>
      </c>
      <c r="C919" s="9">
        <v>1372</v>
      </c>
      <c r="D919" s="0">
        <v>6</v>
      </c>
      <c r="E919" s="10">
        <f>HYPERLINK("http://www.lingerieopt.ru/images/original/b093823f-fff8-44f4-ac4d-3a7d96c2e2ed.jpg","Фото")</f>
      </c>
    </row>
    <row r="920">
      <c r="A920" s="7">
        <f>HYPERLINK("http://www.lingerieopt.ru/item/7494-byustgalter-s-push-ap-i-shnurovkoi-na-chashechkah/","7494")</f>
      </c>
      <c r="B920" s="8" t="s">
        <v>917</v>
      </c>
      <c r="C920" s="9">
        <v>1372</v>
      </c>
      <c r="D920" s="0">
        <v>6</v>
      </c>
      <c r="E920" s="10">
        <f>HYPERLINK("http://www.lingerieopt.ru/images/original/b093823f-fff8-44f4-ac4d-3a7d96c2e2ed.jpg","Фото")</f>
      </c>
    </row>
    <row r="921">
      <c r="A921" s="7">
        <f>HYPERLINK("http://www.lingerieopt.ru/item/7494-byustgalter-s-push-ap-i-shnurovkoi-na-chashechkah/","7494")</f>
      </c>
      <c r="B921" s="8" t="s">
        <v>918</v>
      </c>
      <c r="C921" s="9">
        <v>1372</v>
      </c>
      <c r="D921" s="0">
        <v>6</v>
      </c>
      <c r="E921" s="10">
        <f>HYPERLINK("http://www.lingerieopt.ru/images/original/b093823f-fff8-44f4-ac4d-3a7d96c2e2ed.jpg","Фото")</f>
      </c>
    </row>
    <row r="922">
      <c r="A922" s="7">
        <f>HYPERLINK("http://www.lingerieopt.ru/item/7494-byustgalter-s-push-ap-i-shnurovkoi-na-chashechkah/","7494")</f>
      </c>
      <c r="B922" s="8" t="s">
        <v>919</v>
      </c>
      <c r="C922" s="9">
        <v>1372</v>
      </c>
      <c r="D922" s="0">
        <v>6</v>
      </c>
      <c r="E922" s="10">
        <f>HYPERLINK("http://www.lingerieopt.ru/images/original/b093823f-fff8-44f4-ac4d-3a7d96c2e2ed.jpg","Фото")</f>
      </c>
    </row>
    <row r="923">
      <c r="A923" s="7">
        <f>HYPERLINK("http://www.lingerieopt.ru/item/7494-byustgalter-s-push-ap-i-shnurovkoi-na-chashechkah/","7494")</f>
      </c>
      <c r="B923" s="8" t="s">
        <v>920</v>
      </c>
      <c r="C923" s="9">
        <v>1372</v>
      </c>
      <c r="D923" s="0">
        <v>6</v>
      </c>
      <c r="E923" s="10">
        <f>HYPERLINK("http://www.lingerieopt.ru/images/original/b093823f-fff8-44f4-ac4d-3a7d96c2e2ed.jpg","Фото")</f>
      </c>
    </row>
    <row r="924">
      <c r="A924" s="7">
        <f>HYPERLINK("http://www.lingerieopt.ru/item/7495-byustgalter-push-up-s-zastezhkoi-speredi/","7495")</f>
      </c>
      <c r="B924" s="8" t="s">
        <v>921</v>
      </c>
      <c r="C924" s="9">
        <v>1174</v>
      </c>
      <c r="D924" s="0">
        <v>6</v>
      </c>
      <c r="E924" s="10">
        <f>HYPERLINK("http://www.lingerieopt.ru/images/original/02c02f3f-2727-455c-b2e8-a9f2a8acdda0.jpg","Фото")</f>
      </c>
    </row>
    <row r="925">
      <c r="A925" s="7">
        <f>HYPERLINK("http://www.lingerieopt.ru/item/7495-byustgalter-push-up-s-zastezhkoi-speredi/","7495")</f>
      </c>
      <c r="B925" s="8" t="s">
        <v>922</v>
      </c>
      <c r="C925" s="9">
        <v>1174</v>
      </c>
      <c r="D925" s="0">
        <v>6</v>
      </c>
      <c r="E925" s="10">
        <f>HYPERLINK("http://www.lingerieopt.ru/images/original/02c02f3f-2727-455c-b2e8-a9f2a8acdda0.jpg","Фото")</f>
      </c>
    </row>
    <row r="926">
      <c r="A926" s="7">
        <f>HYPERLINK("http://www.lingerieopt.ru/item/7495-byustgalter-push-up-s-zastezhkoi-speredi/","7495")</f>
      </c>
      <c r="B926" s="8" t="s">
        <v>923</v>
      </c>
      <c r="C926" s="9">
        <v>1174</v>
      </c>
      <c r="D926" s="0">
        <v>3</v>
      </c>
      <c r="E926" s="10">
        <f>HYPERLINK("http://www.lingerieopt.ru/images/original/02c02f3f-2727-455c-b2e8-a9f2a8acdda0.jpg","Фото")</f>
      </c>
    </row>
    <row r="927">
      <c r="A927" s="7">
        <f>HYPERLINK("http://www.lingerieopt.ru/item/7495-byustgalter-push-up-s-zastezhkoi-speredi/","7495")</f>
      </c>
      <c r="B927" s="8" t="s">
        <v>924</v>
      </c>
      <c r="C927" s="9">
        <v>1174</v>
      </c>
      <c r="D927" s="0">
        <v>6</v>
      </c>
      <c r="E927" s="10">
        <f>HYPERLINK("http://www.lingerieopt.ru/images/original/02c02f3f-2727-455c-b2e8-a9f2a8acdda0.jpg","Фото")</f>
      </c>
    </row>
    <row r="928">
      <c r="A928" s="7">
        <f>HYPERLINK("http://www.lingerieopt.ru/item/7495-byustgalter-push-up-s-zastezhkoi-speredi/","7495")</f>
      </c>
      <c r="B928" s="8" t="s">
        <v>925</v>
      </c>
      <c r="C928" s="9">
        <v>1174</v>
      </c>
      <c r="D928" s="0">
        <v>1</v>
      </c>
      <c r="E928" s="10">
        <f>HYPERLINK("http://www.lingerieopt.ru/images/original/02c02f3f-2727-455c-b2e8-a9f2a8acdda0.jpg","Фото")</f>
      </c>
    </row>
    <row r="929">
      <c r="A929" s="7">
        <f>HYPERLINK("http://www.lingerieopt.ru/item/7495-byustgalter-push-up-s-zastezhkoi-speredi/","7495")</f>
      </c>
      <c r="B929" s="8" t="s">
        <v>926</v>
      </c>
      <c r="C929" s="9">
        <v>1174</v>
      </c>
      <c r="D929" s="0">
        <v>6</v>
      </c>
      <c r="E929" s="10">
        <f>HYPERLINK("http://www.lingerieopt.ru/images/original/02c02f3f-2727-455c-b2e8-a9f2a8acdda0.jpg","Фото")</f>
      </c>
    </row>
    <row r="930">
      <c r="A930" s="7">
        <f>HYPERLINK("http://www.lingerieopt.ru/item/7496-chernji-byustgalter-overlei-s-push-up/","7496")</f>
      </c>
      <c r="B930" s="8" t="s">
        <v>927</v>
      </c>
      <c r="C930" s="9">
        <v>1174</v>
      </c>
      <c r="D930" s="0">
        <v>0</v>
      </c>
      <c r="E930" s="10">
        <f>HYPERLINK("http://www.lingerieopt.ru/images/original/ee7b17d8-1deb-44ef-8f2c-e12b9a781822.jpg","Фото")</f>
      </c>
    </row>
    <row r="931">
      <c r="A931" s="7">
        <f>HYPERLINK("http://www.lingerieopt.ru/item/7496-chernji-byustgalter-overlei-s-push-up/","7496")</f>
      </c>
      <c r="B931" s="8" t="s">
        <v>928</v>
      </c>
      <c r="C931" s="9">
        <v>1174</v>
      </c>
      <c r="D931" s="0">
        <v>0</v>
      </c>
      <c r="E931" s="10">
        <f>HYPERLINK("http://www.lingerieopt.ru/images/original/ee7b17d8-1deb-44ef-8f2c-e12b9a781822.jpg","Фото")</f>
      </c>
    </row>
    <row r="932">
      <c r="A932" s="7">
        <f>HYPERLINK("http://www.lingerieopt.ru/item/7496-chernji-byustgalter-overlei-s-push-up/","7496")</f>
      </c>
      <c r="B932" s="8" t="s">
        <v>929</v>
      </c>
      <c r="C932" s="9">
        <v>1174</v>
      </c>
      <c r="D932" s="0">
        <v>0</v>
      </c>
      <c r="E932" s="10">
        <f>HYPERLINK("http://www.lingerieopt.ru/images/original/ee7b17d8-1deb-44ef-8f2c-e12b9a781822.jpg","Фото")</f>
      </c>
    </row>
    <row r="933">
      <c r="A933" s="7">
        <f>HYPERLINK("http://www.lingerieopt.ru/item/7496-chernji-byustgalter-overlei-s-push-up/","7496")</f>
      </c>
      <c r="B933" s="8" t="s">
        <v>930</v>
      </c>
      <c r="C933" s="9">
        <v>1174</v>
      </c>
      <c r="D933" s="0">
        <v>0</v>
      </c>
      <c r="E933" s="10">
        <f>HYPERLINK("http://www.lingerieopt.ru/images/original/ee7b17d8-1deb-44ef-8f2c-e12b9a781822.jpg","Фото")</f>
      </c>
    </row>
    <row r="934">
      <c r="A934" s="7">
        <f>HYPERLINK("http://www.lingerieopt.ru/item/7496-chernji-byustgalter-overlei-s-push-up/","7496")</f>
      </c>
      <c r="B934" s="8" t="s">
        <v>931</v>
      </c>
      <c r="C934" s="9">
        <v>1174</v>
      </c>
      <c r="D934" s="0">
        <v>6</v>
      </c>
      <c r="E934" s="10">
        <f>HYPERLINK("http://www.lingerieopt.ru/images/original/ee7b17d8-1deb-44ef-8f2c-e12b9a781822.jpg","Фото")</f>
      </c>
    </row>
    <row r="935">
      <c r="A935" s="7">
        <f>HYPERLINK("http://www.lingerieopt.ru/item/7496-chernji-byustgalter-overlei-s-push-up/","7496")</f>
      </c>
      <c r="B935" s="8" t="s">
        <v>932</v>
      </c>
      <c r="C935" s="9">
        <v>1174</v>
      </c>
      <c r="D935" s="0">
        <v>1</v>
      </c>
      <c r="E935" s="10">
        <f>HYPERLINK("http://www.lingerieopt.ru/images/original/ee7b17d8-1deb-44ef-8f2c-e12b9a781822.jpg","Фото")</f>
      </c>
    </row>
    <row r="936">
      <c r="A936" s="7">
        <f>HYPERLINK("http://www.lingerieopt.ru/item/7497-cherno-rozovji-byustgalter-s-push-up/","7497")</f>
      </c>
      <c r="B936" s="8" t="s">
        <v>933</v>
      </c>
      <c r="C936" s="9">
        <v>1174</v>
      </c>
      <c r="D936" s="0">
        <v>6</v>
      </c>
      <c r="E936" s="10">
        <f>HYPERLINK("http://www.lingerieopt.ru/images/original/107a690f-cb3d-4cdc-9fe3-9ad27db0bf87.jpg","Фото")</f>
      </c>
    </row>
    <row r="937">
      <c r="A937" s="7">
        <f>HYPERLINK("http://www.lingerieopt.ru/item/7497-cherno-rozovji-byustgalter-s-push-up/","7497")</f>
      </c>
      <c r="B937" s="8" t="s">
        <v>934</v>
      </c>
      <c r="C937" s="9">
        <v>1174</v>
      </c>
      <c r="D937" s="0">
        <v>0</v>
      </c>
      <c r="E937" s="10">
        <f>HYPERLINK("http://www.lingerieopt.ru/images/original/107a690f-cb3d-4cdc-9fe3-9ad27db0bf87.jpg","Фото")</f>
      </c>
    </row>
    <row r="938">
      <c r="A938" s="7">
        <f>HYPERLINK("http://www.lingerieopt.ru/item/7497-cherno-rozovji-byustgalter-s-push-up/","7497")</f>
      </c>
      <c r="B938" s="8" t="s">
        <v>935</v>
      </c>
      <c r="C938" s="9">
        <v>1174</v>
      </c>
      <c r="D938" s="0">
        <v>6</v>
      </c>
      <c r="E938" s="10">
        <f>HYPERLINK("http://www.lingerieopt.ru/images/original/107a690f-cb3d-4cdc-9fe3-9ad27db0bf87.jpg","Фото")</f>
      </c>
    </row>
    <row r="939">
      <c r="A939" s="7">
        <f>HYPERLINK("http://www.lingerieopt.ru/item/7497-cherno-rozovji-byustgalter-s-push-up/","7497")</f>
      </c>
      <c r="B939" s="8" t="s">
        <v>936</v>
      </c>
      <c r="C939" s="9">
        <v>1174</v>
      </c>
      <c r="D939" s="0">
        <v>6</v>
      </c>
      <c r="E939" s="10">
        <f>HYPERLINK("http://www.lingerieopt.ru/images/original/107a690f-cb3d-4cdc-9fe3-9ad27db0bf87.jpg","Фото")</f>
      </c>
    </row>
    <row r="940">
      <c r="A940" s="7">
        <f>HYPERLINK("http://www.lingerieopt.ru/item/7497-cherno-rozovji-byustgalter-s-push-up/","7497")</f>
      </c>
      <c r="B940" s="8" t="s">
        <v>937</v>
      </c>
      <c r="C940" s="9">
        <v>1174</v>
      </c>
      <c r="D940" s="0">
        <v>6</v>
      </c>
      <c r="E940" s="10">
        <f>HYPERLINK("http://www.lingerieopt.ru/images/original/107a690f-cb3d-4cdc-9fe3-9ad27db0bf87.jpg","Фото")</f>
      </c>
    </row>
    <row r="941">
      <c r="A941" s="7">
        <f>HYPERLINK("http://www.lingerieopt.ru/item/7497-cherno-rozovji-byustgalter-s-push-up/","7497")</f>
      </c>
      <c r="B941" s="8" t="s">
        <v>938</v>
      </c>
      <c r="C941" s="9">
        <v>1174</v>
      </c>
      <c r="D941" s="0">
        <v>0</v>
      </c>
      <c r="E941" s="10">
        <f>HYPERLINK("http://www.lingerieopt.ru/images/original/107a690f-cb3d-4cdc-9fe3-9ad27db0bf87.jpg","Фото")</f>
      </c>
    </row>
    <row r="942">
      <c r="A942" s="7">
        <f>HYPERLINK("http://www.lingerieopt.ru/item/7498-byustgalter-push-ap-s-bezhevjm-kruzhevom/","7498")</f>
      </c>
      <c r="B942" s="8" t="s">
        <v>939</v>
      </c>
      <c r="C942" s="9">
        <v>1174</v>
      </c>
      <c r="D942" s="0">
        <v>0</v>
      </c>
      <c r="E942" s="10">
        <f>HYPERLINK("http://www.lingerieopt.ru/images/original/bd7a130a-24f1-4f92-a1d3-86fb51dd4f8e.jpg","Фото")</f>
      </c>
    </row>
    <row r="943">
      <c r="A943" s="7">
        <f>HYPERLINK("http://www.lingerieopt.ru/item/7498-byustgalter-push-ap-s-bezhevjm-kruzhevom/","7498")</f>
      </c>
      <c r="B943" s="8" t="s">
        <v>940</v>
      </c>
      <c r="C943" s="9">
        <v>1174</v>
      </c>
      <c r="D943" s="0">
        <v>6</v>
      </c>
      <c r="E943" s="10">
        <f>HYPERLINK("http://www.lingerieopt.ru/images/original/bd7a130a-24f1-4f92-a1d3-86fb51dd4f8e.jpg","Фото")</f>
      </c>
    </row>
    <row r="944">
      <c r="A944" s="7">
        <f>HYPERLINK("http://www.lingerieopt.ru/item/7498-byustgalter-push-ap-s-bezhevjm-kruzhevom/","7498")</f>
      </c>
      <c r="B944" s="8" t="s">
        <v>941</v>
      </c>
      <c r="C944" s="9">
        <v>1174</v>
      </c>
      <c r="D944" s="0">
        <v>6</v>
      </c>
      <c r="E944" s="10">
        <f>HYPERLINK("http://www.lingerieopt.ru/images/original/bd7a130a-24f1-4f92-a1d3-86fb51dd4f8e.jpg","Фото")</f>
      </c>
    </row>
    <row r="945">
      <c r="A945" s="7">
        <f>HYPERLINK("http://www.lingerieopt.ru/item/7498-byustgalter-push-ap-s-bezhevjm-kruzhevom/","7498")</f>
      </c>
      <c r="B945" s="8" t="s">
        <v>942</v>
      </c>
      <c r="C945" s="9">
        <v>1174</v>
      </c>
      <c r="D945" s="0">
        <v>6</v>
      </c>
      <c r="E945" s="10">
        <f>HYPERLINK("http://www.lingerieopt.ru/images/original/bd7a130a-24f1-4f92-a1d3-86fb51dd4f8e.jpg","Фото")</f>
      </c>
    </row>
    <row r="946">
      <c r="A946" s="7">
        <f>HYPERLINK("http://www.lingerieopt.ru/item/7498-byustgalter-push-ap-s-bezhevjm-kruzhevom/","7498")</f>
      </c>
      <c r="B946" s="8" t="s">
        <v>943</v>
      </c>
      <c r="C946" s="9">
        <v>1174</v>
      </c>
      <c r="D946" s="0">
        <v>6</v>
      </c>
      <c r="E946" s="10">
        <f>HYPERLINK("http://www.lingerieopt.ru/images/original/bd7a130a-24f1-4f92-a1d3-86fb51dd4f8e.jpg","Фото")</f>
      </c>
    </row>
    <row r="947">
      <c r="A947" s="7">
        <f>HYPERLINK("http://www.lingerieopt.ru/item/7498-byustgalter-push-ap-s-bezhevjm-kruzhevom/","7498")</f>
      </c>
      <c r="B947" s="8" t="s">
        <v>944</v>
      </c>
      <c r="C947" s="9">
        <v>1174</v>
      </c>
      <c r="D947" s="0">
        <v>6</v>
      </c>
      <c r="E947" s="10">
        <f>HYPERLINK("http://www.lingerieopt.ru/images/original/bd7a130a-24f1-4f92-a1d3-86fb51dd4f8e.jpg","Фото")</f>
      </c>
    </row>
    <row r="948">
      <c r="A948" s="7">
        <f>HYPERLINK("http://www.lingerieopt.ru/item/7499-yarko-rozovji-byustgalter-s-push-ap/","7499")</f>
      </c>
      <c r="B948" s="8" t="s">
        <v>945</v>
      </c>
      <c r="C948" s="9">
        <v>1174</v>
      </c>
      <c r="D948" s="0">
        <v>7</v>
      </c>
      <c r="E948" s="10">
        <f>HYPERLINK("http://www.lingerieopt.ru/images/original/684970b4-b149-484f-bc76-eca0b5db05ba.jpg","Фото")</f>
      </c>
    </row>
    <row r="949">
      <c r="A949" s="7">
        <f>HYPERLINK("http://www.lingerieopt.ru/item/7499-yarko-rozovji-byustgalter-s-push-ap/","7499")</f>
      </c>
      <c r="B949" s="8" t="s">
        <v>946</v>
      </c>
      <c r="C949" s="9">
        <v>1174</v>
      </c>
      <c r="D949" s="0">
        <v>6</v>
      </c>
      <c r="E949" s="10">
        <f>HYPERLINK("http://www.lingerieopt.ru/images/original/684970b4-b149-484f-bc76-eca0b5db05ba.jpg","Фото")</f>
      </c>
    </row>
    <row r="950">
      <c r="A950" s="7">
        <f>HYPERLINK("http://www.lingerieopt.ru/item/7499-yarko-rozovji-byustgalter-s-push-ap/","7499")</f>
      </c>
      <c r="B950" s="8" t="s">
        <v>947</v>
      </c>
      <c r="C950" s="9">
        <v>1174</v>
      </c>
      <c r="D950" s="0">
        <v>6</v>
      </c>
      <c r="E950" s="10">
        <f>HYPERLINK("http://www.lingerieopt.ru/images/original/684970b4-b149-484f-bc76-eca0b5db05ba.jpg","Фото")</f>
      </c>
    </row>
    <row r="951">
      <c r="A951" s="7">
        <f>HYPERLINK("http://www.lingerieopt.ru/item/7499-yarko-rozovji-byustgalter-s-push-ap/","7499")</f>
      </c>
      <c r="B951" s="8" t="s">
        <v>948</v>
      </c>
      <c r="C951" s="9">
        <v>1174</v>
      </c>
      <c r="D951" s="0">
        <v>6</v>
      </c>
      <c r="E951" s="10">
        <f>HYPERLINK("http://www.lingerieopt.ru/images/original/684970b4-b149-484f-bc76-eca0b5db05ba.jpg","Фото")</f>
      </c>
    </row>
    <row r="952">
      <c r="A952" s="7">
        <f>HYPERLINK("http://www.lingerieopt.ru/item/7499-yarko-rozovji-byustgalter-s-push-ap/","7499")</f>
      </c>
      <c r="B952" s="8" t="s">
        <v>949</v>
      </c>
      <c r="C952" s="9">
        <v>1174</v>
      </c>
      <c r="D952" s="0">
        <v>6</v>
      </c>
      <c r="E952" s="10">
        <f>HYPERLINK("http://www.lingerieopt.ru/images/original/684970b4-b149-484f-bc76-eca0b5db05ba.jpg","Фото")</f>
      </c>
    </row>
    <row r="953">
      <c r="A953" s="7">
        <f>HYPERLINK("http://www.lingerieopt.ru/item/7499-yarko-rozovji-byustgalter-s-push-ap/","7499")</f>
      </c>
      <c r="B953" s="8" t="s">
        <v>950</v>
      </c>
      <c r="C953" s="9">
        <v>1174</v>
      </c>
      <c r="D953" s="0">
        <v>7</v>
      </c>
      <c r="E953" s="10">
        <f>HYPERLINK("http://www.lingerieopt.ru/images/original/684970b4-b149-484f-bc76-eca0b5db05ba.jpg","Фото")</f>
      </c>
    </row>
    <row r="954">
      <c r="A954" s="7">
        <f>HYPERLINK("http://www.lingerieopt.ru/item/7500-persikovji-byustgalter-overlei-s-push-up/","7500")</f>
      </c>
      <c r="B954" s="8" t="s">
        <v>951</v>
      </c>
      <c r="C954" s="9">
        <v>912</v>
      </c>
      <c r="D954" s="0">
        <v>0</v>
      </c>
      <c r="E954" s="10">
        <f>HYPERLINK("http://www.lingerieopt.ru/images/original/bbdf8d50-857a-47b2-bf24-876915db38bc.jpg","Фото")</f>
      </c>
    </row>
    <row r="955">
      <c r="A955" s="7">
        <f>HYPERLINK("http://www.lingerieopt.ru/item/7500-persikovji-byustgalter-overlei-s-push-up/","7500")</f>
      </c>
      <c r="B955" s="8" t="s">
        <v>952</v>
      </c>
      <c r="C955" s="9">
        <v>912</v>
      </c>
      <c r="D955" s="0">
        <v>0</v>
      </c>
      <c r="E955" s="10">
        <f>HYPERLINK("http://www.lingerieopt.ru/images/original/bbdf8d50-857a-47b2-bf24-876915db38bc.jpg","Фото")</f>
      </c>
    </row>
    <row r="956">
      <c r="A956" s="7">
        <f>HYPERLINK("http://www.lingerieopt.ru/item/7500-persikovji-byustgalter-overlei-s-push-up/","7500")</f>
      </c>
      <c r="B956" s="8" t="s">
        <v>953</v>
      </c>
      <c r="C956" s="9">
        <v>912</v>
      </c>
      <c r="D956" s="0">
        <v>0</v>
      </c>
      <c r="E956" s="10">
        <f>HYPERLINK("http://www.lingerieopt.ru/images/original/bbdf8d50-857a-47b2-bf24-876915db38bc.jpg","Фото")</f>
      </c>
    </row>
    <row r="957">
      <c r="A957" s="7">
        <f>HYPERLINK("http://www.lingerieopt.ru/item/7500-persikovji-byustgalter-overlei-s-push-up/","7500")</f>
      </c>
      <c r="B957" s="8" t="s">
        <v>954</v>
      </c>
      <c r="C957" s="9">
        <v>912</v>
      </c>
      <c r="D957" s="0">
        <v>0</v>
      </c>
      <c r="E957" s="10">
        <f>HYPERLINK("http://www.lingerieopt.ru/images/original/bbdf8d50-857a-47b2-bf24-876915db38bc.jpg","Фото")</f>
      </c>
    </row>
    <row r="958">
      <c r="A958" s="7">
        <f>HYPERLINK("http://www.lingerieopt.ru/item/7500-persikovji-byustgalter-overlei-s-push-up/","7500")</f>
      </c>
      <c r="B958" s="8" t="s">
        <v>955</v>
      </c>
      <c r="C958" s="9">
        <v>912</v>
      </c>
      <c r="D958" s="0">
        <v>0</v>
      </c>
      <c r="E958" s="10">
        <f>HYPERLINK("http://www.lingerieopt.ru/images/original/bbdf8d50-857a-47b2-bf24-876915db38bc.jpg","Фото")</f>
      </c>
    </row>
    <row r="959">
      <c r="A959" s="7">
        <f>HYPERLINK("http://www.lingerieopt.ru/item/7500-persikovji-byustgalter-overlei-s-push-up/","7500")</f>
      </c>
      <c r="B959" s="8" t="s">
        <v>956</v>
      </c>
      <c r="C959" s="9">
        <v>912</v>
      </c>
      <c r="D959" s="0">
        <v>1</v>
      </c>
      <c r="E959" s="10">
        <f>HYPERLINK("http://www.lingerieopt.ru/images/original/bbdf8d50-857a-47b2-bf24-876915db38bc.jpg","Фото")</f>
      </c>
    </row>
    <row r="960">
      <c r="A960" s="7">
        <f>HYPERLINK("http://www.lingerieopt.ru/item/7501-byustgalter-planzh-s-push-up-i-leopardovjm-printom/","7501")</f>
      </c>
      <c r="B960" s="8" t="s">
        <v>957</v>
      </c>
      <c r="C960" s="9">
        <v>1174</v>
      </c>
      <c r="D960" s="0">
        <v>6</v>
      </c>
      <c r="E960" s="10">
        <f>HYPERLINK("http://www.lingerieopt.ru/images/original/0803b2c8-09e9-444d-8182-a6d55dee6428.jpg","Фото")</f>
      </c>
    </row>
    <row r="961">
      <c r="A961" s="7">
        <f>HYPERLINK("http://www.lingerieopt.ru/item/7501-byustgalter-planzh-s-push-up-i-leopardovjm-printom/","7501")</f>
      </c>
      <c r="B961" s="8" t="s">
        <v>958</v>
      </c>
      <c r="C961" s="9">
        <v>1174</v>
      </c>
      <c r="D961" s="0">
        <v>6</v>
      </c>
      <c r="E961" s="10">
        <f>HYPERLINK("http://www.lingerieopt.ru/images/original/0803b2c8-09e9-444d-8182-a6d55dee6428.jpg","Фото")</f>
      </c>
    </row>
    <row r="962">
      <c r="A962" s="7">
        <f>HYPERLINK("http://www.lingerieopt.ru/item/7501-byustgalter-planzh-s-push-up-i-leopardovjm-printom/","7501")</f>
      </c>
      <c r="B962" s="8" t="s">
        <v>959</v>
      </c>
      <c r="C962" s="9">
        <v>1174</v>
      </c>
      <c r="D962" s="0">
        <v>6</v>
      </c>
      <c r="E962" s="10">
        <f>HYPERLINK("http://www.lingerieopt.ru/images/original/0803b2c8-09e9-444d-8182-a6d55dee6428.jpg","Фото")</f>
      </c>
    </row>
    <row r="963">
      <c r="A963" s="7">
        <f>HYPERLINK("http://www.lingerieopt.ru/item/7501-byustgalter-planzh-s-push-up-i-leopardovjm-printom/","7501")</f>
      </c>
      <c r="B963" s="8" t="s">
        <v>960</v>
      </c>
      <c r="C963" s="9">
        <v>1174</v>
      </c>
      <c r="D963" s="0">
        <v>6</v>
      </c>
      <c r="E963" s="10">
        <f>HYPERLINK("http://www.lingerieopt.ru/images/original/0803b2c8-09e9-444d-8182-a6d55dee6428.jpg","Фото")</f>
      </c>
    </row>
    <row r="964">
      <c r="A964" s="7">
        <f>HYPERLINK("http://www.lingerieopt.ru/item/7501-byustgalter-planzh-s-push-up-i-leopardovjm-printom/","7501")</f>
      </c>
      <c r="B964" s="8" t="s">
        <v>961</v>
      </c>
      <c r="C964" s="9">
        <v>1174</v>
      </c>
      <c r="D964" s="0">
        <v>6</v>
      </c>
      <c r="E964" s="10">
        <f>HYPERLINK("http://www.lingerieopt.ru/images/original/0803b2c8-09e9-444d-8182-a6d55dee6428.jpg","Фото")</f>
      </c>
    </row>
    <row r="965">
      <c r="A965" s="7">
        <f>HYPERLINK("http://www.lingerieopt.ru/item/7501-byustgalter-planzh-s-push-up-i-leopardovjm-printom/","7501")</f>
      </c>
      <c r="B965" s="8" t="s">
        <v>962</v>
      </c>
      <c r="C965" s="9">
        <v>1174</v>
      </c>
      <c r="D965" s="0">
        <v>6</v>
      </c>
      <c r="E965" s="10">
        <f>HYPERLINK("http://www.lingerieopt.ru/images/original/0803b2c8-09e9-444d-8182-a6d55dee6428.jpg","Фото")</f>
      </c>
    </row>
    <row r="966">
      <c r="A966" s="7">
        <f>HYPERLINK("http://www.lingerieopt.ru/item/7552-prozrachnji-byustgalter-embrace-bra/","7552")</f>
      </c>
      <c r="B966" s="8" t="s">
        <v>963</v>
      </c>
      <c r="C966" s="9">
        <v>2274</v>
      </c>
      <c r="D966" s="0">
        <v>3</v>
      </c>
      <c r="E966" s="10">
        <f>HYPERLINK("http://www.lingerieopt.ru/images/original/3ed39895-eddb-4fa9-9ea4-31445a084cdc.jpg","Фото")</f>
      </c>
    </row>
    <row r="967">
      <c r="A967" s="7">
        <f>HYPERLINK("http://www.lingerieopt.ru/item/7552-prozrachnji-byustgalter-embrace-bra/","7552")</f>
      </c>
      <c r="B967" s="8" t="s">
        <v>964</v>
      </c>
      <c r="C967" s="9">
        <v>2274</v>
      </c>
      <c r="D967" s="0">
        <v>0</v>
      </c>
      <c r="E967" s="10">
        <f>HYPERLINK("http://www.lingerieopt.ru/images/original/3ed39895-eddb-4fa9-9ea4-31445a084cdc.jpg","Фото")</f>
      </c>
    </row>
    <row r="968">
      <c r="A968" s="7">
        <f>HYPERLINK("http://www.lingerieopt.ru/item/7940-uvelichivayuschie-grud-na-odin-razmer-vkladki-dlya-bikini-bikini-boosters/","7940")</f>
      </c>
      <c r="B968" s="8" t="s">
        <v>965</v>
      </c>
      <c r="C968" s="9">
        <v>598</v>
      </c>
      <c r="D968" s="0">
        <v>6</v>
      </c>
      <c r="E968" s="10">
        <f>HYPERLINK("http://www.lingerieopt.ru/images/original/371d3872-050a-44cb-98b1-2d5d297c1b3a.jpg","Фото")</f>
      </c>
    </row>
    <row r="969">
      <c r="A969" s="7">
        <f>HYPERLINK("http://www.lingerieopt.ru/item/7945-ultra-legkie-silikonovje-vkladki-push-ap-instant-celebrity-silicone-enhancers/","7945")</f>
      </c>
      <c r="B969" s="8" t="s">
        <v>966</v>
      </c>
      <c r="C969" s="9">
        <v>888</v>
      </c>
      <c r="D969" s="0">
        <v>3</v>
      </c>
      <c r="E969" s="10">
        <f>HYPERLINK("http://www.lingerieopt.ru/images/original/843ac25f-2331-4f35-8546-23471d1b6194.jpg","Фото")</f>
      </c>
    </row>
    <row r="970">
      <c r="A970" s="7">
        <f>HYPERLINK("http://www.lingerieopt.ru/item/7946-nabor-rasshiritelei-byustgaltera-shirinoi-na-1-kryuchok-bra-extender/","7946")</f>
      </c>
      <c r="B970" s="8" t="s">
        <v>967</v>
      </c>
      <c r="C970" s="9">
        <v>384</v>
      </c>
      <c r="D970" s="0">
        <v>30</v>
      </c>
      <c r="E970" s="10">
        <f>HYPERLINK("http://www.lingerieopt.ru/images/original/cf70b637-d481-42d7-85fe-6835b48c1ce2.jpg","Фото")</f>
      </c>
    </row>
    <row r="971">
      <c r="A971" s="7">
        <f>HYPERLINK("http://www.lingerieopt.ru/item/7949-silikonovje-podushechki-dlya-bretelei-lifov-bra-strap-comfy-cushions/","7949")</f>
      </c>
      <c r="B971" s="8" t="s">
        <v>968</v>
      </c>
      <c r="C971" s="9">
        <v>427</v>
      </c>
      <c r="D971" s="0">
        <v>30</v>
      </c>
      <c r="E971" s="10">
        <f>HYPERLINK("http://www.lingerieopt.ru/images/original/6e4f8576-a901-4f3f-bf05-15c43f84f53e.jpg","Фото")</f>
      </c>
    </row>
    <row r="972">
      <c r="A972" s="7">
        <f>HYPERLINK("http://www.lingerieopt.ru/item/7953-prozrachnje-breteli-udliniteli-dlya-sozdaniya-lifa-s-nizkoi-spinoi-the-down-low-bra-strap-converter/","7953")</f>
      </c>
      <c r="B972" s="8" t="s">
        <v>969</v>
      </c>
      <c r="C972" s="9">
        <v>333</v>
      </c>
      <c r="D972" s="0">
        <v>31</v>
      </c>
      <c r="E972" s="10">
        <f>HYPERLINK("http://www.lingerieopt.ru/images/original/360e4db2-45af-45e5-9260-805235ec1880.jpg","Фото")</f>
      </c>
    </row>
    <row r="973">
      <c r="A973" s="7">
        <f>HYPERLINK("http://www.lingerieopt.ru/item/7953-prozrachnje-breteli-udliniteli-dlya-sozdaniya-lifa-s-nizkoi-spinoi-the-down-low-bra-strap-converter/","7953")</f>
      </c>
      <c r="B973" s="8" t="s">
        <v>970</v>
      </c>
      <c r="C973" s="9">
        <v>333</v>
      </c>
      <c r="D973" s="0">
        <v>7</v>
      </c>
      <c r="E973" s="10">
        <f>HYPERLINK("http://www.lingerieopt.ru/images/original/360e4db2-45af-45e5-9260-805235ec1880.jpg","Фото")</f>
      </c>
    </row>
    <row r="974">
      <c r="A974" s="7">
        <f>HYPERLINK("http://www.lingerieopt.ru/item/7953-prozrachnje-breteli-udliniteli-dlya-sozdaniya-lifa-s-nizkoi-spinoi-the-down-low-bra-strap-converter/","7953")</f>
      </c>
      <c r="B974" s="8" t="s">
        <v>971</v>
      </c>
      <c r="C974" s="9">
        <v>333</v>
      </c>
      <c r="D974" s="0">
        <v>30</v>
      </c>
      <c r="E974" s="10">
        <f>HYPERLINK("http://www.lingerieopt.ru/images/original/360e4db2-45af-45e5-9260-805235ec1880.jpg","Фото")</f>
      </c>
    </row>
    <row r="975">
      <c r="A975" s="7">
        <f>HYPERLINK("http://www.lingerieopt.ru/item/8278-silikonovje-podushechki-dlya-push-ap-effekta-push-up-pads/","8278")</f>
      </c>
      <c r="B975" s="8" t="s">
        <v>972</v>
      </c>
      <c r="C975" s="9">
        <v>898</v>
      </c>
      <c r="D975" s="0">
        <v>5</v>
      </c>
      <c r="E975" s="10">
        <f>HYPERLINK("http://www.lingerieopt.ru/images/original/5bdfaf81-7fba-4cbd-9ec6-8a959331ede9.jpg","Фото")</f>
      </c>
    </row>
    <row r="976">
      <c r="A976" s="7">
        <f>HYPERLINK("http://www.lingerieopt.ru/item/8278-silikonovje-podushechki-dlya-push-ap-effekta-push-up-pads/","8278")</f>
      </c>
      <c r="B976" s="8" t="s">
        <v>973</v>
      </c>
      <c r="C976" s="9">
        <v>898</v>
      </c>
      <c r="D976" s="0">
        <v>0</v>
      </c>
      <c r="E976" s="10">
        <f>HYPERLINK("http://www.lingerieopt.ru/images/original/5bdfaf81-7fba-4cbd-9ec6-8a959331ede9.jpg","Фото")</f>
      </c>
    </row>
    <row r="977">
      <c r="A977" s="7">
        <f>HYPERLINK("http://www.lingerieopt.ru/item/10304-kruzhevnoi-bralett-s-peremjchkami/","10304")</f>
      </c>
      <c r="B977" s="8" t="s">
        <v>974</v>
      </c>
      <c r="C977" s="9">
        <v>682</v>
      </c>
      <c r="D977" s="0">
        <v>29</v>
      </c>
      <c r="E977" s="10">
        <f>HYPERLINK("http://www.lingerieopt.ru/images/original/11dd88b0-5783-4ecb-bf40-9327f6755d19.jpg","Фото")</f>
      </c>
    </row>
    <row r="978">
      <c r="A978" s="7">
        <f>HYPERLINK("http://www.lingerieopt.ru/item/10304-kruzhevnoi-bralett-s-peremjchkami/","10304")</f>
      </c>
      <c r="B978" s="8" t="s">
        <v>975</v>
      </c>
      <c r="C978" s="9">
        <v>682</v>
      </c>
      <c r="D978" s="0">
        <v>15</v>
      </c>
      <c r="E978" s="10">
        <f>HYPERLINK("http://www.lingerieopt.ru/images/original/11dd88b0-5783-4ecb-bf40-9327f6755d19.jpg","Фото")</f>
      </c>
    </row>
    <row r="979">
      <c r="A979" s="7">
        <f>HYPERLINK("http://www.lingerieopt.ru/item/10304-kruzhevnoi-bralett-s-peremjchkami/","10304")</f>
      </c>
      <c r="B979" s="8" t="s">
        <v>976</v>
      </c>
      <c r="C979" s="9">
        <v>682</v>
      </c>
      <c r="D979" s="0">
        <v>53</v>
      </c>
      <c r="E979" s="10">
        <f>HYPERLINK("http://www.lingerieopt.ru/images/original/11dd88b0-5783-4ecb-bf40-9327f6755d19.jpg","Фото")</f>
      </c>
    </row>
    <row r="980">
      <c r="A980" s="7">
        <f>HYPERLINK("http://www.lingerieopt.ru/item/10304-kruzhevnoi-bralett-s-peremjchkami/","10304")</f>
      </c>
      <c r="B980" s="8" t="s">
        <v>977</v>
      </c>
      <c r="C980" s="9">
        <v>682</v>
      </c>
      <c r="D980" s="0">
        <v>50</v>
      </c>
      <c r="E980" s="10">
        <f>HYPERLINK("http://www.lingerieopt.ru/images/original/11dd88b0-5783-4ecb-bf40-9327f6755d19.jpg","Фото")</f>
      </c>
    </row>
    <row r="981">
      <c r="A981" s="7">
        <f>HYPERLINK("http://www.lingerieopt.ru/item/10304-kruzhevnoi-bralett-s-peremjchkami/","10304")</f>
      </c>
      <c r="B981" s="8" t="s">
        <v>978</v>
      </c>
      <c r="C981" s="9">
        <v>682</v>
      </c>
      <c r="D981" s="0">
        <v>16</v>
      </c>
      <c r="E981" s="10">
        <f>HYPERLINK("http://www.lingerieopt.ru/images/original/11dd88b0-5783-4ecb-bf40-9327f6755d19.jpg","Фото")</f>
      </c>
    </row>
    <row r="982">
      <c r="A982" s="7">
        <f>HYPERLINK("http://www.lingerieopt.ru/item/10304-kruzhevnoi-bralett-s-peremjchkami/","10304")</f>
      </c>
      <c r="B982" s="8" t="s">
        <v>979</v>
      </c>
      <c r="C982" s="9">
        <v>682</v>
      </c>
      <c r="D982" s="0">
        <v>17</v>
      </c>
      <c r="E982" s="10">
        <f>HYPERLINK("http://www.lingerieopt.ru/images/original/11dd88b0-5783-4ecb-bf40-9327f6755d19.jpg","Фото")</f>
      </c>
    </row>
    <row r="983">
      <c r="A983" s="7">
        <f>HYPERLINK("http://www.lingerieopt.ru/item/10305-kruzhevnoi-bralett-s-reguliruemjmi-bretelyami/","10305")</f>
      </c>
      <c r="B983" s="8" t="s">
        <v>980</v>
      </c>
      <c r="C983" s="9">
        <v>682</v>
      </c>
      <c r="D983" s="0">
        <v>28</v>
      </c>
      <c r="E983" s="10">
        <f>HYPERLINK("http://www.lingerieopt.ru/images/original/d0332847-09b4-4971-bc60-62802d9c7824.jpg","Фото")</f>
      </c>
    </row>
    <row r="984">
      <c r="A984" s="7">
        <f>HYPERLINK("http://www.lingerieopt.ru/item/10305-kruzhevnoi-bralett-s-reguliruemjmi-bretelyami/","10305")</f>
      </c>
      <c r="B984" s="8" t="s">
        <v>981</v>
      </c>
      <c r="C984" s="9">
        <v>682</v>
      </c>
      <c r="D984" s="0">
        <v>12</v>
      </c>
      <c r="E984" s="10">
        <f>HYPERLINK("http://www.lingerieopt.ru/images/original/d0332847-09b4-4971-bc60-62802d9c7824.jpg","Фото")</f>
      </c>
    </row>
    <row r="985">
      <c r="A985" s="7">
        <f>HYPERLINK("http://www.lingerieopt.ru/item/10305-kruzhevnoi-bralett-s-reguliruemjmi-bretelyami/","10305")</f>
      </c>
      <c r="B985" s="8" t="s">
        <v>982</v>
      </c>
      <c r="C985" s="9">
        <v>682</v>
      </c>
      <c r="D985" s="0">
        <v>13</v>
      </c>
      <c r="E985" s="10">
        <f>HYPERLINK("http://www.lingerieopt.ru/images/original/d0332847-09b4-4971-bc60-62802d9c7824.jpg","Фото")</f>
      </c>
    </row>
    <row r="986">
      <c r="A986" s="7">
        <f>HYPERLINK("http://www.lingerieopt.ru/item/10305-kruzhevnoi-bralett-s-reguliruemjmi-bretelyami/","10305")</f>
      </c>
      <c r="B986" s="8" t="s">
        <v>983</v>
      </c>
      <c r="C986" s="9">
        <v>682</v>
      </c>
      <c r="D986" s="0">
        <v>10</v>
      </c>
      <c r="E986" s="10">
        <f>HYPERLINK("http://www.lingerieopt.ru/images/original/d0332847-09b4-4971-bc60-62802d9c7824.jpg","Фото")</f>
      </c>
    </row>
    <row r="987">
      <c r="A987" s="7">
        <f>HYPERLINK("http://www.lingerieopt.ru/item/10305-kruzhevnoi-bralett-s-reguliruemjmi-bretelyami/","10305")</f>
      </c>
      <c r="B987" s="8" t="s">
        <v>984</v>
      </c>
      <c r="C987" s="9">
        <v>682</v>
      </c>
      <c r="D987" s="0">
        <v>25</v>
      </c>
      <c r="E987" s="10">
        <f>HYPERLINK("http://www.lingerieopt.ru/images/original/d0332847-09b4-4971-bc60-62802d9c7824.jpg","Фото")</f>
      </c>
    </row>
    <row r="988">
      <c r="A988" s="7">
        <f>HYPERLINK("http://www.lingerieopt.ru/item/10305-kruzhevnoi-bralett-s-reguliruemjmi-bretelyami/","10305")</f>
      </c>
      <c r="B988" s="8" t="s">
        <v>985</v>
      </c>
      <c r="C988" s="9">
        <v>682</v>
      </c>
      <c r="D988" s="0">
        <v>52</v>
      </c>
      <c r="E988" s="10">
        <f>HYPERLINK("http://www.lingerieopt.ru/images/original/d0332847-09b4-4971-bc60-62802d9c7824.jpg","Фото")</f>
      </c>
    </row>
    <row r="989">
      <c r="A989" s="7">
        <f>HYPERLINK("http://www.lingerieopt.ru/item/10306-udlinennji-kruzhevnoi-bralett/","10306")</f>
      </c>
      <c r="B989" s="8" t="s">
        <v>986</v>
      </c>
      <c r="C989" s="9">
        <v>703</v>
      </c>
      <c r="D989" s="0">
        <v>39</v>
      </c>
      <c r="E989" s="10">
        <f>HYPERLINK("http://www.lingerieopt.ru/images/original/4f223030-c13c-4fc6-816b-8ab93319a555.jpg","Фото")</f>
      </c>
    </row>
    <row r="990">
      <c r="A990" s="7">
        <f>HYPERLINK("http://www.lingerieopt.ru/item/10306-udlinennji-kruzhevnoi-bralett/","10306")</f>
      </c>
      <c r="B990" s="8" t="s">
        <v>987</v>
      </c>
      <c r="C990" s="9">
        <v>703</v>
      </c>
      <c r="D990" s="0">
        <v>32</v>
      </c>
      <c r="E990" s="10">
        <f>HYPERLINK("http://www.lingerieopt.ru/images/original/4f223030-c13c-4fc6-816b-8ab93319a555.jpg","Фото")</f>
      </c>
    </row>
    <row r="991">
      <c r="A991" s="7">
        <f>HYPERLINK("http://www.lingerieopt.ru/item/10306-udlinennji-kruzhevnoi-bralett/","10306")</f>
      </c>
      <c r="B991" s="8" t="s">
        <v>988</v>
      </c>
      <c r="C991" s="9">
        <v>703</v>
      </c>
      <c r="D991" s="0">
        <v>64</v>
      </c>
      <c r="E991" s="10">
        <f>HYPERLINK("http://www.lingerieopt.ru/images/original/4f223030-c13c-4fc6-816b-8ab93319a555.jpg","Фото")</f>
      </c>
    </row>
    <row r="992">
      <c r="A992" s="7">
        <f>HYPERLINK("http://www.lingerieopt.ru/item/10306-udlinennji-kruzhevnoi-bralett/","10306")</f>
      </c>
      <c r="B992" s="8" t="s">
        <v>989</v>
      </c>
      <c r="C992" s="9">
        <v>703</v>
      </c>
      <c r="D992" s="0">
        <v>31</v>
      </c>
      <c r="E992" s="10">
        <f>HYPERLINK("http://www.lingerieopt.ru/images/original/4f223030-c13c-4fc6-816b-8ab93319a555.jpg","Фото")</f>
      </c>
    </row>
    <row r="993">
      <c r="A993" s="7">
        <f>HYPERLINK("http://www.lingerieopt.ru/item/10306-udlinennji-kruzhevnoi-bralett/","10306")</f>
      </c>
      <c r="B993" s="8" t="s">
        <v>990</v>
      </c>
      <c r="C993" s="9">
        <v>703</v>
      </c>
      <c r="D993" s="0">
        <v>0</v>
      </c>
      <c r="E993" s="10">
        <f>HYPERLINK("http://www.lingerieopt.ru/images/original/4f223030-c13c-4fc6-816b-8ab93319a555.jpg","Фото")</f>
      </c>
    </row>
    <row r="994">
      <c r="A994" s="7">
        <f>HYPERLINK("http://www.lingerieopt.ru/item/10306-udlinennji-kruzhevnoi-bralett/","10306")</f>
      </c>
      <c r="B994" s="8" t="s">
        <v>991</v>
      </c>
      <c r="C994" s="9">
        <v>703</v>
      </c>
      <c r="D994" s="0">
        <v>66</v>
      </c>
      <c r="E994" s="10">
        <f>HYPERLINK("http://www.lingerieopt.ru/images/original/4f223030-c13c-4fc6-816b-8ab93319a555.jpg","Фото")</f>
      </c>
    </row>
    <row r="995">
      <c r="A995" s="7">
        <f>HYPERLINK("http://www.lingerieopt.ru/item/10306-udlinennji-kruzhevnoi-bralett/","10306")</f>
      </c>
      <c r="B995" s="8" t="s">
        <v>992</v>
      </c>
      <c r="C995" s="9">
        <v>703</v>
      </c>
      <c r="D995" s="0">
        <v>28</v>
      </c>
      <c r="E995" s="10">
        <f>HYPERLINK("http://www.lingerieopt.ru/images/original/4f223030-c13c-4fc6-816b-8ab93319a555.jpg","Фото")</f>
      </c>
    </row>
    <row r="996">
      <c r="A996" s="7">
        <f>HYPERLINK("http://www.lingerieopt.ru/item/10306-udlinennji-kruzhevnoi-bralett/","10306")</f>
      </c>
      <c r="B996" s="8" t="s">
        <v>993</v>
      </c>
      <c r="C996" s="9">
        <v>703</v>
      </c>
      <c r="D996" s="0">
        <v>5</v>
      </c>
      <c r="E996" s="10">
        <f>HYPERLINK("http://www.lingerieopt.ru/images/original/4f223030-c13c-4fc6-816b-8ab93319a555.jpg","Фото")</f>
      </c>
    </row>
    <row r="997">
      <c r="A997" s="7">
        <f>HYPERLINK("http://www.lingerieopt.ru/item/10306-udlinennji-kruzhevnoi-bralett/","10306")</f>
      </c>
      <c r="B997" s="8" t="s">
        <v>994</v>
      </c>
      <c r="C997" s="9">
        <v>703</v>
      </c>
      <c r="D997" s="0">
        <v>0</v>
      </c>
      <c r="E997" s="10">
        <f>HYPERLINK("http://www.lingerieopt.ru/images/original/4f223030-c13c-4fc6-816b-8ab93319a555.jpg","Фото")</f>
      </c>
    </row>
    <row r="998">
      <c r="A998" s="7">
        <f>HYPERLINK("http://www.lingerieopt.ru/item/10309-chuvstvennji-bralett-s-kruzhevom/","10309")</f>
      </c>
      <c r="B998" s="8" t="s">
        <v>995</v>
      </c>
      <c r="C998" s="9">
        <v>690</v>
      </c>
      <c r="D998" s="0">
        <v>13</v>
      </c>
      <c r="E998" s="10">
        <f>HYPERLINK("http://www.lingerieopt.ru/images/original/d15f7619-ede2-42ee-aa39-001e8cecce3f.jpg","Фото")</f>
      </c>
    </row>
    <row r="999">
      <c r="A999" s="7">
        <f>HYPERLINK("http://www.lingerieopt.ru/item/10309-chuvstvennji-bralett-s-kruzhevom/","10309")</f>
      </c>
      <c r="B999" s="8" t="s">
        <v>996</v>
      </c>
      <c r="C999" s="9">
        <v>690</v>
      </c>
      <c r="D999" s="0">
        <v>50</v>
      </c>
      <c r="E999" s="10">
        <f>HYPERLINK("http://www.lingerieopt.ru/images/original/d15f7619-ede2-42ee-aa39-001e8cecce3f.jpg","Фото")</f>
      </c>
    </row>
    <row r="1000">
      <c r="A1000" s="7">
        <f>HYPERLINK("http://www.lingerieopt.ru/item/10309-chuvstvennji-bralett-s-kruzhevom/","10309")</f>
      </c>
      <c r="B1000" s="8" t="s">
        <v>997</v>
      </c>
      <c r="C1000" s="9">
        <v>690</v>
      </c>
      <c r="D1000" s="0">
        <v>36</v>
      </c>
      <c r="E1000" s="10">
        <f>HYPERLINK("http://www.lingerieopt.ru/images/original/d15f7619-ede2-42ee-aa39-001e8cecce3f.jpg","Фото")</f>
      </c>
    </row>
    <row r="1001">
      <c r="A1001" s="7">
        <f>HYPERLINK("http://www.lingerieopt.ru/item/10309-chuvstvennji-bralett-s-kruzhevom/","10309")</f>
      </c>
      <c r="B1001" s="8" t="s">
        <v>998</v>
      </c>
      <c r="C1001" s="9">
        <v>690</v>
      </c>
      <c r="D1001" s="0">
        <v>41</v>
      </c>
      <c r="E1001" s="10">
        <f>HYPERLINK("http://www.lingerieopt.ru/images/original/d15f7619-ede2-42ee-aa39-001e8cecce3f.jpg","Фото")</f>
      </c>
    </row>
    <row r="1002">
      <c r="A1002" s="7">
        <f>HYPERLINK("http://www.lingerieopt.ru/item/10309-chuvstvennji-bralett-s-kruzhevom/","10309")</f>
      </c>
      <c r="B1002" s="8" t="s">
        <v>999</v>
      </c>
      <c r="C1002" s="9">
        <v>690</v>
      </c>
      <c r="D1002" s="0">
        <v>26</v>
      </c>
      <c r="E1002" s="10">
        <f>HYPERLINK("http://www.lingerieopt.ru/images/original/d15f7619-ede2-42ee-aa39-001e8cecce3f.jpg","Фото")</f>
      </c>
    </row>
    <row r="1003">
      <c r="A1003" s="7">
        <f>HYPERLINK("http://www.lingerieopt.ru/item/10309-chuvstvennji-bralett-s-kruzhevom/","10309")</f>
      </c>
      <c r="B1003" s="8" t="s">
        <v>1000</v>
      </c>
      <c r="C1003" s="9">
        <v>690</v>
      </c>
      <c r="D1003" s="0">
        <v>38</v>
      </c>
      <c r="E1003" s="10">
        <f>HYPERLINK("http://www.lingerieopt.ru/images/original/d15f7619-ede2-42ee-aa39-001e8cecce3f.jpg","Фото")</f>
      </c>
    </row>
    <row r="1004">
      <c r="A1004" s="7">
        <f>HYPERLINK("http://www.lingerieopt.ru/item/10310-udlinennji-bralett-so-vstavkami-kruzheva/","10310")</f>
      </c>
      <c r="B1004" s="8" t="s">
        <v>1001</v>
      </c>
      <c r="C1004" s="9">
        <v>714</v>
      </c>
      <c r="D1004" s="0">
        <v>0</v>
      </c>
      <c r="E1004" s="10">
        <f>HYPERLINK("http://www.lingerieopt.ru/images/original/1dcf4c61-b9cc-4765-bf94-791482ef0297.jpg","Фото")</f>
      </c>
    </row>
    <row r="1005">
      <c r="A1005" s="7">
        <f>HYPERLINK("http://www.lingerieopt.ru/item/10310-udlinennji-bralett-so-vstavkami-kruzheva/","10310")</f>
      </c>
      <c r="B1005" s="8" t="s">
        <v>1002</v>
      </c>
      <c r="C1005" s="9">
        <v>714</v>
      </c>
      <c r="D1005" s="0">
        <v>25</v>
      </c>
      <c r="E1005" s="10">
        <f>HYPERLINK("http://www.lingerieopt.ru/images/original/1dcf4c61-b9cc-4765-bf94-791482ef0297.jpg","Фото")</f>
      </c>
    </row>
    <row r="1006">
      <c r="A1006" s="7">
        <f>HYPERLINK("http://www.lingerieopt.ru/item/10310-udlinennji-bralett-so-vstavkami-kruzheva/","10310")</f>
      </c>
      <c r="B1006" s="8" t="s">
        <v>1003</v>
      </c>
      <c r="C1006" s="9">
        <v>714</v>
      </c>
      <c r="D1006" s="0">
        <v>13</v>
      </c>
      <c r="E1006" s="10">
        <f>HYPERLINK("http://www.lingerieopt.ru/images/original/1dcf4c61-b9cc-4765-bf94-791482ef0297.jpg","Фото")</f>
      </c>
    </row>
    <row r="1007">
      <c r="A1007" s="7">
        <f>HYPERLINK("http://www.lingerieopt.ru/item/10310-udlinennji-bralett-so-vstavkami-kruzheva/","10310")</f>
      </c>
      <c r="B1007" s="8" t="s">
        <v>1004</v>
      </c>
      <c r="C1007" s="9">
        <v>714</v>
      </c>
      <c r="D1007" s="0">
        <v>0</v>
      </c>
      <c r="E1007" s="10">
        <f>HYPERLINK("http://www.lingerieopt.ru/images/original/1dcf4c61-b9cc-4765-bf94-791482ef0297.jpg","Фото")</f>
      </c>
    </row>
    <row r="1008">
      <c r="A1008" s="7">
        <f>HYPERLINK("http://www.lingerieopt.ru/item/10310-udlinennji-bralett-so-vstavkami-kruzheva/","10310")</f>
      </c>
      <c r="B1008" s="8" t="s">
        <v>1005</v>
      </c>
      <c r="C1008" s="9">
        <v>714</v>
      </c>
      <c r="D1008" s="0">
        <v>34</v>
      </c>
      <c r="E1008" s="10">
        <f>HYPERLINK("http://www.lingerieopt.ru/images/original/1dcf4c61-b9cc-4765-bf94-791482ef0297.jpg","Фото")</f>
      </c>
    </row>
    <row r="1009">
      <c r="A1009" s="7">
        <f>HYPERLINK("http://www.lingerieopt.ru/item/10310-udlinennji-bralett-so-vstavkami-kruzheva/","10310")</f>
      </c>
      <c r="B1009" s="8" t="s">
        <v>1006</v>
      </c>
      <c r="C1009" s="9">
        <v>714</v>
      </c>
      <c r="D1009" s="0">
        <v>12</v>
      </c>
      <c r="E1009" s="10">
        <f>HYPERLINK("http://www.lingerieopt.ru/images/original/1dcf4c61-b9cc-4765-bf94-791482ef0297.jpg","Фото")</f>
      </c>
    </row>
    <row r="1010">
      <c r="A1010" s="7">
        <f>HYPERLINK("http://www.lingerieopt.ru/item/10858-roskoshnji-bralett-iz-kruzhev-i-nezhnoi-setki/","10858")</f>
      </c>
      <c r="B1010" s="8" t="s">
        <v>1007</v>
      </c>
      <c r="C1010" s="9">
        <v>2187</v>
      </c>
      <c r="D1010" s="0">
        <v>10</v>
      </c>
      <c r="E1010" s="10">
        <f>HYPERLINK("http://www.lingerieopt.ru/images/original/2df60325-5da3-47f5-93a0-242dfc71d85a.jpg","Фото")</f>
      </c>
    </row>
    <row r="1011">
      <c r="A1011" s="7">
        <f>HYPERLINK("http://www.lingerieopt.ru/item/10858-roskoshnji-bralett-iz-kruzhev-i-nezhnoi-setki/","10858")</f>
      </c>
      <c r="B1011" s="8" t="s">
        <v>1008</v>
      </c>
      <c r="C1011" s="9">
        <v>2187</v>
      </c>
      <c r="D1011" s="0">
        <v>9</v>
      </c>
      <c r="E1011" s="10">
        <f>HYPERLINK("http://www.lingerieopt.ru/images/original/2df60325-5da3-47f5-93a0-242dfc71d85a.jpg","Фото")</f>
      </c>
    </row>
    <row r="1012">
      <c r="A1012" s="7">
        <f>HYPERLINK("http://www.lingerieopt.ru/item/10858-roskoshnji-bralett-iz-kruzhev-i-nezhnoi-setki/","10858")</f>
      </c>
      <c r="B1012" s="8" t="s">
        <v>1009</v>
      </c>
      <c r="C1012" s="9">
        <v>2187</v>
      </c>
      <c r="D1012" s="0">
        <v>9</v>
      </c>
      <c r="E1012" s="10">
        <f>HYPERLINK("http://www.lingerieopt.ru/images/original/2df60325-5da3-47f5-93a0-242dfc71d85a.jpg","Фото")</f>
      </c>
    </row>
    <row r="1013">
      <c r="A1013" s="7">
        <f>HYPERLINK("http://www.lingerieopt.ru/item/10859-kruzhevnoi-bralett-s-zastezhkoi-speredi/","10859")</f>
      </c>
      <c r="B1013" s="8" t="s">
        <v>1010</v>
      </c>
      <c r="C1013" s="9">
        <v>2094</v>
      </c>
      <c r="D1013" s="0">
        <v>8</v>
      </c>
      <c r="E1013" s="10">
        <f>HYPERLINK("http://www.lingerieopt.ru/images/original/841bed6b-7b27-4fc2-a0b7-514cd3a43797.jpg","Фото")</f>
      </c>
    </row>
    <row r="1014">
      <c r="A1014" s="7">
        <f>HYPERLINK("http://www.lingerieopt.ru/item/10859-kruzhevnoi-bralett-s-zastezhkoi-speredi/","10859")</f>
      </c>
      <c r="B1014" s="8" t="s">
        <v>1011</v>
      </c>
      <c r="C1014" s="9">
        <v>2094</v>
      </c>
      <c r="D1014" s="0">
        <v>9</v>
      </c>
      <c r="E1014" s="10">
        <f>HYPERLINK("http://www.lingerieopt.ru/images/original/841bed6b-7b27-4fc2-a0b7-514cd3a43797.jpg","Фото")</f>
      </c>
    </row>
    <row r="1015">
      <c r="A1015" s="7">
        <f>HYPERLINK("http://www.lingerieopt.ru/item/10859-kruzhevnoi-bralett-s-zastezhkoi-speredi/","10859")</f>
      </c>
      <c r="B1015" s="8" t="s">
        <v>1012</v>
      </c>
      <c r="C1015" s="9">
        <v>2094</v>
      </c>
      <c r="D1015" s="0">
        <v>9</v>
      </c>
      <c r="E1015" s="10">
        <f>HYPERLINK("http://www.lingerieopt.ru/images/original/841bed6b-7b27-4fc2-a0b7-514cd3a43797.jpg","Фото")</f>
      </c>
    </row>
    <row r="1016">
      <c r="A1016" s="7">
        <f>HYPERLINK("http://www.lingerieopt.ru/item/10859-kruzhevnoi-bralett-s-zastezhkoi-speredi/","10859")</f>
      </c>
      <c r="B1016" s="8" t="s">
        <v>1013</v>
      </c>
      <c r="C1016" s="9">
        <v>2094</v>
      </c>
      <c r="D1016" s="0">
        <v>9</v>
      </c>
      <c r="E1016" s="10">
        <f>HYPERLINK("http://www.lingerieopt.ru/images/original/841bed6b-7b27-4fc2-a0b7-514cd3a43797.jpg","Фото")</f>
      </c>
    </row>
    <row r="1017">
      <c r="A1017" s="7">
        <f>HYPERLINK("http://www.lingerieopt.ru/item/10859-kruzhevnoi-bralett-s-zastezhkoi-speredi/","10859")</f>
      </c>
      <c r="B1017" s="8" t="s">
        <v>1014</v>
      </c>
      <c r="C1017" s="9">
        <v>2094</v>
      </c>
      <c r="D1017" s="0">
        <v>9</v>
      </c>
      <c r="E1017" s="10">
        <f>HYPERLINK("http://www.lingerieopt.ru/images/original/841bed6b-7b27-4fc2-a0b7-514cd3a43797.jpg","Фото")</f>
      </c>
    </row>
    <row r="1018">
      <c r="A1018" s="7">
        <f>HYPERLINK("http://www.lingerieopt.ru/item/10859-kruzhevnoi-bralett-s-zastezhkoi-speredi/","10859")</f>
      </c>
      <c r="B1018" s="8" t="s">
        <v>1015</v>
      </c>
      <c r="C1018" s="9">
        <v>2094</v>
      </c>
      <c r="D1018" s="0">
        <v>10</v>
      </c>
      <c r="E1018" s="10">
        <f>HYPERLINK("http://www.lingerieopt.ru/images/original/841bed6b-7b27-4fc2-a0b7-514cd3a43797.jpg","Фото")</f>
      </c>
    </row>
    <row r="1019">
      <c r="A1019" s="7">
        <f>HYPERLINK("http://www.lingerieopt.ru/item/10860-kruzhevnoi-bralett-iz-vozdushnogo-kruzheva/","10860")</f>
      </c>
      <c r="B1019" s="8" t="s">
        <v>1016</v>
      </c>
      <c r="C1019" s="9">
        <v>2094</v>
      </c>
      <c r="D1019" s="0">
        <v>8</v>
      </c>
      <c r="E1019" s="10">
        <f>HYPERLINK("http://www.lingerieopt.ru/images/original/0631bb89-1c51-4289-828a-35182658b2b7.jpg","Фото")</f>
      </c>
    </row>
    <row r="1020">
      <c r="A1020" s="7">
        <f>HYPERLINK("http://www.lingerieopt.ru/item/10860-kruzhevnoi-bralett-iz-vozdushnogo-kruzheva/","10860")</f>
      </c>
      <c r="B1020" s="8" t="s">
        <v>1017</v>
      </c>
      <c r="C1020" s="9">
        <v>2094</v>
      </c>
      <c r="D1020" s="0">
        <v>10</v>
      </c>
      <c r="E1020" s="10">
        <f>HYPERLINK("http://www.lingerieopt.ru/images/original/0631bb89-1c51-4289-828a-35182658b2b7.jpg","Фото")</f>
      </c>
    </row>
    <row r="1021">
      <c r="A1021" s="7">
        <f>HYPERLINK("http://www.lingerieopt.ru/item/10860-kruzhevnoi-bralett-iz-vozdushnogo-kruzheva/","10860")</f>
      </c>
      <c r="B1021" s="8" t="s">
        <v>1018</v>
      </c>
      <c r="C1021" s="9">
        <v>2094</v>
      </c>
      <c r="D1021" s="0">
        <v>9</v>
      </c>
      <c r="E1021" s="10">
        <f>HYPERLINK("http://www.lingerieopt.ru/images/original/0631bb89-1c51-4289-828a-35182658b2b7.jpg","Фото")</f>
      </c>
    </row>
    <row r="1022">
      <c r="A1022" s="7">
        <f>HYPERLINK("http://www.lingerieopt.ru/item/10860-kruzhevnoi-bralett-iz-vozdushnogo-kruzheva/","10860")</f>
      </c>
      <c r="B1022" s="8" t="s">
        <v>1019</v>
      </c>
      <c r="C1022" s="9">
        <v>2094</v>
      </c>
      <c r="D1022" s="0">
        <v>9</v>
      </c>
      <c r="E1022" s="10">
        <f>HYPERLINK("http://www.lingerieopt.ru/images/original/0631bb89-1c51-4289-828a-35182658b2b7.jpg","Фото")</f>
      </c>
    </row>
    <row r="1023">
      <c r="A1023" s="7">
        <f>HYPERLINK("http://www.lingerieopt.ru/item/10860-kruzhevnoi-bralett-iz-vozdushnogo-kruzheva/","10860")</f>
      </c>
      <c r="B1023" s="8" t="s">
        <v>1020</v>
      </c>
      <c r="C1023" s="9">
        <v>2094</v>
      </c>
      <c r="D1023" s="0">
        <v>10</v>
      </c>
      <c r="E1023" s="10">
        <f>HYPERLINK("http://www.lingerieopt.ru/images/original/0631bb89-1c51-4289-828a-35182658b2b7.jpg","Фото")</f>
      </c>
    </row>
    <row r="1024">
      <c r="A1024" s="7">
        <f>HYPERLINK("http://www.lingerieopt.ru/item/10860-kruzhevnoi-bralett-iz-vozdushnogo-kruzheva/","10860")</f>
      </c>
      <c r="B1024" s="8" t="s">
        <v>1021</v>
      </c>
      <c r="C1024" s="9">
        <v>2094</v>
      </c>
      <c r="D1024" s="0">
        <v>10</v>
      </c>
      <c r="E1024" s="10">
        <f>HYPERLINK("http://www.lingerieopt.ru/images/original/0631bb89-1c51-4289-828a-35182658b2b7.jpg","Фото")</f>
      </c>
    </row>
    <row r="1025">
      <c r="A1025" s="7">
        <f>HYPERLINK("http://www.lingerieopt.ru/item/10861-azhurnji-bralett-norddiva-s-ukrasheniem-na-spine/","10861")</f>
      </c>
      <c r="B1025" s="8" t="s">
        <v>1022</v>
      </c>
      <c r="C1025" s="9">
        <v>2688</v>
      </c>
      <c r="D1025" s="0">
        <v>9</v>
      </c>
      <c r="E1025" s="10">
        <f>HYPERLINK("http://www.lingerieopt.ru/images/original/5c95e96e-bbe9-4545-8adf-0761995233c4.jpg","Фото")</f>
      </c>
    </row>
    <row r="1026">
      <c r="A1026" s="7">
        <f>HYPERLINK("http://www.lingerieopt.ru/item/10861-azhurnji-bralett-norddiva-s-ukrasheniem-na-spine/","10861")</f>
      </c>
      <c r="B1026" s="8" t="s">
        <v>1023</v>
      </c>
      <c r="C1026" s="9">
        <v>2688</v>
      </c>
      <c r="D1026" s="0">
        <v>9</v>
      </c>
      <c r="E1026" s="10">
        <f>HYPERLINK("http://www.lingerieopt.ru/images/original/5c95e96e-bbe9-4545-8adf-0761995233c4.jpg","Фото")</f>
      </c>
    </row>
    <row r="1027">
      <c r="A1027" s="7">
        <f>HYPERLINK("http://www.lingerieopt.ru/item/10861-azhurnji-bralett-norddiva-s-ukrasheniem-na-spine/","10861")</f>
      </c>
      <c r="B1027" s="8" t="s">
        <v>1024</v>
      </c>
      <c r="C1027" s="9">
        <v>2688</v>
      </c>
      <c r="D1027" s="0">
        <v>10</v>
      </c>
      <c r="E1027" s="10">
        <f>HYPERLINK("http://www.lingerieopt.ru/images/original/5c95e96e-bbe9-4545-8adf-0761995233c4.jpg","Фото")</f>
      </c>
    </row>
    <row r="1028">
      <c r="A1028" s="7">
        <f>HYPERLINK("http://www.lingerieopt.ru/item/10903-bralett-delicacy-c-figurnjmi-vjrezami/","10903")</f>
      </c>
      <c r="B1028" s="8" t="s">
        <v>1025</v>
      </c>
      <c r="C1028" s="9">
        <v>551</v>
      </c>
      <c r="D1028" s="0">
        <v>32</v>
      </c>
      <c r="E1028" s="10">
        <f>HYPERLINK("http://www.lingerieopt.ru/images/original/f1adf1f3-a8a2-48db-9fe5-25d4adc0d070.jpg","Фото")</f>
      </c>
    </row>
    <row r="1029">
      <c r="A1029" s="7">
        <f>HYPERLINK("http://www.lingerieopt.ru/item/10903-bralett-delicacy-c-figurnjmi-vjrezami/","10903")</f>
      </c>
      <c r="B1029" s="8" t="s">
        <v>1026</v>
      </c>
      <c r="C1029" s="9">
        <v>551</v>
      </c>
      <c r="D1029" s="0">
        <v>27</v>
      </c>
      <c r="E1029" s="10">
        <f>HYPERLINK("http://www.lingerieopt.ru/images/original/f1adf1f3-a8a2-48db-9fe5-25d4adc0d070.jpg","Фото")</f>
      </c>
    </row>
    <row r="1030">
      <c r="A1030" s="7">
        <f>HYPERLINK("http://www.lingerieopt.ru/item/10903-bralett-delicacy-c-figurnjmi-vjrezami/","10903")</f>
      </c>
      <c r="B1030" s="8" t="s">
        <v>1027</v>
      </c>
      <c r="C1030" s="9">
        <v>551</v>
      </c>
      <c r="D1030" s="0">
        <v>23</v>
      </c>
      <c r="E1030" s="10">
        <f>HYPERLINK("http://www.lingerieopt.ru/images/original/f1adf1f3-a8a2-48db-9fe5-25d4adc0d070.jpg","Фото")</f>
      </c>
    </row>
    <row r="1031">
      <c r="A1031" s="5"/>
      <c r="B1031" s="6" t="s">
        <v>1028</v>
      </c>
      <c r="C1031" s="5"/>
      <c r="D1031" s="5"/>
      <c r="E1031" s="5"/>
    </row>
    <row r="1032">
      <c r="A1032" s="7">
        <f>HYPERLINK("http://www.lingerieopt.ru/item/284-kolgotki-v-melkuyu-setku/","284")</f>
      </c>
      <c r="B1032" s="8" t="s">
        <v>1029</v>
      </c>
      <c r="C1032" s="9">
        <v>351</v>
      </c>
      <c r="D1032" s="0">
        <v>0</v>
      </c>
      <c r="E1032" s="10">
        <f>HYPERLINK("http://www.lingerieopt.ru/images/original/7f93a660-1360-4670-b56e-1c26f145dc17.jpg","Фото")</f>
      </c>
    </row>
    <row r="1033">
      <c r="A1033" s="7">
        <f>HYPERLINK("http://www.lingerieopt.ru/item/284-kolgotki-v-melkuyu-setku/","284")</f>
      </c>
      <c r="B1033" s="8" t="s">
        <v>1030</v>
      </c>
      <c r="C1033" s="9">
        <v>351</v>
      </c>
      <c r="D1033" s="0">
        <v>2</v>
      </c>
      <c r="E1033" s="10">
        <f>HYPERLINK("http://www.lingerieopt.ru/images/original/7f93a660-1360-4670-b56e-1c26f145dc17.jpg","Фото")</f>
      </c>
    </row>
    <row r="1034">
      <c r="A1034" s="7">
        <f>HYPERLINK("http://www.lingerieopt.ru/item/284-kolgotki-v-melkuyu-setku/","284")</f>
      </c>
      <c r="B1034" s="8" t="s">
        <v>1031</v>
      </c>
      <c r="C1034" s="9">
        <v>351</v>
      </c>
      <c r="D1034" s="0">
        <v>0</v>
      </c>
      <c r="E1034" s="10">
        <f>HYPERLINK("http://www.lingerieopt.ru/images/original/7f93a660-1360-4670-b56e-1c26f145dc17.jpg","Фото")</f>
      </c>
    </row>
    <row r="1035">
      <c r="A1035" s="7">
        <f>HYPERLINK("http://www.lingerieopt.ru/item/284-kolgotki-v-melkuyu-setku/","284")</f>
      </c>
      <c r="B1035" s="8" t="s">
        <v>1032</v>
      </c>
      <c r="C1035" s="9">
        <v>351</v>
      </c>
      <c r="D1035" s="0">
        <v>0</v>
      </c>
      <c r="E1035" s="10">
        <f>HYPERLINK("http://www.lingerieopt.ru/images/original/7f93a660-1360-4670-b56e-1c26f145dc17.jpg","Фото")</f>
      </c>
    </row>
    <row r="1036">
      <c r="A1036" s="7">
        <f>HYPERLINK("http://www.lingerieopt.ru/item/284-kolgotki-v-melkuyu-setku/","284")</f>
      </c>
      <c r="B1036" s="8" t="s">
        <v>1033</v>
      </c>
      <c r="C1036" s="9">
        <v>351</v>
      </c>
      <c r="D1036" s="0">
        <v>0</v>
      </c>
      <c r="E1036" s="10">
        <f>HYPERLINK("http://www.lingerieopt.ru/images/original/7f93a660-1360-4670-b56e-1c26f145dc17.jpg","Фото")</f>
      </c>
    </row>
    <row r="1037">
      <c r="A1037" s="7">
        <f>HYPERLINK("http://www.lingerieopt.ru/item/646-kombinirovannje-chernje-kolgotki-setka/","646")</f>
      </c>
      <c r="B1037" s="8" t="s">
        <v>1034</v>
      </c>
      <c r="C1037" s="9">
        <v>522</v>
      </c>
      <c r="D1037" s="0">
        <v>39</v>
      </c>
      <c r="E1037" s="10">
        <f>HYPERLINK("http://www.lingerieopt.ru/images/original/0eaeb007-3c4a-4501-a64a-8f0d978c064c.jpg","Фото")</f>
      </c>
    </row>
    <row r="1038">
      <c r="A1038" s="7">
        <f>HYPERLINK("http://www.lingerieopt.ru/item/650-kolgotki-setka-so-shnurovkami-szadi/","650")</f>
      </c>
      <c r="B1038" s="8" t="s">
        <v>1035</v>
      </c>
      <c r="C1038" s="9">
        <v>629</v>
      </c>
      <c r="D1038" s="0">
        <v>76</v>
      </c>
      <c r="E1038" s="10">
        <f>HYPERLINK("http://www.lingerieopt.ru/images/original/814cb239-5759-4d8a-8fd8-6b5530f994aa.jpg","Фото")</f>
      </c>
    </row>
    <row r="1039">
      <c r="A1039" s="7">
        <f>HYPERLINK("http://www.lingerieopt.ru/item/2715-kolgotki-s-vjrezami-po-vsei-dline/","2715")</f>
      </c>
      <c r="B1039" s="8" t="s">
        <v>1036</v>
      </c>
      <c r="C1039" s="9">
        <v>499</v>
      </c>
      <c r="D1039" s="0">
        <v>0</v>
      </c>
      <c r="E1039" s="10">
        <f>HYPERLINK("http://www.lingerieopt.ru/images/original/bf007085-a54b-4672-b4c7-b58a9f85c760.jpg","Фото")</f>
      </c>
    </row>
    <row r="1040">
      <c r="A1040" s="7">
        <f>HYPERLINK("http://www.lingerieopt.ru/item/2715-kolgotki-s-vjrezami-po-vsei-dline/","2715")</f>
      </c>
      <c r="B1040" s="8" t="s">
        <v>1037</v>
      </c>
      <c r="C1040" s="9">
        <v>499</v>
      </c>
      <c r="D1040" s="0">
        <v>72</v>
      </c>
      <c r="E1040" s="10">
        <f>HYPERLINK("http://www.lingerieopt.ru/images/original/bf007085-a54b-4672-b4c7-b58a9f85c760.jpg","Фото")</f>
      </c>
    </row>
    <row r="1041">
      <c r="A1041" s="7">
        <f>HYPERLINK("http://www.lingerieopt.ru/item/3598-kolgotki-s-ornamentom-v-vide-treugolnikov/","3598")</f>
      </c>
      <c r="B1041" s="8" t="s">
        <v>1038</v>
      </c>
      <c r="C1041" s="9">
        <v>710</v>
      </c>
      <c r="D1041" s="0">
        <v>30</v>
      </c>
      <c r="E1041" s="10">
        <f>HYPERLINK("http://www.lingerieopt.ru/images/original/d85dcba2-c336-4ad9-b0c1-fa7c4891ddb4.jpg","Фото")</f>
      </c>
    </row>
    <row r="1042">
      <c r="A1042" s="7">
        <f>HYPERLINK("http://www.lingerieopt.ru/item/3623-fantaziinje-kolgotki-s-uzorom-v-kletku/","3623")</f>
      </c>
      <c r="B1042" s="8" t="s">
        <v>1039</v>
      </c>
      <c r="C1042" s="9">
        <v>627</v>
      </c>
      <c r="D1042" s="0">
        <v>30</v>
      </c>
      <c r="E1042" s="10">
        <f>HYPERLINK("http://www.lingerieopt.ru/images/original/78a6ed16-edfc-4aca-a70f-1a7bd4641de4.jpg","Фото")</f>
      </c>
    </row>
    <row r="1043">
      <c r="A1043" s="7">
        <f>HYPERLINK("http://www.lingerieopt.ru/item/3628-kolgotki-kombinirovannje-krupnaya-setka-speredi-i-melkaya-szadi/","3628")</f>
      </c>
      <c r="B1043" s="8" t="s">
        <v>1040</v>
      </c>
      <c r="C1043" s="9">
        <v>627</v>
      </c>
      <c r="D1043" s="0">
        <v>30</v>
      </c>
      <c r="E1043" s="10">
        <f>HYPERLINK("http://www.lingerieopt.ru/images/original/829e4b77-8737-4e79-9f81-4d0cd15e85a0.jpg","Фото")</f>
      </c>
    </row>
    <row r="1044">
      <c r="A1044" s="7">
        <f>HYPERLINK("http://www.lingerieopt.ru/item/3629-klassicheskie-chernje-elastichnje-kolgotj-s-vjsokoi-taliei/","3629")</f>
      </c>
      <c r="B1044" s="8" t="s">
        <v>1041</v>
      </c>
      <c r="C1044" s="9">
        <v>502</v>
      </c>
      <c r="D1044" s="0">
        <v>30</v>
      </c>
      <c r="E1044" s="10">
        <f>HYPERLINK("http://www.lingerieopt.ru/images/original/7c0afe40-33dc-481f-ab42-f3ded1f1ac17.jpg","Фото")</f>
      </c>
    </row>
    <row r="1045">
      <c r="A1045" s="7">
        <f>HYPERLINK("http://www.lingerieopt.ru/item/3695-kolgotki-s-neobjchnjm-kletchatjm-risunkom/","3695")</f>
      </c>
      <c r="B1045" s="8" t="s">
        <v>1042</v>
      </c>
      <c r="C1045" s="9">
        <v>547</v>
      </c>
      <c r="D1045" s="0">
        <v>30</v>
      </c>
      <c r="E1045" s="10">
        <f>HYPERLINK("http://www.lingerieopt.ru/images/original/3c18f0af-e861-44ec-b5e7-a96c425fc716.jpg","Фото")</f>
      </c>
    </row>
    <row r="1046">
      <c r="A1046" s="7">
        <f>HYPERLINK("http://www.lingerieopt.ru/item/3696-kolgotki-s-leopardovjm-risunkom/","3696")</f>
      </c>
      <c r="B1046" s="8" t="s">
        <v>1043</v>
      </c>
      <c r="C1046" s="9">
        <v>547</v>
      </c>
      <c r="D1046" s="0">
        <v>30</v>
      </c>
      <c r="E1046" s="10">
        <f>HYPERLINK("http://www.lingerieopt.ru/images/original/33a40a63-39db-4222-8c92-3a285e6f3492.jpg","Фото")</f>
      </c>
    </row>
    <row r="1047">
      <c r="A1047" s="7">
        <f>HYPERLINK("http://www.lingerieopt.ru/item/3863-setchatje-kolgotki-pautinka/","3863")</f>
      </c>
      <c r="B1047" s="8" t="s">
        <v>1044</v>
      </c>
      <c r="C1047" s="9">
        <v>547</v>
      </c>
      <c r="D1047" s="0">
        <v>1</v>
      </c>
      <c r="E1047" s="10">
        <f>HYPERLINK("http://www.lingerieopt.ru/images/original/4c869b7f-7570-4891-a94e-84b36180cf39.jpg","Фото")</f>
      </c>
    </row>
    <row r="1048">
      <c r="A1048" s="7">
        <f>HYPERLINK("http://www.lingerieopt.ru/item/3947-kolgotj-v-krupnuyu-setku-s-vjrezami-na-bedrah/","3947")</f>
      </c>
      <c r="B1048" s="8" t="s">
        <v>1045</v>
      </c>
      <c r="C1048" s="9">
        <v>750</v>
      </c>
      <c r="D1048" s="0">
        <v>30</v>
      </c>
      <c r="E1048" s="10">
        <f>HYPERLINK("http://www.lingerieopt.ru/images/original/a7e626b1-fc21-449c-9dc2-1de00fae5234.jpg","Фото")</f>
      </c>
    </row>
    <row r="1049">
      <c r="A1049" s="7">
        <f>HYPERLINK("http://www.lingerieopt.ru/item/3948-kolgotki-s-geometricheskim-risunkom/","3948")</f>
      </c>
      <c r="B1049" s="8" t="s">
        <v>1046</v>
      </c>
      <c r="C1049" s="9">
        <v>859</v>
      </c>
      <c r="D1049" s="0">
        <v>30</v>
      </c>
      <c r="E1049" s="10">
        <f>HYPERLINK("http://www.lingerieopt.ru/images/original/3f1968a9-43af-49ba-9e64-8b1a176a2c26.jpg","Фото")</f>
      </c>
    </row>
    <row r="1050">
      <c r="A1050" s="7">
        <f>HYPERLINK("http://www.lingerieopt.ru/item/3950-kolgotki-v-krugluyu-setku/","3950")</f>
      </c>
      <c r="B1050" s="8" t="s">
        <v>1047</v>
      </c>
      <c r="C1050" s="9">
        <v>696</v>
      </c>
      <c r="D1050" s="0">
        <v>30</v>
      </c>
      <c r="E1050" s="10">
        <f>HYPERLINK("http://www.lingerieopt.ru/images/original/5116aaf7-0855-473c-938d-cd857dc195e5.jpg","Фото")</f>
      </c>
    </row>
    <row r="1051">
      <c r="A1051" s="7">
        <f>HYPERLINK("http://www.lingerieopt.ru/item/3951-kolgotki-v-krupnuyu-setku/","3951")</f>
      </c>
      <c r="B1051" s="8" t="s">
        <v>1048</v>
      </c>
      <c r="C1051" s="9">
        <v>666</v>
      </c>
      <c r="D1051" s="0">
        <v>30</v>
      </c>
      <c r="E1051" s="10">
        <f>HYPERLINK("http://www.lingerieopt.ru/images/original/2314ac5b-33cb-4fa0-b6f5-c246ff46dbae.jpg","Фото")</f>
      </c>
    </row>
    <row r="1052">
      <c r="A1052" s="7">
        <f>HYPERLINK("http://www.lingerieopt.ru/item/3953-kolgotki-v-setku-s-bokovjm-risunkom/","3953")</f>
      </c>
      <c r="B1052" s="8" t="s">
        <v>1049</v>
      </c>
      <c r="C1052" s="9">
        <v>760</v>
      </c>
      <c r="D1052" s="0">
        <v>30</v>
      </c>
      <c r="E1052" s="10">
        <f>HYPERLINK("http://www.lingerieopt.ru/images/original/95004ac9-96c8-4e55-ad65-9148b20a8fb8.jpg","Фото")</f>
      </c>
    </row>
    <row r="1053">
      <c r="A1053" s="7">
        <f>HYPERLINK("http://www.lingerieopt.ru/item/3955-kolgotki-s-rombovidnjm-risunkom/","3955")</f>
      </c>
      <c r="B1053" s="8" t="s">
        <v>1050</v>
      </c>
      <c r="C1053" s="9">
        <v>821</v>
      </c>
      <c r="D1053" s="0">
        <v>30</v>
      </c>
      <c r="E1053" s="10">
        <f>HYPERLINK("http://www.lingerieopt.ru/images/original/a56911dd-979e-4769-bbbb-f3ccb90715b2.jpg","Фото")</f>
      </c>
    </row>
    <row r="1054">
      <c r="A1054" s="7">
        <f>HYPERLINK("http://www.lingerieopt.ru/item/3957-setevje-kolgotki-na-uzkoi-rezinke/","3957")</f>
      </c>
      <c r="B1054" s="8" t="s">
        <v>1051</v>
      </c>
      <c r="C1054" s="9">
        <v>824</v>
      </c>
      <c r="D1054" s="0">
        <v>30</v>
      </c>
      <c r="E1054" s="10">
        <f>HYPERLINK("http://www.lingerieopt.ru/images/original/f20f7e5d-78b9-4b4f-bcdf-92751b4ba290.jpg","Фото")</f>
      </c>
    </row>
    <row r="1055">
      <c r="A1055" s="7">
        <f>HYPERLINK("http://www.lingerieopt.ru/item/4009-kolgotki-s-leopardovjmi-pyatnjshkami/","4009")</f>
      </c>
      <c r="B1055" s="8" t="s">
        <v>1052</v>
      </c>
      <c r="C1055" s="9">
        <v>830</v>
      </c>
      <c r="D1055" s="0">
        <v>6</v>
      </c>
      <c r="E1055" s="10">
        <f>HYPERLINK("http://www.lingerieopt.ru/images/original/ae3d27ce-d81d-4c48-b287-417de46b958e.jpg","Фото")</f>
      </c>
    </row>
    <row r="1056">
      <c r="A1056" s="7">
        <f>HYPERLINK("http://www.lingerieopt.ru/item/4027-temnje-kolgotki-s-risunkom-komplekta-belya/","4027")</f>
      </c>
      <c r="B1056" s="8" t="s">
        <v>1053</v>
      </c>
      <c r="C1056" s="9">
        <v>538</v>
      </c>
      <c r="D1056" s="0">
        <v>1</v>
      </c>
      <c r="E1056" s="10">
        <f>HYPERLINK("http://www.lingerieopt.ru/images/original/cfa3b604-b70e-429a-9193-e9cad0080fd5.jpg","Фото")</f>
      </c>
    </row>
    <row r="1057">
      <c r="A1057" s="7">
        <f>HYPERLINK("http://www.lingerieopt.ru/item/4028-kolgotki-s-kruzhevnjmi-shortikami/","4028")</f>
      </c>
      <c r="B1057" s="8" t="s">
        <v>1054</v>
      </c>
      <c r="C1057" s="9">
        <v>847</v>
      </c>
      <c r="D1057" s="0">
        <v>0</v>
      </c>
      <c r="E1057" s="10">
        <f>HYPERLINK("http://www.lingerieopt.ru/images/original/55c2dcc5-5cb9-4adc-aa36-d6e1baf66871.jpg","Фото")</f>
      </c>
    </row>
    <row r="1058">
      <c r="A1058" s="7">
        <f>HYPERLINK("http://www.lingerieopt.ru/item/4028-kolgotki-s-kruzhevnjmi-shortikami/","4028")</f>
      </c>
      <c r="B1058" s="8" t="s">
        <v>1055</v>
      </c>
      <c r="C1058" s="9">
        <v>847</v>
      </c>
      <c r="D1058" s="0">
        <v>6</v>
      </c>
      <c r="E1058" s="10">
        <f>HYPERLINK("http://www.lingerieopt.ru/images/original/55c2dcc5-5cb9-4adc-aa36-d6e1baf66871.jpg","Фото")</f>
      </c>
    </row>
    <row r="1059">
      <c r="A1059" s="7">
        <f>HYPERLINK("http://www.lingerieopt.ru/item/4038-kolgotki-v-melkuyu-setku-so-shvom-szadi/","4038")</f>
      </c>
      <c r="B1059" s="8" t="s">
        <v>1056</v>
      </c>
      <c r="C1059" s="9">
        <v>314</v>
      </c>
      <c r="D1059" s="0">
        <v>1</v>
      </c>
      <c r="E1059" s="10">
        <f>HYPERLINK("http://www.lingerieopt.ru/images/original/edb9e681-43e8-4a76-bffe-e32b1899c6aa.jpg","Фото")</f>
      </c>
    </row>
    <row r="1060">
      <c r="A1060" s="7">
        <f>HYPERLINK("http://www.lingerieopt.ru/item/4111-klassicheskie-kolgotki-v-melkuyu-setku/","4111")</f>
      </c>
      <c r="B1060" s="8" t="s">
        <v>1057</v>
      </c>
      <c r="C1060" s="9">
        <v>314</v>
      </c>
      <c r="D1060" s="0">
        <v>1</v>
      </c>
      <c r="E1060" s="10">
        <f>HYPERLINK("http://www.lingerieopt.ru/images/original/a2ab91bc-eac9-428d-ae5b-8cbfec9a6570.jpg","Фото")</f>
      </c>
    </row>
    <row r="1061">
      <c r="A1061" s="7">
        <f>HYPERLINK("http://www.lingerieopt.ru/item/4285-chernje-kolgotki-so-strazami/","4285")</f>
      </c>
      <c r="B1061" s="8" t="s">
        <v>1058</v>
      </c>
      <c r="C1061" s="9">
        <v>719</v>
      </c>
      <c r="D1061" s="0">
        <v>2</v>
      </c>
      <c r="E1061" s="10">
        <f>HYPERLINK("http://www.lingerieopt.ru/images/original/44421bb4-2389-4aa9-aa93-86ff6ddc2897.jpg","Фото")</f>
      </c>
    </row>
    <row r="1062">
      <c r="A1062" s="7">
        <f>HYPERLINK("http://www.lingerieopt.ru/item/4310-kolgotki-v-melkuyu-setku-s-cvetochnjm-azhurnjm-uzorom/","4310")</f>
      </c>
      <c r="B1062" s="8" t="s">
        <v>1059</v>
      </c>
      <c r="C1062" s="9">
        <v>629</v>
      </c>
      <c r="D1062" s="0">
        <v>6</v>
      </c>
      <c r="E1062" s="10">
        <f>HYPERLINK("http://www.lingerieopt.ru/images/original/56283f53-4628-48a0-bd63-b98590b55520.jpg","Фото")</f>
      </c>
    </row>
    <row r="1063">
      <c r="A1063" s="7">
        <f>HYPERLINK("http://www.lingerieopt.ru/item/4325-kolgotki-s-azhurnjmi-bantikami/","4325")</f>
      </c>
      <c r="B1063" s="8" t="s">
        <v>1060</v>
      </c>
      <c r="C1063" s="9">
        <v>629</v>
      </c>
      <c r="D1063" s="0">
        <v>30</v>
      </c>
      <c r="E1063" s="10">
        <f>HYPERLINK("http://www.lingerieopt.ru/images/original/0cc2bc29-3360-4b26-89d5-eb57ac7a6f42.jpg","Фото")</f>
      </c>
    </row>
    <row r="1064">
      <c r="A1064" s="7">
        <f>HYPERLINK("http://www.lingerieopt.ru/item/4329-kolgotki-v-melkuyu-setku/","4329")</f>
      </c>
      <c r="B1064" s="8" t="s">
        <v>1029</v>
      </c>
      <c r="C1064" s="9">
        <v>538</v>
      </c>
      <c r="D1064" s="0">
        <v>30</v>
      </c>
      <c r="E1064" s="10">
        <f>HYPERLINK("http://www.lingerieopt.ru/images/original/c60fa7b7-c200-42fd-9a67-ca49ffd8664b.jpg","Фото")</f>
      </c>
    </row>
    <row r="1065">
      <c r="A1065" s="7">
        <f>HYPERLINK("http://www.lingerieopt.ru/item/4451-kolgotki-v-setku-s-ornamentom/","4451")</f>
      </c>
      <c r="B1065" s="8" t="s">
        <v>1061</v>
      </c>
      <c r="C1065" s="9">
        <v>323</v>
      </c>
      <c r="D1065" s="0">
        <v>30</v>
      </c>
      <c r="E1065" s="10">
        <f>HYPERLINK("http://www.lingerieopt.ru/images/original/529e2fcc-983b-4b40-ad2a-cf6317fcbeac.jpg","Фото")</f>
      </c>
    </row>
    <row r="1066">
      <c r="A1066" s="7">
        <f>HYPERLINK("http://www.lingerieopt.ru/item/4452-kolgotki-so-shnurovkoi-cute-girl/","4452")</f>
      </c>
      <c r="B1066" s="8" t="s">
        <v>1062</v>
      </c>
      <c r="C1066" s="9">
        <v>614</v>
      </c>
      <c r="D1066" s="0">
        <v>6</v>
      </c>
      <c r="E1066" s="10">
        <f>HYPERLINK("http://www.lingerieopt.ru/images/original/238fa6ad-e7fd-4a66-8864-40492d00996f.jpg","Фото")</f>
      </c>
    </row>
    <row r="1067">
      <c r="A1067" s="7">
        <f>HYPERLINK("http://www.lingerieopt.ru/item/4460-kolgotki-v-krugluyu-setku/","4460")</f>
      </c>
      <c r="B1067" s="8" t="s">
        <v>1047</v>
      </c>
      <c r="C1067" s="9">
        <v>335</v>
      </c>
      <c r="D1067" s="0">
        <v>30</v>
      </c>
      <c r="E1067" s="10">
        <f>HYPERLINK("http://www.lingerieopt.ru/images/original/fbc49d5b-e7a8-4223-8945-6cd6035e1552.jpg","Фото")</f>
      </c>
    </row>
    <row r="1068">
      <c r="A1068" s="7">
        <f>HYPERLINK("http://www.lingerieopt.ru/item/4482-kolgotki-s-geometricheskim-risunkom/","4482")</f>
      </c>
      <c r="B1068" s="8" t="s">
        <v>1046</v>
      </c>
      <c r="C1068" s="9">
        <v>446</v>
      </c>
      <c r="D1068" s="0">
        <v>30</v>
      </c>
      <c r="E1068" s="10">
        <f>HYPERLINK("http://www.lingerieopt.ru/images/original/b94571a4-c97d-4f27-89a7-f0614bd395bb.jpg","Фото")</f>
      </c>
    </row>
    <row r="1069">
      <c r="A1069" s="7">
        <f>HYPERLINK("http://www.lingerieopt.ru/item/4591-kolgotki-v-melkuyu-setku-so-shvom-szadi/","4591")</f>
      </c>
      <c r="B1069" s="8" t="s">
        <v>1063</v>
      </c>
      <c r="C1069" s="9">
        <v>404</v>
      </c>
      <c r="D1069" s="0">
        <v>31</v>
      </c>
      <c r="E1069" s="10">
        <f>HYPERLINK("http://www.lingerieopt.ru/images/original/34ae009a-9e6e-476b-ab5b-28e9fca4fdc3.jpg","Фото")</f>
      </c>
    </row>
    <row r="1070">
      <c r="A1070" s="7">
        <f>HYPERLINK("http://www.lingerieopt.ru/item/5262-kolgotki-v-setku-s-pikantnjm-vjrezom/","5262")</f>
      </c>
      <c r="B1070" s="8" t="s">
        <v>1064</v>
      </c>
      <c r="C1070" s="9">
        <v>417</v>
      </c>
      <c r="D1070" s="0">
        <v>21</v>
      </c>
      <c r="E1070" s="10">
        <f>HYPERLINK("http://www.lingerieopt.ru/images/original/4e9cd064-c6c7-4f58-92cd-af265082449f.jpg","Фото")</f>
      </c>
    </row>
    <row r="1071">
      <c r="A1071" s="7">
        <f>HYPERLINK("http://www.lingerieopt.ru/item/5263-kolgotki-v-setku-s-vjrezami-na-bedrah-i-dostupom/","5263")</f>
      </c>
      <c r="B1071" s="8" t="s">
        <v>1065</v>
      </c>
      <c r="C1071" s="9">
        <v>417</v>
      </c>
      <c r="D1071" s="0">
        <v>2</v>
      </c>
      <c r="E1071" s="10">
        <f>HYPERLINK("http://www.lingerieopt.ru/images/original/216268c0-01cb-4727-8f61-2b4b3f477d75.jpg","Фото")</f>
      </c>
    </row>
    <row r="1072">
      <c r="A1072" s="7">
        <f>HYPERLINK("http://www.lingerieopt.ru/item/5270-kolgotki-v-setku-s-imitaciei-chulok-s-poyasom/","5270")</f>
      </c>
      <c r="B1072" s="8" t="s">
        <v>1066</v>
      </c>
      <c r="C1072" s="9">
        <v>444</v>
      </c>
      <c r="D1072" s="0">
        <v>3</v>
      </c>
      <c r="E1072" s="10">
        <f>HYPERLINK("http://www.lingerieopt.ru/images/original/4e912a5b-cd0f-4d9f-840a-8bd3567be635.jpg","Фото")</f>
      </c>
    </row>
    <row r="1073">
      <c r="A1073" s="7">
        <f>HYPERLINK("http://www.lingerieopt.ru/item/6249-kolgotj-s-dostupom-i-uzorom-v-vide-serdechek/","6249")</f>
      </c>
      <c r="B1073" s="8" t="s">
        <v>1067</v>
      </c>
      <c r="C1073" s="9">
        <v>636</v>
      </c>
      <c r="D1073" s="0">
        <v>12</v>
      </c>
      <c r="E1073" s="10">
        <f>HYPERLINK("http://www.lingerieopt.ru/images/original/a8543ee3-cc31-43fa-9578-350912ef7ce9.jpg","Фото")</f>
      </c>
    </row>
    <row r="1074">
      <c r="A1074" s="7">
        <f>HYPERLINK("http://www.lingerieopt.ru/item/6249-kolgotj-s-dostupom-i-uzorom-v-vide-serdechek/","6249")</f>
      </c>
      <c r="B1074" s="8" t="s">
        <v>1068</v>
      </c>
      <c r="C1074" s="9">
        <v>636</v>
      </c>
      <c r="D1074" s="0">
        <v>8</v>
      </c>
      <c r="E1074" s="10">
        <f>HYPERLINK("http://www.lingerieopt.ru/images/original/a8543ee3-cc31-43fa-9578-350912ef7ce9.jpg","Фото")</f>
      </c>
    </row>
    <row r="1075">
      <c r="A1075" s="7">
        <f>HYPERLINK("http://www.lingerieopt.ru/item/6386-neilonovje-kolgotki-v-setku-so-strelochkami-szadi/","6386")</f>
      </c>
      <c r="B1075" s="8" t="s">
        <v>1069</v>
      </c>
      <c r="C1075" s="9">
        <v>217</v>
      </c>
      <c r="D1075" s="0">
        <v>59</v>
      </c>
      <c r="E1075" s="10">
        <f>HYPERLINK("http://www.lingerieopt.ru/images/original/0e2aa7cb-38f8-4b6d-ba74-826c58086286.jpg","Фото")</f>
      </c>
    </row>
    <row r="1076">
      <c r="A1076" s="7">
        <f>HYPERLINK("http://www.lingerieopt.ru/item/6570-kolgotki-so-strelkoi-spandex-backseam-pantyhose/","6570")</f>
      </c>
      <c r="B1076" s="8" t="s">
        <v>1070</v>
      </c>
      <c r="C1076" s="9">
        <v>572</v>
      </c>
      <c r="D1076" s="0">
        <v>6</v>
      </c>
      <c r="E1076" s="10">
        <f>HYPERLINK("http://www.lingerieopt.ru/images/original/4b1a0a0c-2d40-43af-b1c1-1e1a95317c58.jpg","Фото")</f>
      </c>
    </row>
    <row r="1077">
      <c r="A1077" s="7">
        <f>HYPERLINK("http://www.lingerieopt.ru/item/6744-kolgotki-s-imitaciei-chulkov-na-podtyazhkah-dalia/","6744")</f>
      </c>
      <c r="B1077" s="8" t="s">
        <v>1071</v>
      </c>
      <c r="C1077" s="9">
        <v>620</v>
      </c>
      <c r="D1077" s="0">
        <v>1</v>
      </c>
      <c r="E1077" s="10">
        <f>HYPERLINK("http://www.lingerieopt.ru/images/original/0a8042f4-22c6-449e-b1a2-5273610b669f.jpg","Фото")</f>
      </c>
    </row>
    <row r="1078">
      <c r="A1078" s="7">
        <f>HYPERLINK("http://www.lingerieopt.ru/item/6744-kolgotki-s-imitaciei-chulkov-na-podtyazhkah-dalia/","6744")</f>
      </c>
      <c r="B1078" s="8" t="s">
        <v>1072</v>
      </c>
      <c r="C1078" s="9">
        <v>620</v>
      </c>
      <c r="D1078" s="0">
        <v>3</v>
      </c>
      <c r="E1078" s="10">
        <f>HYPERLINK("http://www.lingerieopt.ru/images/original/0a8042f4-22c6-449e-b1a2-5273610b669f.jpg","Фото")</f>
      </c>
    </row>
    <row r="1079">
      <c r="A1079" s="7">
        <f>HYPERLINK("http://www.lingerieopt.ru/item/6744-kolgotki-s-imitaciei-chulkov-na-podtyazhkah-dalia/","6744")</f>
      </c>
      <c r="B1079" s="8" t="s">
        <v>1073</v>
      </c>
      <c r="C1079" s="9">
        <v>620</v>
      </c>
      <c r="D1079" s="0">
        <v>1</v>
      </c>
      <c r="E1079" s="10">
        <f>HYPERLINK("http://www.lingerieopt.ru/images/original/0a8042f4-22c6-449e-b1a2-5273610b669f.jpg","Фото")</f>
      </c>
    </row>
    <row r="1080">
      <c r="A1080" s="7">
        <f>HYPERLINK("http://www.lingerieopt.ru/item/6749-kolgotki-mascarade-s-imitaciei-chulkov/","6749")</f>
      </c>
      <c r="B1080" s="8" t="s">
        <v>1074</v>
      </c>
      <c r="C1080" s="9">
        <v>620</v>
      </c>
      <c r="D1080" s="0">
        <v>0</v>
      </c>
      <c r="E1080" s="10">
        <f>HYPERLINK("http://www.lingerieopt.ru/images/original/8ab89b29-a5ba-41d1-acf1-678eb55357ac.jpg","Фото")</f>
      </c>
    </row>
    <row r="1081">
      <c r="A1081" s="7">
        <f>HYPERLINK("http://www.lingerieopt.ru/item/6749-kolgotki-mascarade-s-imitaciei-chulkov/","6749")</f>
      </c>
      <c r="B1081" s="8" t="s">
        <v>1075</v>
      </c>
      <c r="C1081" s="9">
        <v>620</v>
      </c>
      <c r="D1081" s="0">
        <v>1</v>
      </c>
      <c r="E1081" s="10">
        <f>HYPERLINK("http://www.lingerieopt.ru/images/original/8ab89b29-a5ba-41d1-acf1-678eb55357ac.jpg","Фото")</f>
      </c>
    </row>
    <row r="1082">
      <c r="A1082" s="7">
        <f>HYPERLINK("http://www.lingerieopt.ru/item/6749-kolgotki-mascarade-s-imitaciei-chulkov/","6749")</f>
      </c>
      <c r="B1082" s="8" t="s">
        <v>1076</v>
      </c>
      <c r="C1082" s="9">
        <v>620</v>
      </c>
      <c r="D1082" s="0">
        <v>1</v>
      </c>
      <c r="E1082" s="10">
        <f>HYPERLINK("http://www.lingerieopt.ru/images/original/8ab89b29-a5ba-41d1-acf1-678eb55357ac.jpg","Фото")</f>
      </c>
    </row>
    <row r="1083">
      <c r="A1083" s="7">
        <f>HYPERLINK("http://www.lingerieopt.ru/item/6753-kolgotki-lindsay-s-kruzhevnjm-risunkom/","6753")</f>
      </c>
      <c r="B1083" s="8" t="s">
        <v>1077</v>
      </c>
      <c r="C1083" s="9">
        <v>732</v>
      </c>
      <c r="D1083" s="0">
        <v>0</v>
      </c>
      <c r="E1083" s="10">
        <f>HYPERLINK("http://www.lingerieopt.ru/images/original/f434a98d-4eea-4548-8a29-834ba64e624c.jpg","Фото")</f>
      </c>
    </row>
    <row r="1084">
      <c r="A1084" s="7">
        <f>HYPERLINK("http://www.lingerieopt.ru/item/6753-kolgotki-lindsay-s-kruzhevnjm-risunkom/","6753")</f>
      </c>
      <c r="B1084" s="8" t="s">
        <v>1078</v>
      </c>
      <c r="C1084" s="9">
        <v>732</v>
      </c>
      <c r="D1084" s="0">
        <v>2</v>
      </c>
      <c r="E1084" s="10">
        <f>HYPERLINK("http://www.lingerieopt.ru/images/original/f434a98d-4eea-4548-8a29-834ba64e624c.jpg","Фото")</f>
      </c>
    </row>
    <row r="1085">
      <c r="A1085" s="7">
        <f>HYPERLINK("http://www.lingerieopt.ru/item/6753-kolgotki-lindsay-s-kruzhevnjm-risunkom/","6753")</f>
      </c>
      <c r="B1085" s="8" t="s">
        <v>1079</v>
      </c>
      <c r="C1085" s="9">
        <v>732</v>
      </c>
      <c r="D1085" s="0">
        <v>0</v>
      </c>
      <c r="E1085" s="10">
        <f>HYPERLINK("http://www.lingerieopt.ru/images/original/f434a98d-4eea-4548-8a29-834ba64e624c.jpg","Фото")</f>
      </c>
    </row>
    <row r="1086">
      <c r="A1086" s="7">
        <f>HYPERLINK("http://www.lingerieopt.ru/item/6758-tonkie-kolgotki-odile-s-kruzhevnjm-pleteniem/","6758")</f>
      </c>
      <c r="B1086" s="8" t="s">
        <v>1080</v>
      </c>
      <c r="C1086" s="9">
        <v>732</v>
      </c>
      <c r="D1086" s="0">
        <v>1</v>
      </c>
      <c r="E1086" s="10">
        <f>HYPERLINK("http://www.lingerieopt.ru/images/original/f16b86dd-542b-47b4-994a-28193acd6a2f.jpg","Фото")</f>
      </c>
    </row>
    <row r="1087">
      <c r="A1087" s="7">
        <f>HYPERLINK("http://www.lingerieopt.ru/item/6758-tonkie-kolgotki-odile-s-kruzhevnjm-pleteniem/","6758")</f>
      </c>
      <c r="B1087" s="8" t="s">
        <v>1081</v>
      </c>
      <c r="C1087" s="9">
        <v>732</v>
      </c>
      <c r="D1087" s="0">
        <v>1</v>
      </c>
      <c r="E1087" s="10">
        <f>HYPERLINK("http://www.lingerieopt.ru/images/original/f16b86dd-542b-47b4-994a-28193acd6a2f.jpg","Фото")</f>
      </c>
    </row>
    <row r="1088">
      <c r="A1088" s="7">
        <f>HYPERLINK("http://www.lingerieopt.ru/item/6758-tonkie-kolgotki-odile-s-kruzhevnjm-pleteniem/","6758")</f>
      </c>
      <c r="B1088" s="8" t="s">
        <v>1082</v>
      </c>
      <c r="C1088" s="9">
        <v>732</v>
      </c>
      <c r="D1088" s="0">
        <v>1</v>
      </c>
      <c r="E1088" s="10">
        <f>HYPERLINK("http://www.lingerieopt.ru/images/original/f16b86dd-542b-47b4-994a-28193acd6a2f.jpg","Фото")</f>
      </c>
    </row>
    <row r="1089">
      <c r="A1089" s="7">
        <f>HYPERLINK("http://www.lingerieopt.ru/item/6761-kolgotki-clarisse-s-imitaciei-azhurnjh-chulochkov/","6761")</f>
      </c>
      <c r="B1089" s="8" t="s">
        <v>1083</v>
      </c>
      <c r="C1089" s="9">
        <v>918</v>
      </c>
      <c r="D1089" s="0">
        <v>1</v>
      </c>
      <c r="E1089" s="10">
        <f>HYPERLINK("http://www.lingerieopt.ru/images/original/5067f9d5-937e-447c-bc2c-aee15def3450.jpg","Фото")</f>
      </c>
    </row>
    <row r="1090">
      <c r="A1090" s="7">
        <f>HYPERLINK("http://www.lingerieopt.ru/item/6761-kolgotki-clarisse-s-imitaciei-azhurnjh-chulochkov/","6761")</f>
      </c>
      <c r="B1090" s="8" t="s">
        <v>1084</v>
      </c>
      <c r="C1090" s="9">
        <v>918</v>
      </c>
      <c r="D1090" s="0">
        <v>1</v>
      </c>
      <c r="E1090" s="10">
        <f>HYPERLINK("http://www.lingerieopt.ru/images/original/5067f9d5-937e-447c-bc2c-aee15def3450.jpg","Фото")</f>
      </c>
    </row>
    <row r="1091">
      <c r="A1091" s="7">
        <f>HYPERLINK("http://www.lingerieopt.ru/item/6761-kolgotki-clarisse-s-imitaciei-azhurnjh-chulochkov/","6761")</f>
      </c>
      <c r="B1091" s="8" t="s">
        <v>1085</v>
      </c>
      <c r="C1091" s="9">
        <v>918</v>
      </c>
      <c r="D1091" s="0">
        <v>1</v>
      </c>
      <c r="E1091" s="10">
        <f>HYPERLINK("http://www.lingerieopt.ru/images/original/5067f9d5-937e-447c-bc2c-aee15def3450.jpg","Фото")</f>
      </c>
    </row>
    <row r="1092">
      <c r="A1092" s="7">
        <f>HYPERLINK("http://www.lingerieopt.ru/item/6763-kolgotki-roxanne-s-edva-zametnjm-risunkom-kruzheva/","6763")</f>
      </c>
      <c r="B1092" s="8" t="s">
        <v>1086</v>
      </c>
      <c r="C1092" s="9">
        <v>584</v>
      </c>
      <c r="D1092" s="0">
        <v>1</v>
      </c>
      <c r="E1092" s="10">
        <f>HYPERLINK("http://www.lingerieopt.ru/images/original/712cad70-4b15-46a3-b140-8a42961c6ad2.jpg","Фото")</f>
      </c>
    </row>
    <row r="1093">
      <c r="A1093" s="7">
        <f>HYPERLINK("http://www.lingerieopt.ru/item/6763-kolgotki-roxanne-s-edva-zametnjm-risunkom-kruzheva/","6763")</f>
      </c>
      <c r="B1093" s="8" t="s">
        <v>1087</v>
      </c>
      <c r="C1093" s="9">
        <v>584</v>
      </c>
      <c r="D1093" s="0">
        <v>1</v>
      </c>
      <c r="E1093" s="10">
        <f>HYPERLINK("http://www.lingerieopt.ru/images/original/712cad70-4b15-46a3-b140-8a42961c6ad2.jpg","Фото")</f>
      </c>
    </row>
    <row r="1094">
      <c r="A1094" s="7">
        <f>HYPERLINK("http://www.lingerieopt.ru/item/6763-kolgotki-roxanne-s-edva-zametnjm-risunkom-kruzheva/","6763")</f>
      </c>
      <c r="B1094" s="8" t="s">
        <v>1088</v>
      </c>
      <c r="C1094" s="9">
        <v>584</v>
      </c>
      <c r="D1094" s="0">
        <v>1</v>
      </c>
      <c r="E1094" s="10">
        <f>HYPERLINK("http://www.lingerieopt.ru/images/original/712cad70-4b15-46a3-b140-8a42961c6ad2.jpg","Фото")</f>
      </c>
    </row>
    <row r="1095">
      <c r="A1095" s="7">
        <f>HYPERLINK("http://www.lingerieopt.ru/item/6765-kolgotki-bruna-srednei-plotnosti-s-imitaciei-chulkov/","6765")</f>
      </c>
      <c r="B1095" s="8" t="s">
        <v>1089</v>
      </c>
      <c r="C1095" s="9">
        <v>637</v>
      </c>
      <c r="D1095" s="0">
        <v>1</v>
      </c>
      <c r="E1095" s="10">
        <f>HYPERLINK("http://www.lingerieopt.ru/images/original/1730c5e8-7349-4acf-949e-a27cb35d8779.jpg","Фото")</f>
      </c>
    </row>
    <row r="1096">
      <c r="A1096" s="7">
        <f>HYPERLINK("http://www.lingerieopt.ru/item/6765-kolgotki-bruna-srednei-plotnosti-s-imitaciei-chulkov/","6765")</f>
      </c>
      <c r="B1096" s="8" t="s">
        <v>1090</v>
      </c>
      <c r="C1096" s="9">
        <v>637</v>
      </c>
      <c r="D1096" s="0">
        <v>1</v>
      </c>
      <c r="E1096" s="10">
        <f>HYPERLINK("http://www.lingerieopt.ru/images/original/1730c5e8-7349-4acf-949e-a27cb35d8779.jpg","Фото")</f>
      </c>
    </row>
    <row r="1097">
      <c r="A1097" s="7">
        <f>HYPERLINK("http://www.lingerieopt.ru/item/6765-kolgotki-bruna-srednei-plotnosti-s-imitaciei-chulkov/","6765")</f>
      </c>
      <c r="B1097" s="8" t="s">
        <v>1091</v>
      </c>
      <c r="C1097" s="9">
        <v>637</v>
      </c>
      <c r="D1097" s="0">
        <v>1</v>
      </c>
      <c r="E1097" s="10">
        <f>HYPERLINK("http://www.lingerieopt.ru/images/original/1730c5e8-7349-4acf-949e-a27cb35d8779.jpg","Фото")</f>
      </c>
    </row>
    <row r="1098">
      <c r="A1098" s="7">
        <f>HYPERLINK("http://www.lingerieopt.ru/item/6772-kolgotki-stivale-s-azhurnjm-risunkom/","6772")</f>
      </c>
      <c r="B1098" s="8" t="s">
        <v>1092</v>
      </c>
      <c r="C1098" s="9">
        <v>596</v>
      </c>
      <c r="D1098" s="0">
        <v>3</v>
      </c>
      <c r="E1098" s="10">
        <f>HYPERLINK("http://www.lingerieopt.ru/images/original/7513c4a6-540a-47ef-828a-cba20c4a8372.jpg","Фото")</f>
      </c>
    </row>
    <row r="1099">
      <c r="A1099" s="7">
        <f>HYPERLINK("http://www.lingerieopt.ru/item/6772-kolgotki-stivale-s-azhurnjm-risunkom/","6772")</f>
      </c>
      <c r="B1099" s="8" t="s">
        <v>1093</v>
      </c>
      <c r="C1099" s="9">
        <v>596</v>
      </c>
      <c r="D1099" s="0">
        <v>1</v>
      </c>
      <c r="E1099" s="10">
        <f>HYPERLINK("http://www.lingerieopt.ru/images/original/7513c4a6-540a-47ef-828a-cba20c4a8372.jpg","Фото")</f>
      </c>
    </row>
    <row r="1100">
      <c r="A1100" s="7">
        <f>HYPERLINK("http://www.lingerieopt.ru/item/6772-kolgotki-stivale-s-azhurnjm-risunkom/","6772")</f>
      </c>
      <c r="B1100" s="8" t="s">
        <v>1094</v>
      </c>
      <c r="C1100" s="9">
        <v>596</v>
      </c>
      <c r="D1100" s="0">
        <v>1</v>
      </c>
      <c r="E1100" s="10">
        <f>HYPERLINK("http://www.lingerieopt.ru/images/original/7513c4a6-540a-47ef-828a-cba20c4a8372.jpg","Фото")</f>
      </c>
    </row>
    <row r="1101">
      <c r="A1101" s="7">
        <f>HYPERLINK("http://www.lingerieopt.ru/item/7688-kolgotki-setka-s-vjrezami-na-yagodicah/","7688")</f>
      </c>
      <c r="B1101" s="8" t="s">
        <v>1095</v>
      </c>
      <c r="C1101" s="9">
        <v>277</v>
      </c>
      <c r="D1101" s="0">
        <v>20</v>
      </c>
      <c r="E1101" s="10">
        <f>HYPERLINK("http://www.lingerieopt.ru/images/original/6501f0de-d761-4a2a-b619-bbc6c0572460.jpg","Фото")</f>
      </c>
    </row>
    <row r="1102">
      <c r="A1102" s="7">
        <f>HYPERLINK("http://www.lingerieopt.ru/item/7789-azhurnje-kolgotki-s-krupnjm-cvetochnjm-uzorom/","7789")</f>
      </c>
      <c r="B1102" s="8" t="s">
        <v>1096</v>
      </c>
      <c r="C1102" s="9">
        <v>277</v>
      </c>
      <c r="D1102" s="0">
        <v>20</v>
      </c>
      <c r="E1102" s="10">
        <f>HYPERLINK("http://www.lingerieopt.ru/images/original/f7922dac-56b0-483a-a203-06be28d32874.jpg","Фото")</f>
      </c>
    </row>
    <row r="1103">
      <c r="A1103" s="7">
        <f>HYPERLINK("http://www.lingerieopt.ru/item/7796-kolgotki-s-uzorom-v-vide-golf-lent-i-bantikov/","7796")</f>
      </c>
      <c r="B1103" s="8" t="s">
        <v>1097</v>
      </c>
      <c r="C1103" s="9">
        <v>277</v>
      </c>
      <c r="D1103" s="0">
        <v>17</v>
      </c>
      <c r="E1103" s="10">
        <f>HYPERLINK("http://www.lingerieopt.ru/images/original/81b55ce9-ecde-41da-99fd-9101fa0e3795.jpg","Фото")</f>
      </c>
    </row>
    <row r="1104">
      <c r="A1104" s="7">
        <f>HYPERLINK("http://www.lingerieopt.ru/item/7811-kolgotki-v-setochku-s-vjrezami-po-bokam-i-babochkoi/","7811")</f>
      </c>
      <c r="B1104" s="8" t="s">
        <v>1098</v>
      </c>
      <c r="C1104" s="9">
        <v>277</v>
      </c>
      <c r="D1104" s="0">
        <v>16</v>
      </c>
      <c r="E1104" s="10">
        <f>HYPERLINK("http://www.lingerieopt.ru/images/original/ad4b23b2-31a6-4501-9b64-aad89ffb8f46.jpg","Фото")</f>
      </c>
    </row>
    <row r="1105">
      <c r="A1105" s="7">
        <f>HYPERLINK("http://www.lingerieopt.ru/item/7902-kolgotki-v-setku-candice-so-strelkami-i-dostupom/","7902")</f>
      </c>
      <c r="B1105" s="8" t="s">
        <v>1099</v>
      </c>
      <c r="C1105" s="9">
        <v>943</v>
      </c>
      <c r="D1105" s="0">
        <v>1</v>
      </c>
      <c r="E1105" s="10">
        <f>HYPERLINK("http://www.lingerieopt.ru/images/original/9a543abd-7f7b-4a8a-8781-8c47c3142c4d.jpg","Фото")</f>
      </c>
    </row>
    <row r="1106">
      <c r="A1106" s="7">
        <f>HYPERLINK("http://www.lingerieopt.ru/item/7902-kolgotki-v-setku-candice-so-strelkami-i-dostupom/","7902")</f>
      </c>
      <c r="B1106" s="8" t="s">
        <v>1100</v>
      </c>
      <c r="C1106" s="9">
        <v>943</v>
      </c>
      <c r="D1106" s="0">
        <v>0</v>
      </c>
      <c r="E1106" s="10">
        <f>HYPERLINK("http://www.lingerieopt.ru/images/original/9a543abd-7f7b-4a8a-8781-8c47c3142c4d.jpg","Фото")</f>
      </c>
    </row>
    <row r="1107">
      <c r="A1107" s="7">
        <f>HYPERLINK("http://www.lingerieopt.ru/item/7902-kolgotki-v-setku-candice-so-strelkami-i-dostupom/","7902")</f>
      </c>
      <c r="B1107" s="8" t="s">
        <v>1101</v>
      </c>
      <c r="C1107" s="9">
        <v>943</v>
      </c>
      <c r="D1107" s="0">
        <v>4</v>
      </c>
      <c r="E1107" s="10">
        <f>HYPERLINK("http://www.lingerieopt.ru/images/original/9a543abd-7f7b-4a8a-8781-8c47c3142c4d.jpg","Фото")</f>
      </c>
    </row>
    <row r="1108">
      <c r="A1108" s="7">
        <f>HYPERLINK("http://www.lingerieopt.ru/item/7902-kolgotki-v-setku-candice-so-strelkami-i-dostupom/","7902")</f>
      </c>
      <c r="B1108" s="8" t="s">
        <v>1102</v>
      </c>
      <c r="C1108" s="9">
        <v>943</v>
      </c>
      <c r="D1108" s="0">
        <v>0</v>
      </c>
      <c r="E1108" s="10">
        <f>HYPERLINK("http://www.lingerieopt.ru/images/original/9a543abd-7f7b-4a8a-8781-8c47c3142c4d.jpg","Фото")</f>
      </c>
    </row>
    <row r="1109">
      <c r="A1109" s="7">
        <f>HYPERLINK("http://www.lingerieopt.ru/item/7903-kolgotki-v-krupnuyu-setku-delphine/","7903")</f>
      </c>
      <c r="B1109" s="8" t="s">
        <v>1103</v>
      </c>
      <c r="C1109" s="9">
        <v>556</v>
      </c>
      <c r="D1109" s="0">
        <v>2</v>
      </c>
      <c r="E1109" s="10">
        <f>HYPERLINK("http://www.lingerieopt.ru/images/original/ec4cdb69-fab8-4dd8-b35e-f5491cb96fd1.jpg","Фото")</f>
      </c>
    </row>
    <row r="1110">
      <c r="A1110" s="7">
        <f>HYPERLINK("http://www.lingerieopt.ru/item/7903-kolgotki-v-krupnuyu-setku-delphine/","7903")</f>
      </c>
      <c r="B1110" s="8" t="s">
        <v>1104</v>
      </c>
      <c r="C1110" s="9">
        <v>556</v>
      </c>
      <c r="D1110" s="0">
        <v>1</v>
      </c>
      <c r="E1110" s="10">
        <f>HYPERLINK("http://www.lingerieopt.ru/images/original/ec4cdb69-fab8-4dd8-b35e-f5491cb96fd1.jpg","Фото")</f>
      </c>
    </row>
    <row r="1111">
      <c r="A1111" s="7">
        <f>HYPERLINK("http://www.lingerieopt.ru/item/7903-kolgotki-v-krupnuyu-setku-delphine/","7903")</f>
      </c>
      <c r="B1111" s="8" t="s">
        <v>1105</v>
      </c>
      <c r="C1111" s="9">
        <v>556</v>
      </c>
      <c r="D1111" s="0">
        <v>0</v>
      </c>
      <c r="E1111" s="10">
        <f>HYPERLINK("http://www.lingerieopt.ru/images/original/ec4cdb69-fab8-4dd8-b35e-f5491cb96fd1.jpg","Фото")</f>
      </c>
    </row>
    <row r="1112">
      <c r="A1112" s="7">
        <f>HYPERLINK("http://www.lingerieopt.ru/item/7903-kolgotki-v-krupnuyu-setku-delphine/","7903")</f>
      </c>
      <c r="B1112" s="8" t="s">
        <v>1106</v>
      </c>
      <c r="C1112" s="9">
        <v>556</v>
      </c>
      <c r="D1112" s="0">
        <v>7</v>
      </c>
      <c r="E1112" s="10">
        <f>HYPERLINK("http://www.lingerieopt.ru/images/original/ec4cdb69-fab8-4dd8-b35e-f5491cb96fd1.jpg","Фото")</f>
      </c>
    </row>
    <row r="1113">
      <c r="A1113" s="7">
        <f>HYPERLINK("http://www.lingerieopt.ru/item/8348-kolgotki-s-imitaciei-chulok-na-poyase/","8348")</f>
      </c>
      <c r="B1113" s="8" t="s">
        <v>1107</v>
      </c>
      <c r="C1113" s="9">
        <v>489</v>
      </c>
      <c r="D1113" s="0">
        <v>0</v>
      </c>
      <c r="E1113" s="10">
        <f>HYPERLINK("http://www.lingerieopt.ru/images/original/9152128d-eb36-4e9d-b81a-2f813af2e2b6.jpg","Фото")</f>
      </c>
    </row>
    <row r="1114">
      <c r="A1114" s="7">
        <f>HYPERLINK("http://www.lingerieopt.ru/item/8348-kolgotki-s-imitaciei-chulok-na-poyase/","8348")</f>
      </c>
      <c r="B1114" s="8" t="s">
        <v>1108</v>
      </c>
      <c r="C1114" s="9">
        <v>489</v>
      </c>
      <c r="D1114" s="0">
        <v>2</v>
      </c>
      <c r="E1114" s="10">
        <f>HYPERLINK("http://www.lingerieopt.ru/images/original/9152128d-eb36-4e9d-b81a-2f813af2e2b6.jpg","Фото")</f>
      </c>
    </row>
    <row r="1115">
      <c r="A1115" s="7">
        <f>HYPERLINK("http://www.lingerieopt.ru/item/8348-kolgotki-s-imitaciei-chulok-na-poyase/","8348")</f>
      </c>
      <c r="B1115" s="8" t="s">
        <v>1109</v>
      </c>
      <c r="C1115" s="9">
        <v>489</v>
      </c>
      <c r="D1115" s="0">
        <v>1</v>
      </c>
      <c r="E1115" s="10">
        <f>HYPERLINK("http://www.lingerieopt.ru/images/original/9152128d-eb36-4e9d-b81a-2f813af2e2b6.jpg","Фото")</f>
      </c>
    </row>
    <row r="1116">
      <c r="A1116" s="7">
        <f>HYPERLINK("http://www.lingerieopt.ru/item/8348-kolgotki-s-imitaciei-chulok-na-poyase/","8348")</f>
      </c>
      <c r="B1116" s="8" t="s">
        <v>1110</v>
      </c>
      <c r="C1116" s="9">
        <v>489</v>
      </c>
      <c r="D1116" s="0">
        <v>0</v>
      </c>
      <c r="E1116" s="10">
        <f>HYPERLINK("http://www.lingerieopt.ru/images/original/9152128d-eb36-4e9d-b81a-2f813af2e2b6.jpg","Фото")</f>
      </c>
    </row>
    <row r="1117">
      <c r="A1117" s="7">
        <f>HYPERLINK("http://www.lingerieopt.ru/item/8348-kolgotki-s-imitaciei-chulok-na-poyase/","8348")</f>
      </c>
      <c r="B1117" s="8" t="s">
        <v>1111</v>
      </c>
      <c r="C1117" s="9">
        <v>489</v>
      </c>
      <c r="D1117" s="0">
        <v>0</v>
      </c>
      <c r="E1117" s="10">
        <f>HYPERLINK("http://www.lingerieopt.ru/images/original/9152128d-eb36-4e9d-b81a-2f813af2e2b6.jpg","Фото")</f>
      </c>
    </row>
    <row r="1118">
      <c r="A1118" s="7">
        <f>HYPERLINK("http://www.lingerieopt.ru/item/8351-kolgotki-v-setku-na-tonkom-poyaske/","8351")</f>
      </c>
      <c r="B1118" s="8" t="s">
        <v>1112</v>
      </c>
      <c r="C1118" s="9">
        <v>329</v>
      </c>
      <c r="D1118" s="0">
        <v>7</v>
      </c>
      <c r="E1118" s="10">
        <f>HYPERLINK("http://www.lingerieopt.ru/images/original/49f64203-db7e-44f1-bd63-1ed0bea98c15.jpg","Фото")</f>
      </c>
    </row>
    <row r="1119">
      <c r="A1119" s="7">
        <f>HYPERLINK("http://www.lingerieopt.ru/item/8351-kolgotki-v-setku-na-tonkom-poyaske/","8351")</f>
      </c>
      <c r="B1119" s="8" t="s">
        <v>1113</v>
      </c>
      <c r="C1119" s="9">
        <v>329</v>
      </c>
      <c r="D1119" s="0">
        <v>3</v>
      </c>
      <c r="E1119" s="10">
        <f>HYPERLINK("http://www.lingerieopt.ru/images/original/49f64203-db7e-44f1-bd63-1ed0bea98c15.jpg","Фото")</f>
      </c>
    </row>
    <row r="1120">
      <c r="A1120" s="7">
        <f>HYPERLINK("http://www.lingerieopt.ru/item/8351-kolgotki-v-setku-na-tonkom-poyaske/","8351")</f>
      </c>
      <c r="B1120" s="8" t="s">
        <v>1114</v>
      </c>
      <c r="C1120" s="9">
        <v>329</v>
      </c>
      <c r="D1120" s="0">
        <v>2</v>
      </c>
      <c r="E1120" s="10">
        <f>HYPERLINK("http://www.lingerieopt.ru/images/original/49f64203-db7e-44f1-bd63-1ed0bea98c15.jpg","Фото")</f>
      </c>
    </row>
    <row r="1121">
      <c r="A1121" s="7">
        <f>HYPERLINK("http://www.lingerieopt.ru/item/8351-kolgotki-v-setku-na-tonkom-poyaske/","8351")</f>
      </c>
      <c r="B1121" s="8" t="s">
        <v>1115</v>
      </c>
      <c r="C1121" s="9">
        <v>329</v>
      </c>
      <c r="D1121" s="0">
        <v>0</v>
      </c>
      <c r="E1121" s="10">
        <f>HYPERLINK("http://www.lingerieopt.ru/images/original/49f64203-db7e-44f1-bd63-1ed0bea98c15.jpg","Фото")</f>
      </c>
    </row>
    <row r="1122">
      <c r="A1122" s="7">
        <f>HYPERLINK("http://www.lingerieopt.ru/item/8352-klassicheskie-tonkie-kolgotki/","8352")</f>
      </c>
      <c r="B1122" s="8" t="s">
        <v>1116</v>
      </c>
      <c r="C1122" s="9">
        <v>168</v>
      </c>
      <c r="D1122" s="0">
        <v>0</v>
      </c>
      <c r="E1122" s="10">
        <f>HYPERLINK("http://www.lingerieopt.ru/images/original/0b5d8914-dd5e-4615-8e30-5f91385a23a4.jpg","Фото")</f>
      </c>
    </row>
    <row r="1123">
      <c r="A1123" s="7">
        <f>HYPERLINK("http://www.lingerieopt.ru/item/8352-klassicheskie-tonkie-kolgotki/","8352")</f>
      </c>
      <c r="B1123" s="8" t="s">
        <v>1117</v>
      </c>
      <c r="C1123" s="9">
        <v>168</v>
      </c>
      <c r="D1123" s="0">
        <v>0</v>
      </c>
      <c r="E1123" s="10">
        <f>HYPERLINK("http://www.lingerieopt.ru/images/original/0b5d8914-dd5e-4615-8e30-5f91385a23a4.jpg","Фото")</f>
      </c>
    </row>
    <row r="1124">
      <c r="A1124" s="7">
        <f>HYPERLINK("http://www.lingerieopt.ru/item/8352-klassicheskie-tonkie-kolgotki/","8352")</f>
      </c>
      <c r="B1124" s="8" t="s">
        <v>1118</v>
      </c>
      <c r="C1124" s="9">
        <v>168</v>
      </c>
      <c r="D1124" s="0">
        <v>0</v>
      </c>
      <c r="E1124" s="10">
        <f>HYPERLINK("http://www.lingerieopt.ru/images/original/0b5d8914-dd5e-4615-8e30-5f91385a23a4.jpg","Фото")</f>
      </c>
    </row>
    <row r="1125">
      <c r="A1125" s="7">
        <f>HYPERLINK("http://www.lingerieopt.ru/item/8352-klassicheskie-tonkie-kolgotki/","8352")</f>
      </c>
      <c r="B1125" s="8" t="s">
        <v>1119</v>
      </c>
      <c r="C1125" s="9">
        <v>168</v>
      </c>
      <c r="D1125" s="0">
        <v>0</v>
      </c>
      <c r="E1125" s="10">
        <f>HYPERLINK("http://www.lingerieopt.ru/images/original/0b5d8914-dd5e-4615-8e30-5f91385a23a4.jpg","Фото")</f>
      </c>
    </row>
    <row r="1126">
      <c r="A1126" s="7">
        <f>HYPERLINK("http://www.lingerieopt.ru/item/8352-klassicheskie-tonkie-kolgotki/","8352")</f>
      </c>
      <c r="B1126" s="8" t="s">
        <v>1120</v>
      </c>
      <c r="C1126" s="9">
        <v>168</v>
      </c>
      <c r="D1126" s="0">
        <v>0</v>
      </c>
      <c r="E1126" s="10">
        <f>HYPERLINK("http://www.lingerieopt.ru/images/original/0b5d8914-dd5e-4615-8e30-5f91385a23a4.jpg","Фото")</f>
      </c>
    </row>
    <row r="1127">
      <c r="A1127" s="7">
        <f>HYPERLINK("http://www.lingerieopt.ru/item/8352-klassicheskie-tonkie-kolgotki/","8352")</f>
      </c>
      <c r="B1127" s="8" t="s">
        <v>1121</v>
      </c>
      <c r="C1127" s="9">
        <v>168</v>
      </c>
      <c r="D1127" s="0">
        <v>0</v>
      </c>
      <c r="E1127" s="10">
        <f>HYPERLINK("http://www.lingerieopt.ru/images/original/0b5d8914-dd5e-4615-8e30-5f91385a23a4.jpg","Фото")</f>
      </c>
    </row>
    <row r="1128">
      <c r="A1128" s="7">
        <f>HYPERLINK("http://www.lingerieopt.ru/item/8352-klassicheskie-tonkie-kolgotki/","8352")</f>
      </c>
      <c r="B1128" s="8" t="s">
        <v>1122</v>
      </c>
      <c r="C1128" s="9">
        <v>168</v>
      </c>
      <c r="D1128" s="0">
        <v>0</v>
      </c>
      <c r="E1128" s="10">
        <f>HYPERLINK("http://www.lingerieopt.ru/images/original/0b5d8914-dd5e-4615-8e30-5f91385a23a4.jpg","Фото")</f>
      </c>
    </row>
    <row r="1129">
      <c r="A1129" s="7">
        <f>HYPERLINK("http://www.lingerieopt.ru/item/8352-klassicheskie-tonkie-kolgotki/","8352")</f>
      </c>
      <c r="B1129" s="8" t="s">
        <v>1123</v>
      </c>
      <c r="C1129" s="9">
        <v>168</v>
      </c>
      <c r="D1129" s="0">
        <v>2</v>
      </c>
      <c r="E1129" s="10">
        <f>HYPERLINK("http://www.lingerieopt.ru/images/original/0b5d8914-dd5e-4615-8e30-5f91385a23a4.jpg","Фото")</f>
      </c>
    </row>
    <row r="1130">
      <c r="A1130" s="7">
        <f>HYPERLINK("http://www.lingerieopt.ru/item/8352-klassicheskie-tonkie-kolgotki/","8352")</f>
      </c>
      <c r="B1130" s="8" t="s">
        <v>1124</v>
      </c>
      <c r="C1130" s="9">
        <v>168</v>
      </c>
      <c r="D1130" s="0">
        <v>0</v>
      </c>
      <c r="E1130" s="10">
        <f>HYPERLINK("http://www.lingerieopt.ru/images/original/0b5d8914-dd5e-4615-8e30-5f91385a23a4.jpg","Фото")</f>
      </c>
    </row>
    <row r="1131">
      <c r="A1131" s="7">
        <f>HYPERLINK("http://www.lingerieopt.ru/item/8352-klassicheskie-tonkie-kolgotki/","8352")</f>
      </c>
      <c r="B1131" s="8" t="s">
        <v>1125</v>
      </c>
      <c r="C1131" s="9">
        <v>168</v>
      </c>
      <c r="D1131" s="0">
        <v>2</v>
      </c>
      <c r="E1131" s="10">
        <f>HYPERLINK("http://www.lingerieopt.ru/images/original/0b5d8914-dd5e-4615-8e30-5f91385a23a4.jpg","Фото")</f>
      </c>
    </row>
    <row r="1132">
      <c r="A1132" s="7">
        <f>HYPERLINK("http://www.lingerieopt.ru/item/8352-klassicheskie-tonkie-kolgotki/","8352")</f>
      </c>
      <c r="B1132" s="8" t="s">
        <v>1126</v>
      </c>
      <c r="C1132" s="9">
        <v>168</v>
      </c>
      <c r="D1132" s="0">
        <v>2</v>
      </c>
      <c r="E1132" s="10">
        <f>HYPERLINK("http://www.lingerieopt.ru/images/original/0b5d8914-dd5e-4615-8e30-5f91385a23a4.jpg","Фото")</f>
      </c>
    </row>
    <row r="1133">
      <c r="A1133" s="7">
        <f>HYPERLINK("http://www.lingerieopt.ru/item/8352-klassicheskie-tonkie-kolgotki/","8352")</f>
      </c>
      <c r="B1133" s="8" t="s">
        <v>1127</v>
      </c>
      <c r="C1133" s="9">
        <v>168</v>
      </c>
      <c r="D1133" s="0">
        <v>0</v>
      </c>
      <c r="E1133" s="10">
        <f>HYPERLINK("http://www.lingerieopt.ru/images/original/0b5d8914-dd5e-4615-8e30-5f91385a23a4.jpg","Фото")</f>
      </c>
    </row>
    <row r="1134">
      <c r="A1134" s="7">
        <f>HYPERLINK("http://www.lingerieopt.ru/item/8352-klassicheskie-tonkie-kolgotki/","8352")</f>
      </c>
      <c r="B1134" s="8" t="s">
        <v>1128</v>
      </c>
      <c r="C1134" s="9">
        <v>168</v>
      </c>
      <c r="D1134" s="0">
        <v>0</v>
      </c>
      <c r="E1134" s="10">
        <f>HYPERLINK("http://www.lingerieopt.ru/images/original/0b5d8914-dd5e-4615-8e30-5f91385a23a4.jpg","Фото")</f>
      </c>
    </row>
    <row r="1135">
      <c r="A1135" s="7">
        <f>HYPERLINK("http://www.lingerieopt.ru/item/8352-klassicheskie-tonkie-kolgotki/","8352")</f>
      </c>
      <c r="B1135" s="8" t="s">
        <v>1129</v>
      </c>
      <c r="C1135" s="9">
        <v>168</v>
      </c>
      <c r="D1135" s="0">
        <v>2</v>
      </c>
      <c r="E1135" s="10">
        <f>HYPERLINK("http://www.lingerieopt.ru/images/original/0b5d8914-dd5e-4615-8e30-5f91385a23a4.jpg","Фото")</f>
      </c>
    </row>
    <row r="1136">
      <c r="A1136" s="7">
        <f>HYPERLINK("http://www.lingerieopt.ru/item/8352-klassicheskie-tonkie-kolgotki/","8352")</f>
      </c>
      <c r="B1136" s="8" t="s">
        <v>1130</v>
      </c>
      <c r="C1136" s="9">
        <v>168</v>
      </c>
      <c r="D1136" s="0">
        <v>0</v>
      </c>
      <c r="E1136" s="10">
        <f>HYPERLINK("http://www.lingerieopt.ru/images/original/0b5d8914-dd5e-4615-8e30-5f91385a23a4.jpg","Фото")</f>
      </c>
    </row>
    <row r="1137">
      <c r="A1137" s="7">
        <f>HYPERLINK("http://www.lingerieopt.ru/item/8352-klassicheskie-tonkie-kolgotki/","8352")</f>
      </c>
      <c r="B1137" s="8" t="s">
        <v>1131</v>
      </c>
      <c r="C1137" s="9">
        <v>168</v>
      </c>
      <c r="D1137" s="0">
        <v>2</v>
      </c>
      <c r="E1137" s="10">
        <f>HYPERLINK("http://www.lingerieopt.ru/images/original/0b5d8914-dd5e-4615-8e30-5f91385a23a4.jpg","Фото")</f>
      </c>
    </row>
    <row r="1138">
      <c r="A1138" s="7">
        <f>HYPERLINK("http://www.lingerieopt.ru/item/8352-klassicheskie-tonkie-kolgotki/","8352")</f>
      </c>
      <c r="B1138" s="8" t="s">
        <v>1132</v>
      </c>
      <c r="C1138" s="9">
        <v>168</v>
      </c>
      <c r="D1138" s="0">
        <v>0</v>
      </c>
      <c r="E1138" s="10">
        <f>HYPERLINK("http://www.lingerieopt.ru/images/original/0b5d8914-dd5e-4615-8e30-5f91385a23a4.jpg","Фото")</f>
      </c>
    </row>
    <row r="1139">
      <c r="A1139" s="7">
        <f>HYPERLINK("http://www.lingerieopt.ru/item/8352-klassicheskie-tonkie-kolgotki/","8352")</f>
      </c>
      <c r="B1139" s="8" t="s">
        <v>1133</v>
      </c>
      <c r="C1139" s="9">
        <v>168</v>
      </c>
      <c r="D1139" s="0">
        <v>0</v>
      </c>
      <c r="E1139" s="10">
        <f>HYPERLINK("http://www.lingerieopt.ru/images/original/0b5d8914-dd5e-4615-8e30-5f91385a23a4.jpg","Фото")</f>
      </c>
    </row>
    <row r="1140">
      <c r="A1140" s="7">
        <f>HYPERLINK("http://www.lingerieopt.ru/item/8352-klassicheskie-tonkie-kolgotki/","8352")</f>
      </c>
      <c r="B1140" s="8" t="s">
        <v>1134</v>
      </c>
      <c r="C1140" s="9">
        <v>168</v>
      </c>
      <c r="D1140" s="0">
        <v>3</v>
      </c>
      <c r="E1140" s="10">
        <f>HYPERLINK("http://www.lingerieopt.ru/images/original/0b5d8914-dd5e-4615-8e30-5f91385a23a4.jpg","Фото")</f>
      </c>
    </row>
    <row r="1141">
      <c r="A1141" s="7">
        <f>HYPERLINK("http://www.lingerieopt.ru/item/8352-klassicheskie-tonkie-kolgotki/","8352")</f>
      </c>
      <c r="B1141" s="8" t="s">
        <v>1135</v>
      </c>
      <c r="C1141" s="9">
        <v>168</v>
      </c>
      <c r="D1141" s="0">
        <v>0</v>
      </c>
      <c r="E1141" s="10">
        <f>HYPERLINK("http://www.lingerieopt.ru/images/original/0b5d8914-dd5e-4615-8e30-5f91385a23a4.jpg","Фото")</f>
      </c>
    </row>
    <row r="1142">
      <c r="A1142" s="7">
        <f>HYPERLINK("http://www.lingerieopt.ru/item/8372-azhurnje-kolgotki-s-vjrezami-na-bedrah-crotchless-lace-suspender-hose/","8372")</f>
      </c>
      <c r="B1142" s="8" t="s">
        <v>1136</v>
      </c>
      <c r="C1142" s="9">
        <v>811</v>
      </c>
      <c r="D1142" s="0">
        <v>11</v>
      </c>
      <c r="E1142" s="10">
        <f>HYPERLINK("http://www.lingerieopt.ru/images/original/26656ab5-11b2-4cee-b63b-4cccd7fcfff6.jpg","Фото")</f>
      </c>
    </row>
    <row r="1143">
      <c r="A1143" s="7">
        <f>HYPERLINK("http://www.lingerieopt.ru/item/8443-kolgotki-s-imitaciei-chulok-na-poyase-i-kontrastnjm-uzorom/","8443")</f>
      </c>
      <c r="B1143" s="8" t="s">
        <v>1137</v>
      </c>
      <c r="C1143" s="9">
        <v>1743</v>
      </c>
      <c r="D1143" s="0">
        <v>0</v>
      </c>
      <c r="E1143" s="10">
        <f>HYPERLINK("http://www.lingerieopt.ru/images/original/ab7712aa-54a4-42e3-8fc7-02be68d3aed8.jpg","Фото")</f>
      </c>
    </row>
    <row r="1144">
      <c r="A1144" s="7">
        <f>HYPERLINK("http://www.lingerieopt.ru/item/8443-kolgotki-s-imitaciei-chulok-na-poyase-i-kontrastnjm-uzorom/","8443")</f>
      </c>
      <c r="B1144" s="8" t="s">
        <v>1138</v>
      </c>
      <c r="C1144" s="9">
        <v>1743</v>
      </c>
      <c r="D1144" s="0">
        <v>0</v>
      </c>
      <c r="E1144" s="10">
        <f>HYPERLINK("http://www.lingerieopt.ru/images/original/ab7712aa-54a4-42e3-8fc7-02be68d3aed8.jpg","Фото")</f>
      </c>
    </row>
    <row r="1145">
      <c r="A1145" s="7">
        <f>HYPERLINK("http://www.lingerieopt.ru/item/8443-kolgotki-s-imitaciei-chulok-na-poyase-i-kontrastnjm-uzorom/","8443")</f>
      </c>
      <c r="B1145" s="8" t="s">
        <v>1139</v>
      </c>
      <c r="C1145" s="9">
        <v>1743</v>
      </c>
      <c r="D1145" s="0">
        <v>1</v>
      </c>
      <c r="E1145" s="10">
        <f>HYPERLINK("http://www.lingerieopt.ru/images/original/ab7712aa-54a4-42e3-8fc7-02be68d3aed8.jpg","Фото")</f>
      </c>
    </row>
    <row r="1146">
      <c r="A1146" s="7">
        <f>HYPERLINK("http://www.lingerieopt.ru/item/8443-kolgotki-s-imitaciei-chulok-na-poyase-i-kontrastnjm-uzorom/","8443")</f>
      </c>
      <c r="B1146" s="8" t="s">
        <v>1140</v>
      </c>
      <c r="C1146" s="9">
        <v>1743</v>
      </c>
      <c r="D1146" s="0">
        <v>0</v>
      </c>
      <c r="E1146" s="10">
        <f>HYPERLINK("http://www.lingerieopt.ru/images/original/ab7712aa-54a4-42e3-8fc7-02be68d3aed8.jpg","Фото")</f>
      </c>
    </row>
    <row r="1147">
      <c r="A1147" s="7">
        <f>HYPERLINK("http://www.lingerieopt.ru/item/8719-klassicheskie-kolgotj-v-melkuyu-setku/","8719")</f>
      </c>
      <c r="B1147" s="8" t="s">
        <v>1141</v>
      </c>
      <c r="C1147" s="9">
        <v>329</v>
      </c>
      <c r="D1147" s="0">
        <v>2</v>
      </c>
      <c r="E1147" s="10">
        <f>HYPERLINK("http://www.lingerieopt.ru/images/original/626e6cc5-78e5-4db5-b48a-43f5bc1173b7.jpg","Фото")</f>
      </c>
    </row>
    <row r="1148">
      <c r="A1148" s="7">
        <f>HYPERLINK("http://www.lingerieopt.ru/item/8719-klassicheskie-kolgotj-v-melkuyu-setku/","8719")</f>
      </c>
      <c r="B1148" s="8" t="s">
        <v>1142</v>
      </c>
      <c r="C1148" s="9">
        <v>329</v>
      </c>
      <c r="D1148" s="0">
        <v>0</v>
      </c>
      <c r="E1148" s="10">
        <f>HYPERLINK("http://www.lingerieopt.ru/images/original/626e6cc5-78e5-4db5-b48a-43f5bc1173b7.jpg","Фото")</f>
      </c>
    </row>
    <row r="1149">
      <c r="A1149" s="7">
        <f>HYPERLINK("http://www.lingerieopt.ru/item/9107-odnotonnje-kolgotki-na-kazhdji-den/","9107")</f>
      </c>
      <c r="B1149" s="8" t="s">
        <v>1143</v>
      </c>
      <c r="C1149" s="9">
        <v>225</v>
      </c>
      <c r="D1149" s="0">
        <v>0</v>
      </c>
      <c r="E1149" s="10">
        <f>HYPERLINK("http://www.lingerieopt.ru/images/original/95f0361a-8160-47bd-a2e4-65e03f2187c8.jpg","Фото")</f>
      </c>
    </row>
    <row r="1150">
      <c r="A1150" s="7">
        <f>HYPERLINK("http://www.lingerieopt.ru/item/9107-odnotonnje-kolgotki-na-kazhdji-den/","9107")</f>
      </c>
      <c r="B1150" s="8" t="s">
        <v>1144</v>
      </c>
      <c r="C1150" s="9">
        <v>225</v>
      </c>
      <c r="D1150" s="0">
        <v>2</v>
      </c>
      <c r="E1150" s="10">
        <f>HYPERLINK("http://www.lingerieopt.ru/images/original/95f0361a-8160-47bd-a2e4-65e03f2187c8.jpg","Фото")</f>
      </c>
    </row>
    <row r="1151">
      <c r="A1151" s="7">
        <f>HYPERLINK("http://www.lingerieopt.ru/item/9260-matovje-kolgotki-v-setku-s-figurnjmi-strelkami/","9260")</f>
      </c>
      <c r="B1151" s="8" t="s">
        <v>1145</v>
      </c>
      <c r="C1151" s="9">
        <v>413</v>
      </c>
      <c r="D1151" s="0">
        <v>0</v>
      </c>
      <c r="E1151" s="10">
        <f>HYPERLINK("http://www.lingerieopt.ru/images/original/a2eb0377-f225-4c70-860d-ef1fe9fade17.jpg","Фото")</f>
      </c>
    </row>
    <row r="1152">
      <c r="A1152" s="7">
        <f>HYPERLINK("http://www.lingerieopt.ru/item/9260-matovje-kolgotki-v-setku-s-figurnjmi-strelkami/","9260")</f>
      </c>
      <c r="B1152" s="8" t="s">
        <v>1146</v>
      </c>
      <c r="C1152" s="9">
        <v>413</v>
      </c>
      <c r="D1152" s="0">
        <v>1</v>
      </c>
      <c r="E1152" s="10">
        <f>HYPERLINK("http://www.lingerieopt.ru/images/original/a2eb0377-f225-4c70-860d-ef1fe9fade17.jpg","Фото")</f>
      </c>
    </row>
    <row r="1153">
      <c r="A1153" s="7">
        <f>HYPERLINK("http://www.lingerieopt.ru/item/9736-azhurnje-kolgotj-s-vjrezami-na-bedrah/","9736")</f>
      </c>
      <c r="B1153" s="8" t="s">
        <v>1147</v>
      </c>
      <c r="C1153" s="9">
        <v>780</v>
      </c>
      <c r="D1153" s="0">
        <v>5</v>
      </c>
      <c r="E1153" s="10">
        <f>HYPERLINK("http://www.lingerieopt.ru/images/original/7744ac75-6ff6-4d79-8a45-e56f5dde7ad8.jpg","Фото")</f>
      </c>
    </row>
    <row r="1154">
      <c r="A1154" s="7">
        <f>HYPERLINK("http://www.lingerieopt.ru/item/9738-soblaznitelnje-kolgotj-s-vjrezami-na-bedrah-i-imitaciei-shnurovok/","9738")</f>
      </c>
      <c r="B1154" s="8" t="s">
        <v>1148</v>
      </c>
      <c r="C1154" s="9">
        <v>864</v>
      </c>
      <c r="D1154" s="0">
        <v>15</v>
      </c>
      <c r="E1154" s="10">
        <f>HYPERLINK("http://www.lingerieopt.ru/images/original/6e40049c-50ad-4f57-b897-b0b4510b0d66.jpg","Фото")</f>
      </c>
    </row>
    <row r="1155">
      <c r="A1155" s="7">
        <f>HYPERLINK("http://www.lingerieopt.ru/item/9933-telesnje-kolgotki-medica-massage-20-den/","9933")</f>
      </c>
      <c r="B1155" s="8" t="s">
        <v>1149</v>
      </c>
      <c r="C1155" s="9">
        <v>229</v>
      </c>
      <c r="D1155" s="0">
        <v>21</v>
      </c>
      <c r="E1155" s="10">
        <f>HYPERLINK("http://www.lingerieopt.ru/images/original/6a759a17-504f-4a45-9c2f-8a9a6ad3bb55.jpg","Фото")</f>
      </c>
    </row>
    <row r="1156">
      <c r="A1156" s="7">
        <f>HYPERLINK("http://www.lingerieopt.ru/item/9933-telesnje-kolgotki-medica-massage-20-den/","9933")</f>
      </c>
      <c r="B1156" s="8" t="s">
        <v>1150</v>
      </c>
      <c r="C1156" s="9">
        <v>229</v>
      </c>
      <c r="D1156" s="0">
        <v>0</v>
      </c>
      <c r="E1156" s="10">
        <f>HYPERLINK("http://www.lingerieopt.ru/images/original/6a759a17-504f-4a45-9c2f-8a9a6ad3bb55.jpg","Фото")</f>
      </c>
    </row>
    <row r="1157">
      <c r="A1157" s="7">
        <f>HYPERLINK("http://www.lingerieopt.ru/item/9933-telesnje-kolgotki-medica-massage-20-den/","9933")</f>
      </c>
      <c r="B1157" s="8" t="s">
        <v>1151</v>
      </c>
      <c r="C1157" s="9">
        <v>229</v>
      </c>
      <c r="D1157" s="0">
        <v>21</v>
      </c>
      <c r="E1157" s="10">
        <f>HYPERLINK("http://www.lingerieopt.ru/images/original/6a759a17-504f-4a45-9c2f-8a9a6ad3bb55.jpg","Фото")</f>
      </c>
    </row>
    <row r="1158">
      <c r="A1158" s="7">
        <f>HYPERLINK("http://www.lingerieopt.ru/item/9935-utyagivayuschie-kolgotki-medica-push-up-20-den/","9935")</f>
      </c>
      <c r="B1158" s="8" t="s">
        <v>1152</v>
      </c>
      <c r="C1158" s="9">
        <v>229</v>
      </c>
      <c r="D1158" s="0">
        <v>42</v>
      </c>
      <c r="E1158" s="10">
        <f>HYPERLINK("http://www.lingerieopt.ru/images/original/222893bc-4e3a-4052-9420-f1a22cd48ad3.jpg","Фото")</f>
      </c>
    </row>
    <row r="1159">
      <c r="A1159" s="7">
        <f>HYPERLINK("http://www.lingerieopt.ru/item/9935-utyagivayuschie-kolgotki-medica-push-up-20-den/","9935")</f>
      </c>
      <c r="B1159" s="8" t="s">
        <v>1153</v>
      </c>
      <c r="C1159" s="9">
        <v>229</v>
      </c>
      <c r="D1159" s="0">
        <v>32</v>
      </c>
      <c r="E1159" s="10">
        <f>HYPERLINK("http://www.lingerieopt.ru/images/original/222893bc-4e3a-4052-9420-f1a22cd48ad3.jpg","Фото")</f>
      </c>
    </row>
    <row r="1160">
      <c r="A1160" s="7">
        <f>HYPERLINK("http://www.lingerieopt.ru/item/9935-utyagivayuschie-kolgotki-medica-push-up-20-den/","9935")</f>
      </c>
      <c r="B1160" s="8" t="s">
        <v>1154</v>
      </c>
      <c r="C1160" s="9">
        <v>229</v>
      </c>
      <c r="D1160" s="0">
        <v>22</v>
      </c>
      <c r="E1160" s="10">
        <f>HYPERLINK("http://www.lingerieopt.ru/images/original/222893bc-4e3a-4052-9420-f1a22cd48ad3.jpg","Фото")</f>
      </c>
    </row>
    <row r="1161">
      <c r="A1161" s="7">
        <f>HYPERLINK("http://www.lingerieopt.ru/item/9935-utyagivayuschie-kolgotki-medica-push-up-20-den/","9935")</f>
      </c>
      <c r="B1161" s="8" t="s">
        <v>1155</v>
      </c>
      <c r="C1161" s="9">
        <v>229</v>
      </c>
      <c r="D1161" s="0">
        <v>33</v>
      </c>
      <c r="E1161" s="10">
        <f>HYPERLINK("http://www.lingerieopt.ru/images/original/222893bc-4e3a-4052-9420-f1a22cd48ad3.jpg","Фото")</f>
      </c>
    </row>
    <row r="1162">
      <c r="A1162" s="7">
        <f>HYPERLINK("http://www.lingerieopt.ru/item/9935-utyagivayuschie-kolgotki-medica-push-up-20-den/","9935")</f>
      </c>
      <c r="B1162" s="8" t="s">
        <v>1156</v>
      </c>
      <c r="C1162" s="9">
        <v>229</v>
      </c>
      <c r="D1162" s="0">
        <v>20</v>
      </c>
      <c r="E1162" s="10">
        <f>HYPERLINK("http://www.lingerieopt.ru/images/original/222893bc-4e3a-4052-9420-f1a22cd48ad3.jpg","Фото")</f>
      </c>
    </row>
    <row r="1163">
      <c r="A1163" s="7">
        <f>HYPERLINK("http://www.lingerieopt.ru/item/9935-utyagivayuschie-kolgotki-medica-push-up-20-den/","9935")</f>
      </c>
      <c r="B1163" s="8" t="s">
        <v>1157</v>
      </c>
      <c r="C1163" s="9">
        <v>229</v>
      </c>
      <c r="D1163" s="0">
        <v>12</v>
      </c>
      <c r="E1163" s="10">
        <f>HYPERLINK("http://www.lingerieopt.ru/images/original/222893bc-4e3a-4052-9420-f1a22cd48ad3.jpg","Фото")</f>
      </c>
    </row>
    <row r="1164">
      <c r="A1164" s="7">
        <f>HYPERLINK("http://www.lingerieopt.ru/item/9936-utyagivayuschie-kolgotki-medica-push-up-40-den/","9936")</f>
      </c>
      <c r="B1164" s="8" t="s">
        <v>1158</v>
      </c>
      <c r="C1164" s="9">
        <v>254</v>
      </c>
      <c r="D1164" s="0">
        <v>0</v>
      </c>
      <c r="E1164" s="10">
        <f>HYPERLINK("http://www.lingerieopt.ru/images/original/51ac7a72-5088-4960-8f69-8eb0ca46df3d.jpg","Фото")</f>
      </c>
    </row>
    <row r="1165">
      <c r="A1165" s="7">
        <f>HYPERLINK("http://www.lingerieopt.ru/item/9936-utyagivayuschie-kolgotki-medica-push-up-40-den/","9936")</f>
      </c>
      <c r="B1165" s="8" t="s">
        <v>1159</v>
      </c>
      <c r="C1165" s="9">
        <v>254</v>
      </c>
      <c r="D1165" s="0">
        <v>0</v>
      </c>
      <c r="E1165" s="10">
        <f>HYPERLINK("http://www.lingerieopt.ru/images/original/51ac7a72-5088-4960-8f69-8eb0ca46df3d.jpg","Фото")</f>
      </c>
    </row>
    <row r="1166">
      <c r="A1166" s="7">
        <f>HYPERLINK("http://www.lingerieopt.ru/item/9936-utyagivayuschie-kolgotki-medica-push-up-40-den/","9936")</f>
      </c>
      <c r="B1166" s="8" t="s">
        <v>1160</v>
      </c>
      <c r="C1166" s="9">
        <v>254</v>
      </c>
      <c r="D1166" s="0">
        <v>19</v>
      </c>
      <c r="E1166" s="10">
        <f>HYPERLINK("http://www.lingerieopt.ru/images/original/51ac7a72-5088-4960-8f69-8eb0ca46df3d.jpg","Фото")</f>
      </c>
    </row>
    <row r="1167">
      <c r="A1167" s="7">
        <f>HYPERLINK("http://www.lingerieopt.ru/item/9936-utyagivayuschie-kolgotki-medica-push-up-40-den/","9936")</f>
      </c>
      <c r="B1167" s="8" t="s">
        <v>1161</v>
      </c>
      <c r="C1167" s="9">
        <v>254</v>
      </c>
      <c r="D1167" s="0">
        <v>17</v>
      </c>
      <c r="E1167" s="10">
        <f>HYPERLINK("http://www.lingerieopt.ru/images/original/51ac7a72-5088-4960-8f69-8eb0ca46df3d.jpg","Фото")</f>
      </c>
    </row>
    <row r="1168">
      <c r="A1168" s="7">
        <f>HYPERLINK("http://www.lingerieopt.ru/item/9936-utyagivayuschie-kolgotki-medica-push-up-40-den/","9936")</f>
      </c>
      <c r="B1168" s="8" t="s">
        <v>1162</v>
      </c>
      <c r="C1168" s="9">
        <v>254</v>
      </c>
      <c r="D1168" s="0">
        <v>19</v>
      </c>
      <c r="E1168" s="10">
        <f>HYPERLINK("http://www.lingerieopt.ru/images/original/51ac7a72-5088-4960-8f69-8eb0ca46df3d.jpg","Фото")</f>
      </c>
    </row>
    <row r="1169">
      <c r="A1169" s="7">
        <f>HYPERLINK("http://www.lingerieopt.ru/item/9936-utyagivayuschie-kolgotki-medica-push-up-40-den/","9936")</f>
      </c>
      <c r="B1169" s="8" t="s">
        <v>1163</v>
      </c>
      <c r="C1169" s="9">
        <v>254</v>
      </c>
      <c r="D1169" s="0">
        <v>3</v>
      </c>
      <c r="E1169" s="10">
        <f>HYPERLINK("http://www.lingerieopt.ru/images/original/51ac7a72-5088-4960-8f69-8eb0ca46df3d.jpg","Фото")</f>
      </c>
    </row>
    <row r="1170">
      <c r="A1170" s="7">
        <f>HYPERLINK("http://www.lingerieopt.ru/item/9937-komfortnje-kolgotki-dlya-beremennjh-mamma-20-den/","9937")</f>
      </c>
      <c r="B1170" s="8" t="s">
        <v>1164</v>
      </c>
      <c r="C1170" s="9">
        <v>254</v>
      </c>
      <c r="D1170" s="0">
        <v>38</v>
      </c>
      <c r="E1170" s="10">
        <f>HYPERLINK("http://www.lingerieopt.ru/images/original/77bc84a3-2b23-4bb1-aba4-70c6b2a88878.jpg","Фото")</f>
      </c>
    </row>
    <row r="1171">
      <c r="A1171" s="7">
        <f>HYPERLINK("http://www.lingerieopt.ru/item/9937-komfortnje-kolgotki-dlya-beremennjh-mamma-20-den/","9937")</f>
      </c>
      <c r="B1171" s="8" t="s">
        <v>1165</v>
      </c>
      <c r="C1171" s="9">
        <v>254</v>
      </c>
      <c r="D1171" s="0">
        <v>18</v>
      </c>
      <c r="E1171" s="10">
        <f>HYPERLINK("http://www.lingerieopt.ru/images/original/77bc84a3-2b23-4bb1-aba4-70c6b2a88878.jpg","Фото")</f>
      </c>
    </row>
    <row r="1172">
      <c r="A1172" s="7">
        <f>HYPERLINK("http://www.lingerieopt.ru/item/9937-komfortnje-kolgotki-dlya-beremennjh-mamma-20-den/","9937")</f>
      </c>
      <c r="B1172" s="8" t="s">
        <v>1166</v>
      </c>
      <c r="C1172" s="9">
        <v>254</v>
      </c>
      <c r="D1172" s="0">
        <v>25</v>
      </c>
      <c r="E1172" s="10">
        <f>HYPERLINK("http://www.lingerieopt.ru/images/original/77bc84a3-2b23-4bb1-aba4-70c6b2a88878.jpg","Фото")</f>
      </c>
    </row>
    <row r="1173">
      <c r="A1173" s="7">
        <f>HYPERLINK("http://www.lingerieopt.ru/item/9938-kolgotki-dlya-beremennjh-mamma-40-den/","9938")</f>
      </c>
      <c r="B1173" s="8" t="s">
        <v>1167</v>
      </c>
      <c r="C1173" s="9">
        <v>267</v>
      </c>
      <c r="D1173" s="0">
        <v>44</v>
      </c>
      <c r="E1173" s="10">
        <f>HYPERLINK("http://www.lingerieopt.ru/images/original/d8e05914-c891-4c8a-a447-992a77848b61.jpg","Фото")</f>
      </c>
    </row>
    <row r="1174">
      <c r="A1174" s="7">
        <f>HYPERLINK("http://www.lingerieopt.ru/item/9938-kolgotki-dlya-beremennjh-mamma-40-den/","9938")</f>
      </c>
      <c r="B1174" s="8" t="s">
        <v>1168</v>
      </c>
      <c r="C1174" s="9">
        <v>267</v>
      </c>
      <c r="D1174" s="0">
        <v>34</v>
      </c>
      <c r="E1174" s="10">
        <f>HYPERLINK("http://www.lingerieopt.ru/images/original/d8e05914-c891-4c8a-a447-992a77848b61.jpg","Фото")</f>
      </c>
    </row>
    <row r="1175">
      <c r="A1175" s="7">
        <f>HYPERLINK("http://www.lingerieopt.ru/item/9938-kolgotki-dlya-beremennjh-mamma-40-den/","9938")</f>
      </c>
      <c r="B1175" s="8" t="s">
        <v>1169</v>
      </c>
      <c r="C1175" s="9">
        <v>267</v>
      </c>
      <c r="D1175" s="0">
        <v>44</v>
      </c>
      <c r="E1175" s="10">
        <f>HYPERLINK("http://www.lingerieopt.ru/images/original/d8e05914-c891-4c8a-a447-992a77848b61.jpg","Фото")</f>
      </c>
    </row>
    <row r="1176">
      <c r="A1176" s="7">
        <f>HYPERLINK("http://www.lingerieopt.ru/item/9939-tonkie-kolgotki-qualita/","9939")</f>
      </c>
      <c r="B1176" s="8" t="s">
        <v>1170</v>
      </c>
      <c r="C1176" s="9">
        <v>292</v>
      </c>
      <c r="D1176" s="0">
        <v>0</v>
      </c>
      <c r="E1176" s="10">
        <f>HYPERLINK("http://www.lingerieopt.ru/images/original/61f6a557-a2d5-46d1-9d2e-cc6f6dbec71b.jpg","Фото")</f>
      </c>
    </row>
    <row r="1177">
      <c r="A1177" s="7">
        <f>HYPERLINK("http://www.lingerieopt.ru/item/9939-tonkie-kolgotki-qualita/","9939")</f>
      </c>
      <c r="B1177" s="8" t="s">
        <v>1171</v>
      </c>
      <c r="C1177" s="9">
        <v>292</v>
      </c>
      <c r="D1177" s="0">
        <v>3</v>
      </c>
      <c r="E1177" s="10">
        <f>HYPERLINK("http://www.lingerieopt.ru/images/original/61f6a557-a2d5-46d1-9d2e-cc6f6dbec71b.jpg","Фото")</f>
      </c>
    </row>
    <row r="1178">
      <c r="A1178" s="7">
        <f>HYPERLINK("http://www.lingerieopt.ru/item/9939-tonkie-kolgotki-qualita/","9939")</f>
      </c>
      <c r="B1178" s="8" t="s">
        <v>1172</v>
      </c>
      <c r="C1178" s="9">
        <v>292</v>
      </c>
      <c r="D1178" s="0">
        <v>3</v>
      </c>
      <c r="E1178" s="10">
        <f>HYPERLINK("http://www.lingerieopt.ru/images/original/61f6a557-a2d5-46d1-9d2e-cc6f6dbec71b.jpg","Фото")</f>
      </c>
    </row>
    <row r="1179">
      <c r="A1179" s="7">
        <f>HYPERLINK("http://www.lingerieopt.ru/item/9939-tonkie-kolgotki-qualita/","9939")</f>
      </c>
      <c r="B1179" s="8" t="s">
        <v>1173</v>
      </c>
      <c r="C1179" s="9">
        <v>292</v>
      </c>
      <c r="D1179" s="0">
        <v>7</v>
      </c>
      <c r="E1179" s="10">
        <f>HYPERLINK("http://www.lingerieopt.ru/images/original/61f6a557-a2d5-46d1-9d2e-cc6f6dbec71b.jpg","Фото")</f>
      </c>
    </row>
    <row r="1180">
      <c r="A1180" s="7">
        <f>HYPERLINK("http://www.lingerieopt.ru/item/9939-tonkie-kolgotki-qualita/","9939")</f>
      </c>
      <c r="B1180" s="8" t="s">
        <v>1174</v>
      </c>
      <c r="C1180" s="9">
        <v>292</v>
      </c>
      <c r="D1180" s="0">
        <v>0</v>
      </c>
      <c r="E1180" s="10">
        <f>HYPERLINK("http://www.lingerieopt.ru/images/original/61f6a557-a2d5-46d1-9d2e-cc6f6dbec71b.jpg","Фото")</f>
      </c>
    </row>
    <row r="1181">
      <c r="A1181" s="7">
        <f>HYPERLINK("http://www.lingerieopt.ru/item/9939-tonkie-kolgotki-qualita/","9939")</f>
      </c>
      <c r="B1181" s="8" t="s">
        <v>1175</v>
      </c>
      <c r="C1181" s="9">
        <v>292</v>
      </c>
      <c r="D1181" s="0">
        <v>1</v>
      </c>
      <c r="E1181" s="10">
        <f>HYPERLINK("http://www.lingerieopt.ru/images/original/61f6a557-a2d5-46d1-9d2e-cc6f6dbec71b.jpg","Фото")</f>
      </c>
    </row>
    <row r="1182">
      <c r="A1182" s="7">
        <f>HYPERLINK("http://www.lingerieopt.ru/item/9940-poluprozrachnje-kolgotki-hipsters-20-den-s-zanizhennoi-taliei/","9940")</f>
      </c>
      <c r="B1182" s="8" t="s">
        <v>1176</v>
      </c>
      <c r="C1182" s="9">
        <v>152</v>
      </c>
      <c r="D1182" s="0">
        <v>41</v>
      </c>
      <c r="E1182" s="10">
        <f>HYPERLINK("http://www.lingerieopt.ru/images/original/607346ff-5c78-4792-9b34-4d343f9af5d1.jpg","Фото")</f>
      </c>
    </row>
    <row r="1183">
      <c r="A1183" s="7">
        <f>HYPERLINK("http://www.lingerieopt.ru/item/9940-poluprozrachnje-kolgotki-hipsters-20-den-s-zanizhennoi-taliei/","9940")</f>
      </c>
      <c r="B1183" s="8" t="s">
        <v>1177</v>
      </c>
      <c r="C1183" s="9">
        <v>152</v>
      </c>
      <c r="D1183" s="0">
        <v>43</v>
      </c>
      <c r="E1183" s="10">
        <f>HYPERLINK("http://www.lingerieopt.ru/images/original/607346ff-5c78-4792-9b34-4d343f9af5d1.jpg","Фото")</f>
      </c>
    </row>
    <row r="1184">
      <c r="A1184" s="7">
        <f>HYPERLINK("http://www.lingerieopt.ru/item/9940-poluprozrachnje-kolgotki-hipsters-20-den-s-zanizhennoi-taliei/","9940")</f>
      </c>
      <c r="B1184" s="8" t="s">
        <v>1178</v>
      </c>
      <c r="C1184" s="9">
        <v>152</v>
      </c>
      <c r="D1184" s="0">
        <v>38</v>
      </c>
      <c r="E1184" s="10">
        <f>HYPERLINK("http://www.lingerieopt.ru/images/original/607346ff-5c78-4792-9b34-4d343f9af5d1.jpg","Фото")</f>
      </c>
    </row>
    <row r="1185">
      <c r="A1185" s="7">
        <f>HYPERLINK("http://www.lingerieopt.ru/item/9940-poluprozrachnje-kolgotki-hipsters-20-den-s-zanizhennoi-taliei/","9940")</f>
      </c>
      <c r="B1185" s="8" t="s">
        <v>1179</v>
      </c>
      <c r="C1185" s="9">
        <v>152</v>
      </c>
      <c r="D1185" s="0">
        <v>54</v>
      </c>
      <c r="E1185" s="10">
        <f>HYPERLINK("http://www.lingerieopt.ru/images/original/607346ff-5c78-4792-9b34-4d343f9af5d1.jpg","Фото")</f>
      </c>
    </row>
    <row r="1186">
      <c r="A1186" s="7">
        <f>HYPERLINK("http://www.lingerieopt.ru/item/9940-poluprozrachnje-kolgotki-hipsters-20-den-s-zanizhennoi-taliei/","9940")</f>
      </c>
      <c r="B1186" s="8" t="s">
        <v>1180</v>
      </c>
      <c r="C1186" s="9">
        <v>152</v>
      </c>
      <c r="D1186" s="0">
        <v>45</v>
      </c>
      <c r="E1186" s="10">
        <f>HYPERLINK("http://www.lingerieopt.ru/images/original/607346ff-5c78-4792-9b34-4d343f9af5d1.jpg","Фото")</f>
      </c>
    </row>
    <row r="1187">
      <c r="A1187" s="7">
        <f>HYPERLINK("http://www.lingerieopt.ru/item/9940-poluprozrachnje-kolgotki-hipsters-20-den-s-zanizhennoi-taliei/","9940")</f>
      </c>
      <c r="B1187" s="8" t="s">
        <v>1181</v>
      </c>
      <c r="C1187" s="9">
        <v>152</v>
      </c>
      <c r="D1187" s="0">
        <v>53</v>
      </c>
      <c r="E1187" s="10">
        <f>HYPERLINK("http://www.lingerieopt.ru/images/original/607346ff-5c78-4792-9b34-4d343f9af5d1.jpg","Фото")</f>
      </c>
    </row>
    <row r="1188">
      <c r="A1188" s="7">
        <f>HYPERLINK("http://www.lingerieopt.ru/item/9941-plotnje-matovje-kolgotki-hipsters-40-den/","9941")</f>
      </c>
      <c r="B1188" s="8" t="s">
        <v>1182</v>
      </c>
      <c r="C1188" s="9">
        <v>190</v>
      </c>
      <c r="D1188" s="0">
        <v>47</v>
      </c>
      <c r="E1188" s="10">
        <f>HYPERLINK("http://www.lingerieopt.ru/images/original/9c371466-cf63-4ef1-bbc4-6c7e777dfa1b.jpg","Фото")</f>
      </c>
    </row>
    <row r="1189">
      <c r="A1189" s="7">
        <f>HYPERLINK("http://www.lingerieopt.ru/item/9941-plotnje-matovje-kolgotki-hipsters-40-den/","9941")</f>
      </c>
      <c r="B1189" s="8" t="s">
        <v>1183</v>
      </c>
      <c r="C1189" s="9">
        <v>190</v>
      </c>
      <c r="D1189" s="0">
        <v>23</v>
      </c>
      <c r="E1189" s="10">
        <f>HYPERLINK("http://www.lingerieopt.ru/images/original/9c371466-cf63-4ef1-bbc4-6c7e777dfa1b.jpg","Фото")</f>
      </c>
    </row>
    <row r="1190">
      <c r="A1190" s="7">
        <f>HYPERLINK("http://www.lingerieopt.ru/item/9941-plotnje-matovje-kolgotki-hipsters-40-den/","9941")</f>
      </c>
      <c r="B1190" s="8" t="s">
        <v>1184</v>
      </c>
      <c r="C1190" s="9">
        <v>190</v>
      </c>
      <c r="D1190" s="0">
        <v>37</v>
      </c>
      <c r="E1190" s="10">
        <f>HYPERLINK("http://www.lingerieopt.ru/images/original/9c371466-cf63-4ef1-bbc4-6c7e777dfa1b.jpg","Фото")</f>
      </c>
    </row>
    <row r="1191">
      <c r="A1191" s="7">
        <f>HYPERLINK("http://www.lingerieopt.ru/item/9942-kolgotki-gold-20-den-s-dobavleniem-laikrj/","9942")</f>
      </c>
      <c r="B1191" s="8" t="s">
        <v>1185</v>
      </c>
      <c r="C1191" s="9">
        <v>229</v>
      </c>
      <c r="D1191" s="0">
        <v>13</v>
      </c>
      <c r="E1191" s="10">
        <f>HYPERLINK("http://www.lingerieopt.ru/images/original/7ea4a454-d565-49c8-ae6d-202412e2c736.jpg","Фото")</f>
      </c>
    </row>
    <row r="1192">
      <c r="A1192" s="7">
        <f>HYPERLINK("http://www.lingerieopt.ru/item/9942-kolgotki-gold-20-den-s-dobavleniem-laikrj/","9942")</f>
      </c>
      <c r="B1192" s="8" t="s">
        <v>1186</v>
      </c>
      <c r="C1192" s="9">
        <v>229</v>
      </c>
      <c r="D1192" s="0">
        <v>6</v>
      </c>
      <c r="E1192" s="10">
        <f>HYPERLINK("http://www.lingerieopt.ru/images/original/7ea4a454-d565-49c8-ae6d-202412e2c736.jpg","Фото")</f>
      </c>
    </row>
    <row r="1193">
      <c r="A1193" s="7">
        <f>HYPERLINK("http://www.lingerieopt.ru/item/9942-kolgotki-gold-20-den-s-dobavleniem-laikrj/","9942")</f>
      </c>
      <c r="B1193" s="8" t="s">
        <v>1187</v>
      </c>
      <c r="C1193" s="9">
        <v>229</v>
      </c>
      <c r="D1193" s="0">
        <v>11</v>
      </c>
      <c r="E1193" s="10">
        <f>HYPERLINK("http://www.lingerieopt.ru/images/original/7ea4a454-d565-49c8-ae6d-202412e2c736.jpg","Фото")</f>
      </c>
    </row>
    <row r="1194">
      <c r="A1194" s="7">
        <f>HYPERLINK("http://www.lingerieopt.ru/item/9942-kolgotki-gold-20-den-s-dobavleniem-laikrj/","9942")</f>
      </c>
      <c r="B1194" s="8" t="s">
        <v>1188</v>
      </c>
      <c r="C1194" s="9">
        <v>229</v>
      </c>
      <c r="D1194" s="0">
        <v>1</v>
      </c>
      <c r="E1194" s="10">
        <f>HYPERLINK("http://www.lingerieopt.ru/images/original/7ea4a454-d565-49c8-ae6d-202412e2c736.jpg","Фото")</f>
      </c>
    </row>
    <row r="1195">
      <c r="A1195" s="7">
        <f>HYPERLINK("http://www.lingerieopt.ru/item/9942-kolgotki-gold-20-den-s-dobavleniem-laikrj/","9942")</f>
      </c>
      <c r="B1195" s="8" t="s">
        <v>1189</v>
      </c>
      <c r="C1195" s="9">
        <v>229</v>
      </c>
      <c r="D1195" s="0">
        <v>8</v>
      </c>
      <c r="E1195" s="10">
        <f>HYPERLINK("http://www.lingerieopt.ru/images/original/7ea4a454-d565-49c8-ae6d-202412e2c736.jpg","Фото")</f>
      </c>
    </row>
    <row r="1196">
      <c r="A1196" s="7">
        <f>HYPERLINK("http://www.lingerieopt.ru/item/9942-kolgotki-gold-20-den-s-dobavleniem-laikrj/","9942")</f>
      </c>
      <c r="B1196" s="8" t="s">
        <v>1190</v>
      </c>
      <c r="C1196" s="9">
        <v>229</v>
      </c>
      <c r="D1196" s="0">
        <v>0</v>
      </c>
      <c r="E1196" s="10">
        <f>HYPERLINK("http://www.lingerieopt.ru/images/original/7ea4a454-d565-49c8-ae6d-202412e2c736.jpg","Фото")</f>
      </c>
    </row>
    <row r="1197">
      <c r="A1197" s="7">
        <f>HYPERLINK("http://www.lingerieopt.ru/item/9945-fantaziinje-kolgotki-betty-v-krupnji-goroh/","9945")</f>
      </c>
      <c r="B1197" s="8" t="s">
        <v>1191</v>
      </c>
      <c r="C1197" s="9">
        <v>343</v>
      </c>
      <c r="D1197" s="0">
        <v>15</v>
      </c>
      <c r="E1197" s="10">
        <f>HYPERLINK("http://www.lingerieopt.ru/images/original/4401574b-4379-45e5-bd1a-2b4b41e7cee7.jpg","Фото")</f>
      </c>
    </row>
    <row r="1198">
      <c r="A1198" s="7">
        <f>HYPERLINK("http://www.lingerieopt.ru/item/9945-fantaziinje-kolgotki-betty-v-krupnji-goroh/","9945")</f>
      </c>
      <c r="B1198" s="8" t="s">
        <v>1192</v>
      </c>
      <c r="C1198" s="9">
        <v>343</v>
      </c>
      <c r="D1198" s="0">
        <v>2</v>
      </c>
      <c r="E1198" s="10">
        <f>HYPERLINK("http://www.lingerieopt.ru/images/original/4401574b-4379-45e5-bd1a-2b4b41e7cee7.jpg","Фото")</f>
      </c>
    </row>
    <row r="1199">
      <c r="A1199" s="7">
        <f>HYPERLINK("http://www.lingerieopt.ru/item/9945-fantaziinje-kolgotki-betty-v-krupnji-goroh/","9945")</f>
      </c>
      <c r="B1199" s="8" t="s">
        <v>1193</v>
      </c>
      <c r="C1199" s="9">
        <v>343</v>
      </c>
      <c r="D1199" s="0">
        <v>10</v>
      </c>
      <c r="E1199" s="10">
        <f>HYPERLINK("http://www.lingerieopt.ru/images/original/4401574b-4379-45e5-bd1a-2b4b41e7cee7.jpg","Фото")</f>
      </c>
    </row>
    <row r="1200">
      <c r="A1200" s="7">
        <f>HYPERLINK("http://www.lingerieopt.ru/item/9948-tonkie-kolgotki-kelly-s-imitaciei-nosochkov/","9948")</f>
      </c>
      <c r="B1200" s="8" t="s">
        <v>1194</v>
      </c>
      <c r="C1200" s="9">
        <v>330</v>
      </c>
      <c r="D1200" s="0">
        <v>3</v>
      </c>
      <c r="E1200" s="10">
        <f>HYPERLINK("http://www.lingerieopt.ru/images/original/4b803712-28a9-45a1-82d2-60c5eed9afd0.jpg","Фото")</f>
      </c>
    </row>
    <row r="1201">
      <c r="A1201" s="7">
        <f>HYPERLINK("http://www.lingerieopt.ru/item/9948-tonkie-kolgotki-kelly-s-imitaciei-nosochkov/","9948")</f>
      </c>
      <c r="B1201" s="8" t="s">
        <v>1195</v>
      </c>
      <c r="C1201" s="9">
        <v>330</v>
      </c>
      <c r="D1201" s="0">
        <v>1</v>
      </c>
      <c r="E1201" s="10">
        <f>HYPERLINK("http://www.lingerieopt.ru/images/original/4b803712-28a9-45a1-82d2-60c5eed9afd0.jpg","Фото")</f>
      </c>
    </row>
    <row r="1202">
      <c r="A1202" s="7">
        <f>HYPERLINK("http://www.lingerieopt.ru/item/9948-tonkie-kolgotki-kelly-s-imitaciei-nosochkov/","9948")</f>
      </c>
      <c r="B1202" s="8" t="s">
        <v>1196</v>
      </c>
      <c r="C1202" s="9">
        <v>330</v>
      </c>
      <c r="D1202" s="0">
        <v>4</v>
      </c>
      <c r="E1202" s="10">
        <f>HYPERLINK("http://www.lingerieopt.ru/images/original/4b803712-28a9-45a1-82d2-60c5eed9afd0.jpg","Фото")</f>
      </c>
    </row>
    <row r="1203">
      <c r="A1203" s="7">
        <f>HYPERLINK("http://www.lingerieopt.ru/item/9953-kolgotki-paty-s-imitaciei-chulok/","9953")</f>
      </c>
      <c r="B1203" s="8" t="s">
        <v>1197</v>
      </c>
      <c r="C1203" s="9">
        <v>330</v>
      </c>
      <c r="D1203" s="0">
        <v>10</v>
      </c>
      <c r="E1203" s="10">
        <f>HYPERLINK("http://www.lingerieopt.ru/images/original/12c344e6-9470-4268-ae56-965bc4d48b7c.jpg","Фото")</f>
      </c>
    </row>
    <row r="1204">
      <c r="A1204" s="7">
        <f>HYPERLINK("http://www.lingerieopt.ru/item/9953-kolgotki-paty-s-imitaciei-chulok/","9953")</f>
      </c>
      <c r="B1204" s="8" t="s">
        <v>1198</v>
      </c>
      <c r="C1204" s="9">
        <v>330</v>
      </c>
      <c r="D1204" s="0">
        <v>0</v>
      </c>
      <c r="E1204" s="10">
        <f>HYPERLINK("http://www.lingerieopt.ru/images/original/12c344e6-9470-4268-ae56-965bc4d48b7c.jpg","Фото")</f>
      </c>
    </row>
    <row r="1205">
      <c r="A1205" s="7">
        <f>HYPERLINK("http://www.lingerieopt.ru/item/9953-kolgotki-paty-s-imitaciei-chulok/","9953")</f>
      </c>
      <c r="B1205" s="8" t="s">
        <v>1199</v>
      </c>
      <c r="C1205" s="9">
        <v>330</v>
      </c>
      <c r="D1205" s="0">
        <v>0</v>
      </c>
      <c r="E1205" s="10">
        <f>HYPERLINK("http://www.lingerieopt.ru/images/original/12c344e6-9470-4268-ae56-965bc4d48b7c.jpg","Фото")</f>
      </c>
    </row>
    <row r="1206">
      <c r="A1206" s="7">
        <f>HYPERLINK("http://www.lingerieopt.ru/item/9955-elegantnje-kolgotki-iz-mikrofibrj-microfibre-40-den/","9955")</f>
      </c>
      <c r="B1206" s="8" t="s">
        <v>1200</v>
      </c>
      <c r="C1206" s="9">
        <v>203</v>
      </c>
      <c r="D1206" s="0">
        <v>5</v>
      </c>
      <c r="E1206" s="10">
        <f>HYPERLINK("http://www.lingerieopt.ru/images/original/22b2b36c-d5d9-40dc-874d-a42e5f3dc845.jpg","Фото")</f>
      </c>
    </row>
    <row r="1207">
      <c r="A1207" s="7">
        <f>HYPERLINK("http://www.lingerieopt.ru/item/9955-elegantnje-kolgotki-iz-mikrofibrj-microfibre-40-den/","9955")</f>
      </c>
      <c r="B1207" s="8" t="s">
        <v>1201</v>
      </c>
      <c r="C1207" s="9">
        <v>203</v>
      </c>
      <c r="D1207" s="0">
        <v>29</v>
      </c>
      <c r="E1207" s="10">
        <f>HYPERLINK("http://www.lingerieopt.ru/images/original/22b2b36c-d5d9-40dc-874d-a42e5f3dc845.jpg","Фото")</f>
      </c>
    </row>
    <row r="1208">
      <c r="A1208" s="7">
        <f>HYPERLINK("http://www.lingerieopt.ru/item/9955-elegantnje-kolgotki-iz-mikrofibrj-microfibre-40-den/","9955")</f>
      </c>
      <c r="B1208" s="8" t="s">
        <v>1202</v>
      </c>
      <c r="C1208" s="9">
        <v>203</v>
      </c>
      <c r="D1208" s="0">
        <v>21</v>
      </c>
      <c r="E1208" s="10">
        <f>HYPERLINK("http://www.lingerieopt.ru/images/original/22b2b36c-d5d9-40dc-874d-a42e5f3dc845.jpg","Фото")</f>
      </c>
    </row>
    <row r="1209">
      <c r="A1209" s="7">
        <f>HYPERLINK("http://www.lingerieopt.ru/item/9956-plotnje-kolgotki-iz-mikrofibrj-microfibre-60-den/","9956")</f>
      </c>
      <c r="B1209" s="8" t="s">
        <v>1203</v>
      </c>
      <c r="C1209" s="9">
        <v>229</v>
      </c>
      <c r="D1209" s="0">
        <v>18</v>
      </c>
      <c r="E1209" s="10">
        <f>HYPERLINK("http://www.lingerieopt.ru/images/original/dc1dea2e-afdc-429a-8804-5f3fb51f8367.jpg","Фото")</f>
      </c>
    </row>
    <row r="1210">
      <c r="A1210" s="7">
        <f>HYPERLINK("http://www.lingerieopt.ru/item/9956-plotnje-kolgotki-iz-mikrofibrj-microfibre-60-den/","9956")</f>
      </c>
      <c r="B1210" s="8" t="s">
        <v>1204</v>
      </c>
      <c r="C1210" s="9">
        <v>229</v>
      </c>
      <c r="D1210" s="0">
        <v>27</v>
      </c>
      <c r="E1210" s="10">
        <f>HYPERLINK("http://www.lingerieopt.ru/images/original/dc1dea2e-afdc-429a-8804-5f3fb51f8367.jpg","Фото")</f>
      </c>
    </row>
    <row r="1211">
      <c r="A1211" s="7">
        <f>HYPERLINK("http://www.lingerieopt.ru/item/9956-plotnje-kolgotki-iz-mikrofibrj-microfibre-60-den/","9956")</f>
      </c>
      <c r="B1211" s="8" t="s">
        <v>1205</v>
      </c>
      <c r="C1211" s="9">
        <v>229</v>
      </c>
      <c r="D1211" s="0">
        <v>13</v>
      </c>
      <c r="E1211" s="10">
        <f>HYPERLINK("http://www.lingerieopt.ru/images/original/dc1dea2e-afdc-429a-8804-5f3fb51f8367.jpg","Фото")</f>
      </c>
    </row>
    <row r="1212">
      <c r="A1212" s="7">
        <f>HYPERLINK("http://www.lingerieopt.ru/item/9957-teplje-kolgotki-iz-mikrofibrj-microfibre-80-den/","9957")</f>
      </c>
      <c r="B1212" s="8" t="s">
        <v>1206</v>
      </c>
      <c r="C1212" s="9">
        <v>216</v>
      </c>
      <c r="D1212" s="0">
        <v>0</v>
      </c>
      <c r="E1212" s="10">
        <f>HYPERLINK("http://www.lingerieopt.ru/images/original/9987022a-50c6-456f-befd-8c49a9708717.jpg","Фото")</f>
      </c>
    </row>
    <row r="1213">
      <c r="A1213" s="7">
        <f>HYPERLINK("http://www.lingerieopt.ru/item/9957-teplje-kolgotki-iz-mikrofibrj-microfibre-80-den/","9957")</f>
      </c>
      <c r="B1213" s="8" t="s">
        <v>1207</v>
      </c>
      <c r="C1213" s="9">
        <v>216</v>
      </c>
      <c r="D1213" s="0">
        <v>0</v>
      </c>
      <c r="E1213" s="10">
        <f>HYPERLINK("http://www.lingerieopt.ru/images/original/9987022a-50c6-456f-befd-8c49a9708717.jpg","Фото")</f>
      </c>
    </row>
    <row r="1214">
      <c r="A1214" s="7">
        <f>HYPERLINK("http://www.lingerieopt.ru/item/9957-teplje-kolgotki-iz-mikrofibrj-microfibre-80-den/","9957")</f>
      </c>
      <c r="B1214" s="8" t="s">
        <v>1208</v>
      </c>
      <c r="C1214" s="9">
        <v>216</v>
      </c>
      <c r="D1214" s="0">
        <v>13</v>
      </c>
      <c r="E1214" s="10">
        <f>HYPERLINK("http://www.lingerieopt.ru/images/original/9987022a-50c6-456f-befd-8c49a9708717.jpg","Фото")</f>
      </c>
    </row>
    <row r="1215">
      <c r="A1215" s="7">
        <f>HYPERLINK("http://www.lingerieopt.ru/item/9958-teplje-kolgotki-microfibre-100-den/","9958")</f>
      </c>
      <c r="B1215" s="8" t="s">
        <v>1209</v>
      </c>
      <c r="C1215" s="9">
        <v>229</v>
      </c>
      <c r="D1215" s="0">
        <v>20</v>
      </c>
      <c r="E1215" s="10">
        <f>HYPERLINK("http://www.lingerieopt.ru/images/original/ff490fa0-fb5d-4510-ad9b-8c33444bed3a.jpg","Фото")</f>
      </c>
    </row>
    <row r="1216">
      <c r="A1216" s="7">
        <f>HYPERLINK("http://www.lingerieopt.ru/item/9958-teplje-kolgotki-microfibre-100-den/","9958")</f>
      </c>
      <c r="B1216" s="8" t="s">
        <v>1210</v>
      </c>
      <c r="C1216" s="9">
        <v>229</v>
      </c>
      <c r="D1216" s="0">
        <v>0</v>
      </c>
      <c r="E1216" s="10">
        <f>HYPERLINK("http://www.lingerieopt.ru/images/original/ff490fa0-fb5d-4510-ad9b-8c33444bed3a.jpg","Фото")</f>
      </c>
    </row>
    <row r="1217">
      <c r="A1217" s="7">
        <f>HYPERLINK("http://www.lingerieopt.ru/item/9958-teplje-kolgotki-microfibre-100-den/","9958")</f>
      </c>
      <c r="B1217" s="8" t="s">
        <v>1211</v>
      </c>
      <c r="C1217" s="9">
        <v>229</v>
      </c>
      <c r="D1217" s="0">
        <v>10</v>
      </c>
      <c r="E1217" s="10">
        <f>HYPERLINK("http://www.lingerieopt.ru/images/original/ff490fa0-fb5d-4510-ad9b-8c33444bed3a.jpg","Фото")</f>
      </c>
    </row>
    <row r="1218">
      <c r="A1218" s="7">
        <f>HYPERLINK("http://www.lingerieopt.ru/item/9961-kolgotki-iz-mikrofibrj-s-3d-effektom-micro-3d-50-den/","9961")</f>
      </c>
      <c r="B1218" s="8" t="s">
        <v>1212</v>
      </c>
      <c r="C1218" s="9">
        <v>216</v>
      </c>
      <c r="D1218" s="0">
        <v>0</v>
      </c>
      <c r="E1218" s="10">
        <f>HYPERLINK("http://www.lingerieopt.ru/images/original/606a5a4a-2fc0-4103-81b3-e0f3ba3d4886.jpg","Фото")</f>
      </c>
    </row>
    <row r="1219">
      <c r="A1219" s="7">
        <f>HYPERLINK("http://www.lingerieopt.ru/item/9961-kolgotki-iz-mikrofibrj-s-3d-effektom-micro-3d-50-den/","9961")</f>
      </c>
      <c r="B1219" s="8" t="s">
        <v>1213</v>
      </c>
      <c r="C1219" s="9">
        <v>216</v>
      </c>
      <c r="D1219" s="0">
        <v>16</v>
      </c>
      <c r="E1219" s="10">
        <f>HYPERLINK("http://www.lingerieopt.ru/images/original/606a5a4a-2fc0-4103-81b3-e0f3ba3d4886.jpg","Фото")</f>
      </c>
    </row>
    <row r="1220">
      <c r="A1220" s="7">
        <f>HYPERLINK("http://www.lingerieopt.ru/item/9961-kolgotki-iz-mikrofibrj-s-3d-effektom-micro-3d-50-den/","9961")</f>
      </c>
      <c r="B1220" s="8" t="s">
        <v>1214</v>
      </c>
      <c r="C1220" s="9">
        <v>216</v>
      </c>
      <c r="D1220" s="0">
        <v>3</v>
      </c>
      <c r="E1220" s="10">
        <f>HYPERLINK("http://www.lingerieopt.ru/images/original/606a5a4a-2fc0-4103-81b3-e0f3ba3d4886.jpg","Фото")</f>
      </c>
    </row>
    <row r="1221">
      <c r="A1221" s="7">
        <f>HYPERLINK("http://www.lingerieopt.ru/item/9963-tonkie-kolgotki-velia-s-otkrjtjmi-palchikami/","9963")</f>
      </c>
      <c r="B1221" s="8" t="s">
        <v>1215</v>
      </c>
      <c r="C1221" s="9">
        <v>254</v>
      </c>
      <c r="D1221" s="0">
        <v>44</v>
      </c>
      <c r="E1221" s="10">
        <f>HYPERLINK("http://www.lingerieopt.ru/images/original/88484641-9e03-452d-ad58-09749498b315.jpg","Фото")</f>
      </c>
    </row>
    <row r="1222">
      <c r="A1222" s="7">
        <f>HYPERLINK("http://www.lingerieopt.ru/item/9963-tonkie-kolgotki-velia-s-otkrjtjmi-palchikami/","9963")</f>
      </c>
      <c r="B1222" s="8" t="s">
        <v>1216</v>
      </c>
      <c r="C1222" s="9">
        <v>254</v>
      </c>
      <c r="D1222" s="0">
        <v>41</v>
      </c>
      <c r="E1222" s="10">
        <f>HYPERLINK("http://www.lingerieopt.ru/images/original/88484641-9e03-452d-ad58-09749498b315.jpg","Фото")</f>
      </c>
    </row>
    <row r="1223">
      <c r="A1223" s="7">
        <f>HYPERLINK("http://www.lingerieopt.ru/item/9963-tonkie-kolgotki-velia-s-otkrjtjmi-palchikami/","9963")</f>
      </c>
      <c r="B1223" s="8" t="s">
        <v>1217</v>
      </c>
      <c r="C1223" s="9">
        <v>254</v>
      </c>
      <c r="D1223" s="0">
        <v>40</v>
      </c>
      <c r="E1223" s="10">
        <f>HYPERLINK("http://www.lingerieopt.ru/images/original/88484641-9e03-452d-ad58-09749498b315.jpg","Фото")</f>
      </c>
    </row>
    <row r="1224">
      <c r="A1224" s="7">
        <f>HYPERLINK("http://www.lingerieopt.ru/item/9964-fantaziinje-kolgotki-keyra-s-imitaciei-chulok-v-tonkuyu-polosku/","9964")</f>
      </c>
      <c r="B1224" s="8" t="s">
        <v>1218</v>
      </c>
      <c r="C1224" s="9">
        <v>381</v>
      </c>
      <c r="D1224" s="0">
        <v>0</v>
      </c>
      <c r="E1224" s="10">
        <f>HYPERLINK("http://www.lingerieopt.ru/images/original/1246f845-f053-4a34-976b-36cb1b7b336d.jpg","Фото")</f>
      </c>
    </row>
    <row r="1225">
      <c r="A1225" s="7">
        <f>HYPERLINK("http://www.lingerieopt.ru/item/9964-fantaziinje-kolgotki-keyra-s-imitaciei-chulok-v-tonkuyu-polosku/","9964")</f>
      </c>
      <c r="B1225" s="8" t="s">
        <v>1219</v>
      </c>
      <c r="C1225" s="9">
        <v>381</v>
      </c>
      <c r="D1225" s="0">
        <v>0</v>
      </c>
      <c r="E1225" s="10">
        <f>HYPERLINK("http://www.lingerieopt.ru/images/original/1246f845-f053-4a34-976b-36cb1b7b336d.jpg","Фото")</f>
      </c>
    </row>
    <row r="1226">
      <c r="A1226" s="7">
        <f>HYPERLINK("http://www.lingerieopt.ru/item/9964-fantaziinje-kolgotki-keyra-s-imitaciei-chulok-v-tonkuyu-polosku/","9964")</f>
      </c>
      <c r="B1226" s="8" t="s">
        <v>1220</v>
      </c>
      <c r="C1226" s="9">
        <v>381</v>
      </c>
      <c r="D1226" s="0">
        <v>4</v>
      </c>
      <c r="E1226" s="10">
        <f>HYPERLINK("http://www.lingerieopt.ru/images/original/1246f845-f053-4a34-976b-36cb1b7b336d.jpg","Фото")</f>
      </c>
    </row>
    <row r="1227">
      <c r="A1227" s="7">
        <f>HYPERLINK("http://www.lingerieopt.ru/item/9965-kolgotki-lumia-s-imitaciei-chulok-v-goroshek/","9965")</f>
      </c>
      <c r="B1227" s="8" t="s">
        <v>1221</v>
      </c>
      <c r="C1227" s="9">
        <v>368</v>
      </c>
      <c r="D1227" s="0">
        <v>5</v>
      </c>
      <c r="E1227" s="10">
        <f>HYPERLINK("http://www.lingerieopt.ru/images/original/c9741f69-cf06-458e-8ef7-45d51bd2db13.jpg","Фото")</f>
      </c>
    </row>
    <row r="1228">
      <c r="A1228" s="7">
        <f>HYPERLINK("http://www.lingerieopt.ru/item/9965-kolgotki-lumia-s-imitaciei-chulok-v-goroshek/","9965")</f>
      </c>
      <c r="B1228" s="8" t="s">
        <v>1222</v>
      </c>
      <c r="C1228" s="9">
        <v>368</v>
      </c>
      <c r="D1228" s="0">
        <v>1</v>
      </c>
      <c r="E1228" s="10">
        <f>HYPERLINK("http://www.lingerieopt.ru/images/original/c9741f69-cf06-458e-8ef7-45d51bd2db13.jpg","Фото")</f>
      </c>
    </row>
    <row r="1229">
      <c r="A1229" s="7">
        <f>HYPERLINK("http://www.lingerieopt.ru/item/9965-kolgotki-lumia-s-imitaciei-chulok-v-goroshek/","9965")</f>
      </c>
      <c r="B1229" s="8" t="s">
        <v>1223</v>
      </c>
      <c r="C1229" s="9">
        <v>368</v>
      </c>
      <c r="D1229" s="0">
        <v>0</v>
      </c>
      <c r="E1229" s="10">
        <f>HYPERLINK("http://www.lingerieopt.ru/images/original/c9741f69-cf06-458e-8ef7-45d51bd2db13.jpg","Фото")</f>
      </c>
    </row>
    <row r="1230">
      <c r="A1230" s="7">
        <f>HYPERLINK("http://www.lingerieopt.ru/item/9966-kolgotki-avila-s-imitaciei-odnotonnjh-chulok-s-serdechkami/","9966")</f>
      </c>
      <c r="B1230" s="8" t="s">
        <v>1224</v>
      </c>
      <c r="C1230" s="9">
        <v>446</v>
      </c>
      <c r="D1230" s="0">
        <v>1</v>
      </c>
      <c r="E1230" s="10">
        <f>HYPERLINK("http://www.lingerieopt.ru/images/original/4196e25a-2b47-4894-bdcc-291be0e52f5a.jpg","Фото")</f>
      </c>
    </row>
    <row r="1231">
      <c r="A1231" s="7">
        <f>HYPERLINK("http://www.lingerieopt.ru/item/9966-kolgotki-avila-s-imitaciei-odnotonnjh-chulok-s-serdechkami/","9966")</f>
      </c>
      <c r="B1231" s="8" t="s">
        <v>1225</v>
      </c>
      <c r="C1231" s="9">
        <v>446</v>
      </c>
      <c r="D1231" s="0">
        <v>5</v>
      </c>
      <c r="E1231" s="10">
        <f>HYPERLINK("http://www.lingerieopt.ru/images/original/4196e25a-2b47-4894-bdcc-291be0e52f5a.jpg","Фото")</f>
      </c>
    </row>
    <row r="1232">
      <c r="A1232" s="7">
        <f>HYPERLINK("http://www.lingerieopt.ru/item/9966-kolgotki-avila-s-imitaciei-odnotonnjh-chulok-s-serdechkami/","9966")</f>
      </c>
      <c r="B1232" s="8" t="s">
        <v>1226</v>
      </c>
      <c r="C1232" s="9">
        <v>446</v>
      </c>
      <c r="D1232" s="0">
        <v>12</v>
      </c>
      <c r="E1232" s="10">
        <f>HYPERLINK("http://www.lingerieopt.ru/images/original/4196e25a-2b47-4894-bdcc-291be0e52f5a.jpg","Фото")</f>
      </c>
    </row>
    <row r="1233">
      <c r="A1233" s="7">
        <f>HYPERLINK("http://www.lingerieopt.ru/item/9968-soblaznitelnje-kolgotki-demi-s-imitaciei-chulok/","9968")</f>
      </c>
      <c r="B1233" s="8" t="s">
        <v>1227</v>
      </c>
      <c r="C1233" s="9">
        <v>368</v>
      </c>
      <c r="D1233" s="0">
        <v>0</v>
      </c>
      <c r="E1233" s="10">
        <f>HYPERLINK("http://www.lingerieopt.ru/images/original/2a9f9519-8e80-4c2e-b4c0-640497b0a2dd.jpg","Фото")</f>
      </c>
    </row>
    <row r="1234">
      <c r="A1234" s="7">
        <f>HYPERLINK("http://www.lingerieopt.ru/item/9968-soblaznitelnje-kolgotki-demi-s-imitaciei-chulok/","9968")</f>
      </c>
      <c r="B1234" s="8" t="s">
        <v>1228</v>
      </c>
      <c r="C1234" s="9">
        <v>368</v>
      </c>
      <c r="D1234" s="0">
        <v>3</v>
      </c>
      <c r="E1234" s="10">
        <f>HYPERLINK("http://www.lingerieopt.ru/images/original/2a9f9519-8e80-4c2e-b4c0-640497b0a2dd.jpg","Фото")</f>
      </c>
    </row>
    <row r="1235">
      <c r="A1235" s="7">
        <f>HYPERLINK("http://www.lingerieopt.ru/item/9968-soblaznitelnje-kolgotki-demi-s-imitaciei-chulok/","9968")</f>
      </c>
      <c r="B1235" s="8" t="s">
        <v>1229</v>
      </c>
      <c r="C1235" s="9">
        <v>368</v>
      </c>
      <c r="D1235" s="0">
        <v>22</v>
      </c>
      <c r="E1235" s="10">
        <f>HYPERLINK("http://www.lingerieopt.ru/images/original/2a9f9519-8e80-4c2e-b4c0-640497b0a2dd.jpg","Фото")</f>
      </c>
    </row>
    <row r="1236">
      <c r="A1236" s="7">
        <f>HYPERLINK("http://www.lingerieopt.ru/item/9970-fantaziinje-kolgotki-melia/","9970")</f>
      </c>
      <c r="B1236" s="8" t="s">
        <v>1230</v>
      </c>
      <c r="C1236" s="9">
        <v>432</v>
      </c>
      <c r="D1236" s="0">
        <v>1</v>
      </c>
      <c r="E1236" s="10">
        <f>HYPERLINK("http://www.lingerieopt.ru/images/original/5f73d089-3e30-42e9-89e4-7833ed31199f.jpg","Фото")</f>
      </c>
    </row>
    <row r="1237">
      <c r="A1237" s="7">
        <f>HYPERLINK("http://www.lingerieopt.ru/item/9970-fantaziinje-kolgotki-melia/","9970")</f>
      </c>
      <c r="B1237" s="8" t="s">
        <v>1231</v>
      </c>
      <c r="C1237" s="9">
        <v>432</v>
      </c>
      <c r="D1237" s="0">
        <v>0</v>
      </c>
      <c r="E1237" s="10">
        <f>HYPERLINK("http://www.lingerieopt.ru/images/original/5f73d089-3e30-42e9-89e4-7833ed31199f.jpg","Фото")</f>
      </c>
    </row>
    <row r="1238">
      <c r="A1238" s="7">
        <f>HYPERLINK("http://www.lingerieopt.ru/item/9970-fantaziinje-kolgotki-melia/","9970")</f>
      </c>
      <c r="B1238" s="8" t="s">
        <v>1232</v>
      </c>
      <c r="C1238" s="9">
        <v>432</v>
      </c>
      <c r="D1238" s="0">
        <v>8</v>
      </c>
      <c r="E1238" s="10">
        <f>HYPERLINK("http://www.lingerieopt.ru/images/original/5f73d089-3e30-42e9-89e4-7833ed31199f.jpg","Фото")</f>
      </c>
    </row>
    <row r="1239">
      <c r="A1239" s="7">
        <f>HYPERLINK("http://www.lingerieopt.ru/item/9973-chernje-fantaziinje-kolgotki-tida-s-imitaciei-chulok/","9973")</f>
      </c>
      <c r="B1239" s="8" t="s">
        <v>1233</v>
      </c>
      <c r="C1239" s="9">
        <v>419</v>
      </c>
      <c r="D1239" s="0">
        <v>15</v>
      </c>
      <c r="E1239" s="10">
        <f>HYPERLINK("http://www.lingerieopt.ru/images/original/9e563b5a-10b8-4445-a882-fef5772c85d6.jpg","Фото")</f>
      </c>
    </row>
    <row r="1240">
      <c r="A1240" s="7">
        <f>HYPERLINK("http://www.lingerieopt.ru/item/9973-chernje-fantaziinje-kolgotki-tida-s-imitaciei-chulok/","9973")</f>
      </c>
      <c r="B1240" s="8" t="s">
        <v>1234</v>
      </c>
      <c r="C1240" s="9">
        <v>419</v>
      </c>
      <c r="D1240" s="0">
        <v>0</v>
      </c>
      <c r="E1240" s="10">
        <f>HYPERLINK("http://www.lingerieopt.ru/images/original/9e563b5a-10b8-4445-a882-fef5772c85d6.jpg","Фото")</f>
      </c>
    </row>
    <row r="1241">
      <c r="A1241" s="7">
        <f>HYPERLINK("http://www.lingerieopt.ru/item/9973-chernje-fantaziinje-kolgotki-tida-s-imitaciei-chulok/","9973")</f>
      </c>
      <c r="B1241" s="8" t="s">
        <v>1235</v>
      </c>
      <c r="C1241" s="9">
        <v>419</v>
      </c>
      <c r="D1241" s="0">
        <v>0</v>
      </c>
      <c r="E1241" s="10">
        <f>HYPERLINK("http://www.lingerieopt.ru/images/original/9e563b5a-10b8-4445-a882-fef5772c85d6.jpg","Фото")</f>
      </c>
    </row>
    <row r="1242">
      <c r="A1242" s="7">
        <f>HYPERLINK("http://www.lingerieopt.ru/item/9974-chernje-fantaziinje-kolgotki-valery-s-imitaciei-chulok/","9974")</f>
      </c>
      <c r="B1242" s="8" t="s">
        <v>1236</v>
      </c>
      <c r="C1242" s="9">
        <v>381</v>
      </c>
      <c r="D1242" s="0">
        <v>14</v>
      </c>
      <c r="E1242" s="10">
        <f>HYPERLINK("http://www.lingerieopt.ru/images/original/bf8f23a5-491c-410b-b6a3-02f1d6422951.jpg","Фото")</f>
      </c>
    </row>
    <row r="1243">
      <c r="A1243" s="7">
        <f>HYPERLINK("http://www.lingerieopt.ru/item/9974-chernje-fantaziinje-kolgotki-valery-s-imitaciei-chulok/","9974")</f>
      </c>
      <c r="B1243" s="8" t="s">
        <v>1237</v>
      </c>
      <c r="C1243" s="9">
        <v>381</v>
      </c>
      <c r="D1243" s="0">
        <v>19</v>
      </c>
      <c r="E1243" s="10">
        <f>HYPERLINK("http://www.lingerieopt.ru/images/original/bf8f23a5-491c-410b-b6a3-02f1d6422951.jpg","Фото")</f>
      </c>
    </row>
    <row r="1244">
      <c r="A1244" s="7">
        <f>HYPERLINK("http://www.lingerieopt.ru/item/9974-chernje-fantaziinje-kolgotki-valery-s-imitaciei-chulok/","9974")</f>
      </c>
      <c r="B1244" s="8" t="s">
        <v>1238</v>
      </c>
      <c r="C1244" s="9">
        <v>381</v>
      </c>
      <c r="D1244" s="0">
        <v>22</v>
      </c>
      <c r="E1244" s="10">
        <f>HYPERLINK("http://www.lingerieopt.ru/images/original/bf8f23a5-491c-410b-b6a3-02f1d6422951.jpg","Фото")</f>
      </c>
    </row>
    <row r="1245">
      <c r="A1245" s="7">
        <f>HYPERLINK("http://www.lingerieopt.ru/item/9990-kolgotj-v-setku-strip-panty-153-s-kontrastnoi-otdelkoi-vjrezov/","9990")</f>
      </c>
      <c r="B1245" s="8" t="s">
        <v>1239</v>
      </c>
      <c r="C1245" s="9">
        <v>756</v>
      </c>
      <c r="D1245" s="0">
        <v>4</v>
      </c>
      <c r="E1245" s="10">
        <f>HYPERLINK("http://www.lingerieopt.ru/images/original/25c884db-9e93-47c6-abd1-c8759573fdd5.jpg","Фото")</f>
      </c>
    </row>
    <row r="1246">
      <c r="A1246" s="7">
        <f>HYPERLINK("http://www.lingerieopt.ru/item/9990-kolgotj-v-setku-strip-panty-153-s-kontrastnoi-otdelkoi-vjrezov/","9990")</f>
      </c>
      <c r="B1246" s="8" t="s">
        <v>1240</v>
      </c>
      <c r="C1246" s="9">
        <v>756</v>
      </c>
      <c r="D1246" s="0">
        <v>2</v>
      </c>
      <c r="E1246" s="10">
        <f>HYPERLINK("http://www.lingerieopt.ru/images/original/25c884db-9e93-47c6-abd1-c8759573fdd5.jpg","Фото")</f>
      </c>
    </row>
    <row r="1247">
      <c r="A1247" s="7">
        <f>HYPERLINK("http://www.lingerieopt.ru/item/9996-kolgotj-s-vjrezami-strip-panty-princessa-12/","9996")</f>
      </c>
      <c r="B1247" s="8" t="s">
        <v>1241</v>
      </c>
      <c r="C1247" s="9">
        <v>533</v>
      </c>
      <c r="D1247" s="0">
        <v>26</v>
      </c>
      <c r="E1247" s="10">
        <f>HYPERLINK("http://www.lingerieopt.ru/images/original/d10cdda4-1959-4869-a4d6-be967f768891.jpg","Фото")</f>
      </c>
    </row>
    <row r="1248">
      <c r="A1248" s="7">
        <f>HYPERLINK("http://www.lingerieopt.ru/item/9996-kolgotj-s-vjrezami-strip-panty-princessa-12/","9996")</f>
      </c>
      <c r="B1248" s="8" t="s">
        <v>1242</v>
      </c>
      <c r="C1248" s="9">
        <v>533</v>
      </c>
      <c r="D1248" s="0">
        <v>35</v>
      </c>
      <c r="E1248" s="10">
        <f>HYPERLINK("http://www.lingerieopt.ru/images/original/d10cdda4-1959-4869-a4d6-be967f768891.jpg","Фото")</f>
      </c>
    </row>
    <row r="1249">
      <c r="A1249" s="7">
        <f>HYPERLINK("http://www.lingerieopt.ru/item/9997-kolgotki-medica-relax-20-den-s-anticellyulitnjm-effektom/","9997")</f>
      </c>
      <c r="B1249" s="8" t="s">
        <v>1243</v>
      </c>
      <c r="C1249" s="9">
        <v>216</v>
      </c>
      <c r="D1249" s="0">
        <v>49</v>
      </c>
      <c r="E1249" s="10">
        <f>HYPERLINK("http://www.lingerieopt.ru/images/original/a843ba9b-4e7f-4823-8575-7ad65f365d88.jpg","Фото")</f>
      </c>
    </row>
    <row r="1250">
      <c r="A1250" s="7">
        <f>HYPERLINK("http://www.lingerieopt.ru/item/9997-kolgotki-medica-relax-20-den-s-anticellyulitnjm-effektom/","9997")</f>
      </c>
      <c r="B1250" s="8" t="s">
        <v>1244</v>
      </c>
      <c r="C1250" s="9">
        <v>216</v>
      </c>
      <c r="D1250" s="0">
        <v>34</v>
      </c>
      <c r="E1250" s="10">
        <f>HYPERLINK("http://www.lingerieopt.ru/images/original/a843ba9b-4e7f-4823-8575-7ad65f365d88.jpg","Фото")</f>
      </c>
    </row>
    <row r="1251">
      <c r="A1251" s="7">
        <f>HYPERLINK("http://www.lingerieopt.ru/item/9997-kolgotki-medica-relax-20-den-s-anticellyulitnjm-effektom/","9997")</f>
      </c>
      <c r="B1251" s="8" t="s">
        <v>1245</v>
      </c>
      <c r="C1251" s="9">
        <v>216</v>
      </c>
      <c r="D1251" s="0">
        <v>40</v>
      </c>
      <c r="E1251" s="10">
        <f>HYPERLINK("http://www.lingerieopt.ru/images/original/a843ba9b-4e7f-4823-8575-7ad65f365d88.jpg","Фото")</f>
      </c>
    </row>
    <row r="1252">
      <c r="A1252" s="7">
        <f>HYPERLINK("http://www.lingerieopt.ru/item/9998-kolgotki-s-anticellyulitnjm-effektom-medica-relax-40-den-neutro/","9998")</f>
      </c>
      <c r="B1252" s="8" t="s">
        <v>1246</v>
      </c>
      <c r="C1252" s="9">
        <v>229</v>
      </c>
      <c r="D1252" s="0">
        <v>23</v>
      </c>
      <c r="E1252" s="10">
        <f>HYPERLINK("http://www.lingerieopt.ru/images/original/83e47fbf-b40e-4a2c-bc24-06950df60225.jpg","Фото")</f>
      </c>
    </row>
    <row r="1253">
      <c r="A1253" s="7">
        <f>HYPERLINK("http://www.lingerieopt.ru/item/9998-kolgotki-s-anticellyulitnjm-effektom-medica-relax-40-den-neutro/","9998")</f>
      </c>
      <c r="B1253" s="8" t="s">
        <v>1247</v>
      </c>
      <c r="C1253" s="9">
        <v>229</v>
      </c>
      <c r="D1253" s="0">
        <v>22</v>
      </c>
      <c r="E1253" s="10">
        <f>HYPERLINK("http://www.lingerieopt.ru/images/original/83e47fbf-b40e-4a2c-bc24-06950df60225.jpg","Фото")</f>
      </c>
    </row>
    <row r="1254">
      <c r="A1254" s="7">
        <f>HYPERLINK("http://www.lingerieopt.ru/item/9998-kolgotki-s-anticellyulitnjm-effektom-medica-relax-40-den-neutro/","9998")</f>
      </c>
      <c r="B1254" s="8" t="s">
        <v>1248</v>
      </c>
      <c r="C1254" s="9">
        <v>229</v>
      </c>
      <c r="D1254" s="0">
        <v>39</v>
      </c>
      <c r="E1254" s="10">
        <f>HYPERLINK("http://www.lingerieopt.ru/images/original/83e47fbf-b40e-4a2c-bc24-06950df60225.jpg","Фото")</f>
      </c>
    </row>
    <row r="1255">
      <c r="A1255" s="7">
        <f>HYPERLINK("http://www.lingerieopt.ru/item/10011-kolgotj-s-vjrezami-na-bedrah-strip-panty-151/","10011")</f>
      </c>
      <c r="B1255" s="8" t="s">
        <v>1249</v>
      </c>
      <c r="C1255" s="9">
        <v>720</v>
      </c>
      <c r="D1255" s="0">
        <v>7</v>
      </c>
      <c r="E1255" s="10">
        <f>HYPERLINK("http://www.lingerieopt.ru/images/original/571fe1d1-6783-48b0-ace7-437d752f05d7.jpg","Фото")</f>
      </c>
    </row>
    <row r="1256">
      <c r="A1256" s="7">
        <f>HYPERLINK("http://www.lingerieopt.ru/item/10011-kolgotj-s-vjrezami-na-bedrah-strip-panty-151/","10011")</f>
      </c>
      <c r="B1256" s="8" t="s">
        <v>1250</v>
      </c>
      <c r="C1256" s="9">
        <v>720</v>
      </c>
      <c r="D1256" s="0">
        <v>23</v>
      </c>
      <c r="E1256" s="10">
        <f>HYPERLINK("http://www.lingerieopt.ru/images/original/571fe1d1-6783-48b0-ace7-437d752f05d7.jpg","Фото")</f>
      </c>
    </row>
    <row r="1257">
      <c r="A1257" s="7">
        <f>HYPERLINK("http://www.lingerieopt.ru/item/10011-kolgotj-s-vjrezami-na-bedrah-strip-panty-151/","10011")</f>
      </c>
      <c r="B1257" s="8" t="s">
        <v>1251</v>
      </c>
      <c r="C1257" s="9">
        <v>720</v>
      </c>
      <c r="D1257" s="0">
        <v>14</v>
      </c>
      <c r="E1257" s="10">
        <f>HYPERLINK("http://www.lingerieopt.ru/images/original/571fe1d1-6783-48b0-ace7-437d752f05d7.jpg","Фото")</f>
      </c>
    </row>
    <row r="1258">
      <c r="A1258" s="7">
        <f>HYPERLINK("http://www.lingerieopt.ru/item/10011-kolgotj-s-vjrezami-na-bedrah-strip-panty-151/","10011")</f>
      </c>
      <c r="B1258" s="8" t="s">
        <v>1252</v>
      </c>
      <c r="C1258" s="9">
        <v>720</v>
      </c>
      <c r="D1258" s="0">
        <v>16</v>
      </c>
      <c r="E1258" s="10">
        <f>HYPERLINK("http://www.lingerieopt.ru/images/original/571fe1d1-6783-48b0-ace7-437d752f05d7.jpg","Фото")</f>
      </c>
    </row>
    <row r="1259">
      <c r="A1259" s="7">
        <f>HYPERLINK("http://www.lingerieopt.ru/item/10011-kolgotj-s-vjrezami-na-bedrah-strip-panty-151/","10011")</f>
      </c>
      <c r="B1259" s="8" t="s">
        <v>1253</v>
      </c>
      <c r="C1259" s="9">
        <v>720</v>
      </c>
      <c r="D1259" s="0">
        <v>23</v>
      </c>
      <c r="E1259" s="10">
        <f>HYPERLINK("http://www.lingerieopt.ru/images/original/571fe1d1-6783-48b0-ace7-437d752f05d7.jpg","Фото")</f>
      </c>
    </row>
    <row r="1260">
      <c r="A1260" s="7">
        <f>HYPERLINK("http://www.lingerieopt.ru/item/10011-kolgotj-s-vjrezami-na-bedrah-strip-panty-151/","10011")</f>
      </c>
      <c r="B1260" s="8" t="s">
        <v>1254</v>
      </c>
      <c r="C1260" s="9">
        <v>720</v>
      </c>
      <c r="D1260" s="0">
        <v>26</v>
      </c>
      <c r="E1260" s="10">
        <f>HYPERLINK("http://www.lingerieopt.ru/images/original/571fe1d1-6783-48b0-ace7-437d752f05d7.jpg","Фото")</f>
      </c>
    </row>
    <row r="1261">
      <c r="A1261" s="7">
        <f>HYPERLINK("http://www.lingerieopt.ru/item/10013-fantaziinje-kolgotki-eyes-s-glazkami/","10013")</f>
      </c>
      <c r="B1261" s="8" t="s">
        <v>1255</v>
      </c>
      <c r="C1261" s="9">
        <v>305</v>
      </c>
      <c r="D1261" s="0">
        <v>0</v>
      </c>
      <c r="E1261" s="10">
        <f>HYPERLINK("http://www.lingerieopt.ru/images/original/b8290eaa-6e83-4dbc-bda8-99c2a1fe3e2f.jpg","Фото")</f>
      </c>
    </row>
    <row r="1262">
      <c r="A1262" s="7">
        <f>HYPERLINK("http://www.lingerieopt.ru/item/10013-fantaziinje-kolgotki-eyes-s-glazkami/","10013")</f>
      </c>
      <c r="B1262" s="8" t="s">
        <v>1256</v>
      </c>
      <c r="C1262" s="9">
        <v>305</v>
      </c>
      <c r="D1262" s="0">
        <v>10</v>
      </c>
      <c r="E1262" s="10">
        <f>HYPERLINK("http://www.lingerieopt.ru/images/original/b8290eaa-6e83-4dbc-bda8-99c2a1fe3e2f.jpg","Фото")</f>
      </c>
    </row>
    <row r="1263">
      <c r="A1263" s="7">
        <f>HYPERLINK("http://www.lingerieopt.ru/item/10013-fantaziinje-kolgotki-eyes-s-glazkami/","10013")</f>
      </c>
      <c r="B1263" s="8" t="s">
        <v>1257</v>
      </c>
      <c r="C1263" s="9">
        <v>305</v>
      </c>
      <c r="D1263" s="0">
        <v>2</v>
      </c>
      <c r="E1263" s="10">
        <f>HYPERLINK("http://www.lingerieopt.ru/images/original/b8290eaa-6e83-4dbc-bda8-99c2a1fe3e2f.jpg","Фото")</f>
      </c>
    </row>
    <row r="1264">
      <c r="A1264" s="7">
        <f>HYPERLINK("http://www.lingerieopt.ru/item/10014-tonkie-kolgotki-poem-so-strelkoi-i-uzorom/","10014")</f>
      </c>
      <c r="B1264" s="8" t="s">
        <v>1258</v>
      </c>
      <c r="C1264" s="9">
        <v>305</v>
      </c>
      <c r="D1264" s="0">
        <v>7</v>
      </c>
      <c r="E1264" s="10">
        <f>HYPERLINK("http://www.lingerieopt.ru/images/original/77ee06f1-10b6-4795-b5b1-cfe3bcf2cf24.jpg","Фото")</f>
      </c>
    </row>
    <row r="1265">
      <c r="A1265" s="7">
        <f>HYPERLINK("http://www.lingerieopt.ru/item/10014-tonkie-kolgotki-poem-so-strelkoi-i-uzorom/","10014")</f>
      </c>
      <c r="B1265" s="8" t="s">
        <v>1259</v>
      </c>
      <c r="C1265" s="9">
        <v>305</v>
      </c>
      <c r="D1265" s="0">
        <v>11</v>
      </c>
      <c r="E1265" s="10">
        <f>HYPERLINK("http://www.lingerieopt.ru/images/original/77ee06f1-10b6-4795-b5b1-cfe3bcf2cf24.jpg","Фото")</f>
      </c>
    </row>
    <row r="1266">
      <c r="A1266" s="7">
        <f>HYPERLINK("http://www.lingerieopt.ru/item/10014-tonkie-kolgotki-poem-so-strelkoi-i-uzorom/","10014")</f>
      </c>
      <c r="B1266" s="8" t="s">
        <v>1260</v>
      </c>
      <c r="C1266" s="9">
        <v>305</v>
      </c>
      <c r="D1266" s="0">
        <v>6</v>
      </c>
      <c r="E1266" s="10">
        <f>HYPERLINK("http://www.lingerieopt.ru/images/original/77ee06f1-10b6-4795-b5b1-cfe3bcf2cf24.jpg","Фото")</f>
      </c>
    </row>
    <row r="1267">
      <c r="A1267" s="7">
        <f>HYPERLINK("http://www.lingerieopt.ru/item/10016-plotnje-kolgotj-s-vjrezami-strip-panty-microfibre/","10016")</f>
      </c>
      <c r="B1267" s="8" t="s">
        <v>1261</v>
      </c>
      <c r="C1267" s="9">
        <v>756</v>
      </c>
      <c r="D1267" s="0">
        <v>0</v>
      </c>
      <c r="E1267" s="10">
        <f>HYPERLINK("http://www.lingerieopt.ru/images/original/8b6ae57b-573b-464e-b326-3584e4fdb34b.jpg","Фото")</f>
      </c>
    </row>
    <row r="1268">
      <c r="A1268" s="7">
        <f>HYPERLINK("http://www.lingerieopt.ru/item/10016-plotnje-kolgotj-s-vjrezami-strip-panty-microfibre/","10016")</f>
      </c>
      <c r="B1268" s="8" t="s">
        <v>1262</v>
      </c>
      <c r="C1268" s="9">
        <v>756</v>
      </c>
      <c r="D1268" s="0">
        <v>1</v>
      </c>
      <c r="E1268" s="10">
        <f>HYPERLINK("http://www.lingerieopt.ru/images/original/8b6ae57b-573b-464e-b326-3584e4fdb34b.jpg","Фото")</f>
      </c>
    </row>
    <row r="1269">
      <c r="A1269" s="7">
        <f>HYPERLINK("http://www.lingerieopt.ru/item/10020-kolgotj-s-otkrjtjmi-bedrami-strip-panty-classic/","10020")</f>
      </c>
      <c r="B1269" s="8" t="s">
        <v>1263</v>
      </c>
      <c r="C1269" s="9">
        <v>572</v>
      </c>
      <c r="D1269" s="0">
        <v>33</v>
      </c>
      <c r="E1269" s="10">
        <f>HYPERLINK("http://www.lingerieopt.ru/images/original/696562fd-9ed0-48ba-8255-326932251f0b.jpg","Фото")</f>
      </c>
    </row>
    <row r="1270">
      <c r="A1270" s="7">
        <f>HYPERLINK("http://www.lingerieopt.ru/item/10020-kolgotj-s-otkrjtjmi-bedrami-strip-panty-classic/","10020")</f>
      </c>
      <c r="B1270" s="8" t="s">
        <v>1264</v>
      </c>
      <c r="C1270" s="9">
        <v>572</v>
      </c>
      <c r="D1270" s="0">
        <v>48</v>
      </c>
      <c r="E1270" s="10">
        <f>HYPERLINK("http://www.lingerieopt.ru/images/original/696562fd-9ed0-48ba-8255-326932251f0b.jpg","Фото")</f>
      </c>
    </row>
    <row r="1271">
      <c r="A1271" s="7">
        <f>HYPERLINK("http://www.lingerieopt.ru/item/10020-kolgotj-s-otkrjtjmi-bedrami-strip-panty-classic/","10020")</f>
      </c>
      <c r="B1271" s="8" t="s">
        <v>1265</v>
      </c>
      <c r="C1271" s="9">
        <v>572</v>
      </c>
      <c r="D1271" s="0">
        <v>12</v>
      </c>
      <c r="E1271" s="10">
        <f>HYPERLINK("http://www.lingerieopt.ru/images/original/696562fd-9ed0-48ba-8255-326932251f0b.jpg","Фото")</f>
      </c>
    </row>
    <row r="1272">
      <c r="A1272" s="7">
        <f>HYPERLINK("http://www.lingerieopt.ru/item/10020-kolgotj-s-otkrjtjmi-bedrami-strip-panty-classic/","10020")</f>
      </c>
      <c r="B1272" s="8" t="s">
        <v>1266</v>
      </c>
      <c r="C1272" s="9">
        <v>572</v>
      </c>
      <c r="D1272" s="0">
        <v>20</v>
      </c>
      <c r="E1272" s="10">
        <f>HYPERLINK("http://www.lingerieopt.ru/images/original/696562fd-9ed0-48ba-8255-326932251f0b.jpg","Фото")</f>
      </c>
    </row>
    <row r="1273">
      <c r="A1273" s="7">
        <f>HYPERLINK("http://www.lingerieopt.ru/item/10020-kolgotj-s-otkrjtjmi-bedrami-strip-panty-classic/","10020")</f>
      </c>
      <c r="B1273" s="8" t="s">
        <v>1267</v>
      </c>
      <c r="C1273" s="9">
        <v>572</v>
      </c>
      <c r="D1273" s="0">
        <v>4</v>
      </c>
      <c r="E1273" s="10">
        <f>HYPERLINK("http://www.lingerieopt.ru/images/original/696562fd-9ed0-48ba-8255-326932251f0b.jpg","Фото")</f>
      </c>
    </row>
    <row r="1274">
      <c r="A1274" s="7">
        <f>HYPERLINK("http://www.lingerieopt.ru/item/10020-kolgotj-s-otkrjtjmi-bedrami-strip-panty-classic/","10020")</f>
      </c>
      <c r="B1274" s="8" t="s">
        <v>1268</v>
      </c>
      <c r="C1274" s="9">
        <v>572</v>
      </c>
      <c r="D1274" s="0">
        <v>23</v>
      </c>
      <c r="E1274" s="10">
        <f>HYPERLINK("http://www.lingerieopt.ru/images/original/696562fd-9ed0-48ba-8255-326932251f0b.jpg","Фото")</f>
      </c>
    </row>
    <row r="1275">
      <c r="A1275" s="7">
        <f>HYPERLINK("http://www.lingerieopt.ru/item/10021-fantaziinje-kolgotki-lips-s-gubkami/","10021")</f>
      </c>
      <c r="B1275" s="8" t="s">
        <v>1269</v>
      </c>
      <c r="C1275" s="9">
        <v>305</v>
      </c>
      <c r="D1275" s="0">
        <v>6</v>
      </c>
      <c r="E1275" s="10">
        <f>HYPERLINK("http://www.lingerieopt.ru/images/original/9e165516-945c-44ff-a010-c58eeaea9e15.jpg","Фото")</f>
      </c>
    </row>
    <row r="1276">
      <c r="A1276" s="7">
        <f>HYPERLINK("http://www.lingerieopt.ru/item/10021-fantaziinje-kolgotki-lips-s-gubkami/","10021")</f>
      </c>
      <c r="B1276" s="8" t="s">
        <v>1270</v>
      </c>
      <c r="C1276" s="9">
        <v>305</v>
      </c>
      <c r="D1276" s="0">
        <v>0</v>
      </c>
      <c r="E1276" s="10">
        <f>HYPERLINK("http://www.lingerieopt.ru/images/original/9e165516-945c-44ff-a010-c58eeaea9e15.jpg","Фото")</f>
      </c>
    </row>
    <row r="1277">
      <c r="A1277" s="7">
        <f>HYPERLINK("http://www.lingerieopt.ru/item/10022-tonkie-kolgotki-janet-s-azhurnoi-strelkoi-sboku/","10022")</f>
      </c>
      <c r="B1277" s="8" t="s">
        <v>1271</v>
      </c>
      <c r="C1277" s="9">
        <v>305</v>
      </c>
      <c r="D1277" s="0">
        <v>14</v>
      </c>
      <c r="E1277" s="10">
        <f>HYPERLINK("http://www.lingerieopt.ru/images/original/68dba775-679c-4189-a92c-c3d6b80fdaa9.jpg","Фото")</f>
      </c>
    </row>
    <row r="1278">
      <c r="A1278" s="7">
        <f>HYPERLINK("http://www.lingerieopt.ru/item/10022-tonkie-kolgotki-janet-s-azhurnoi-strelkoi-sboku/","10022")</f>
      </c>
      <c r="B1278" s="8" t="s">
        <v>1272</v>
      </c>
      <c r="C1278" s="9">
        <v>305</v>
      </c>
      <c r="D1278" s="0">
        <v>8</v>
      </c>
      <c r="E1278" s="10">
        <f>HYPERLINK("http://www.lingerieopt.ru/images/original/68dba775-679c-4189-a92c-c3d6b80fdaa9.jpg","Фото")</f>
      </c>
    </row>
    <row r="1279">
      <c r="A1279" s="7">
        <f>HYPERLINK("http://www.lingerieopt.ru/item/10022-tonkie-kolgotki-janet-s-azhurnoi-strelkoi-sboku/","10022")</f>
      </c>
      <c r="B1279" s="8" t="s">
        <v>1273</v>
      </c>
      <c r="C1279" s="9">
        <v>305</v>
      </c>
      <c r="D1279" s="0">
        <v>5</v>
      </c>
      <c r="E1279" s="10">
        <f>HYPERLINK("http://www.lingerieopt.ru/images/original/68dba775-679c-4189-a92c-c3d6b80fdaa9.jpg","Фото")</f>
      </c>
    </row>
    <row r="1280">
      <c r="A1280" s="7">
        <f>HYPERLINK("http://www.lingerieopt.ru/item/10023-kolgotj-hipsters-exclusive-20-den-s-azhurnjm-poyasom/","10023")</f>
      </c>
      <c r="B1280" s="8" t="s">
        <v>1274</v>
      </c>
      <c r="C1280" s="9">
        <v>330</v>
      </c>
      <c r="D1280" s="0">
        <v>11</v>
      </c>
      <c r="E1280" s="10">
        <f>HYPERLINK("http://www.lingerieopt.ru/images/original/0f327e7b-2132-416b-a786-363f7ada77b8.jpg","Фото")</f>
      </c>
    </row>
    <row r="1281">
      <c r="A1281" s="7">
        <f>HYPERLINK("http://www.lingerieopt.ru/item/10023-kolgotj-hipsters-exclusive-20-den-s-azhurnjm-poyasom/","10023")</f>
      </c>
      <c r="B1281" s="8" t="s">
        <v>1275</v>
      </c>
      <c r="C1281" s="9">
        <v>330</v>
      </c>
      <c r="D1281" s="0">
        <v>22</v>
      </c>
      <c r="E1281" s="10">
        <f>HYPERLINK("http://www.lingerieopt.ru/images/original/0f327e7b-2132-416b-a786-363f7ada77b8.jpg","Фото")</f>
      </c>
    </row>
    <row r="1282">
      <c r="A1282" s="7">
        <f>HYPERLINK("http://www.lingerieopt.ru/item/10023-kolgotj-hipsters-exclusive-20-den-s-azhurnjm-poyasom/","10023")</f>
      </c>
      <c r="B1282" s="8" t="s">
        <v>1276</v>
      </c>
      <c r="C1282" s="9">
        <v>330</v>
      </c>
      <c r="D1282" s="0">
        <v>40</v>
      </c>
      <c r="E1282" s="10">
        <f>HYPERLINK("http://www.lingerieopt.ru/images/original/0f327e7b-2132-416b-a786-363f7ada77b8.jpg","Фото")</f>
      </c>
    </row>
    <row r="1283">
      <c r="A1283" s="7">
        <f>HYPERLINK("http://www.lingerieopt.ru/item/10023-kolgotj-hipsters-exclusive-20-den-s-azhurnjm-poyasom/","10023")</f>
      </c>
      <c r="B1283" s="8" t="s">
        <v>1277</v>
      </c>
      <c r="C1283" s="9">
        <v>330</v>
      </c>
      <c r="D1283" s="0">
        <v>32</v>
      </c>
      <c r="E1283" s="10">
        <f>HYPERLINK("http://www.lingerieopt.ru/images/original/0f327e7b-2132-416b-a786-363f7ada77b8.jpg","Фото")</f>
      </c>
    </row>
    <row r="1284">
      <c r="A1284" s="7">
        <f>HYPERLINK("http://www.lingerieopt.ru/item/10023-kolgotj-hipsters-exclusive-20-den-s-azhurnjm-poyasom/","10023")</f>
      </c>
      <c r="B1284" s="8" t="s">
        <v>1278</v>
      </c>
      <c r="C1284" s="9">
        <v>330</v>
      </c>
      <c r="D1284" s="0">
        <v>44</v>
      </c>
      <c r="E1284" s="10">
        <f>HYPERLINK("http://www.lingerieopt.ru/images/original/0f327e7b-2132-416b-a786-363f7ada77b8.jpg","Фото")</f>
      </c>
    </row>
    <row r="1285">
      <c r="A1285" s="7">
        <f>HYPERLINK("http://www.lingerieopt.ru/item/10023-kolgotj-hipsters-exclusive-20-den-s-azhurnjm-poyasom/","10023")</f>
      </c>
      <c r="B1285" s="8" t="s">
        <v>1279</v>
      </c>
      <c r="C1285" s="9">
        <v>330</v>
      </c>
      <c r="D1285" s="0">
        <v>19</v>
      </c>
      <c r="E1285" s="10">
        <f>HYPERLINK("http://www.lingerieopt.ru/images/original/0f327e7b-2132-416b-a786-363f7ada77b8.jpg","Фото")</f>
      </c>
    </row>
    <row r="1286">
      <c r="A1286" s="7">
        <f>HYPERLINK("http://www.lingerieopt.ru/item/10026-kolgotki-v-setku-kabarette-collant-151/","10026")</f>
      </c>
      <c r="B1286" s="8" t="s">
        <v>1280</v>
      </c>
      <c r="C1286" s="9">
        <v>305</v>
      </c>
      <c r="D1286" s="0">
        <v>118</v>
      </c>
      <c r="E1286" s="10">
        <f>HYPERLINK("http://www.lingerieopt.ru/images/original/2a05448e-09ff-4805-8413-35dc231c9a89.jpg","Фото")</f>
      </c>
    </row>
    <row r="1287">
      <c r="A1287" s="7">
        <f>HYPERLINK("http://www.lingerieopt.ru/item/10026-kolgotki-v-setku-kabarette-collant-151/","10026")</f>
      </c>
      <c r="B1287" s="8" t="s">
        <v>1281</v>
      </c>
      <c r="C1287" s="9">
        <v>305</v>
      </c>
      <c r="D1287" s="0">
        <v>110</v>
      </c>
      <c r="E1287" s="10">
        <f>HYPERLINK("http://www.lingerieopt.ru/images/original/2a05448e-09ff-4805-8413-35dc231c9a89.jpg","Фото")</f>
      </c>
    </row>
    <row r="1288">
      <c r="A1288" s="7">
        <f>HYPERLINK("http://www.lingerieopt.ru/item/10027-kolgotj-v-setku-kabarette-collant-153/","10027")</f>
      </c>
      <c r="B1288" s="8" t="s">
        <v>1282</v>
      </c>
      <c r="C1288" s="9">
        <v>305</v>
      </c>
      <c r="D1288" s="0">
        <v>59</v>
      </c>
      <c r="E1288" s="10">
        <f>HYPERLINK("http://www.lingerieopt.ru/images/original/e1de3fb7-8c64-42d0-9013-d8f6e78b7121.jpg","Фото")</f>
      </c>
    </row>
    <row r="1289">
      <c r="A1289" s="7">
        <f>HYPERLINK("http://www.lingerieopt.ru/item/10027-kolgotj-v-setku-kabarette-collant-153/","10027")</f>
      </c>
      <c r="B1289" s="8" t="s">
        <v>1283</v>
      </c>
      <c r="C1289" s="9">
        <v>305</v>
      </c>
      <c r="D1289" s="0">
        <v>65</v>
      </c>
      <c r="E1289" s="10">
        <f>HYPERLINK("http://www.lingerieopt.ru/images/original/e1de3fb7-8c64-42d0-9013-d8f6e78b7121.jpg","Фото")</f>
      </c>
    </row>
    <row r="1290">
      <c r="A1290" s="7">
        <f>HYPERLINK("http://www.lingerieopt.ru/item/10044-kolgotj-axel-s-imitaciei-razrezov/","10044")</f>
      </c>
      <c r="B1290" s="8" t="s">
        <v>1284</v>
      </c>
      <c r="C1290" s="9">
        <v>444</v>
      </c>
      <c r="D1290" s="0">
        <v>45</v>
      </c>
      <c r="E1290" s="10">
        <f>HYPERLINK("http://www.lingerieopt.ru/images/original/fdbd2658-11cd-4495-b15f-3fc1a306c133.jpg","Фото")</f>
      </c>
    </row>
    <row r="1291">
      <c r="A1291" s="7">
        <f>HYPERLINK("http://www.lingerieopt.ru/item/10044-kolgotj-axel-s-imitaciei-razrezov/","10044")</f>
      </c>
      <c r="B1291" s="8" t="s">
        <v>1285</v>
      </c>
      <c r="C1291" s="9">
        <v>444</v>
      </c>
      <c r="D1291" s="0">
        <v>37</v>
      </c>
      <c r="E1291" s="10">
        <f>HYPERLINK("http://www.lingerieopt.ru/images/original/fdbd2658-11cd-4495-b15f-3fc1a306c133.jpg","Фото")</f>
      </c>
    </row>
    <row r="1292">
      <c r="A1292" s="7">
        <f>HYPERLINK("http://www.lingerieopt.ru/item/10044-kolgotj-axel-s-imitaciei-razrezov/","10044")</f>
      </c>
      <c r="B1292" s="8" t="s">
        <v>1286</v>
      </c>
      <c r="C1292" s="9">
        <v>444</v>
      </c>
      <c r="D1292" s="0">
        <v>37</v>
      </c>
      <c r="E1292" s="10">
        <f>HYPERLINK("http://www.lingerieopt.ru/images/original/fdbd2658-11cd-4495-b15f-3fc1a306c133.jpg","Фото")</f>
      </c>
    </row>
    <row r="1293">
      <c r="A1293" s="7">
        <f>HYPERLINK("http://www.lingerieopt.ru/item/10045-kolgotj-fabia-s-imitaciei-chulok-v-goroshek/","10045")</f>
      </c>
      <c r="B1293" s="8" t="s">
        <v>1287</v>
      </c>
      <c r="C1293" s="9">
        <v>432</v>
      </c>
      <c r="D1293" s="0">
        <v>0</v>
      </c>
      <c r="E1293" s="10">
        <f>HYPERLINK("http://www.lingerieopt.ru/images/original/3e66f5c6-cc08-4e4c-a47e-038f6373eef4.jpg","Фото")</f>
      </c>
    </row>
    <row r="1294">
      <c r="A1294" s="7">
        <f>HYPERLINK("http://www.lingerieopt.ru/item/10045-kolgotj-fabia-s-imitaciei-chulok-v-goroshek/","10045")</f>
      </c>
      <c r="B1294" s="8" t="s">
        <v>1288</v>
      </c>
      <c r="C1294" s="9">
        <v>432</v>
      </c>
      <c r="D1294" s="0">
        <v>1</v>
      </c>
      <c r="E1294" s="10">
        <f>HYPERLINK("http://www.lingerieopt.ru/images/original/3e66f5c6-cc08-4e4c-a47e-038f6373eef4.jpg","Фото")</f>
      </c>
    </row>
    <row r="1295">
      <c r="A1295" s="7">
        <f>HYPERLINK("http://www.lingerieopt.ru/item/10045-kolgotj-fabia-s-imitaciei-chulok-v-goroshek/","10045")</f>
      </c>
      <c r="B1295" s="8" t="s">
        <v>1289</v>
      </c>
      <c r="C1295" s="9">
        <v>432</v>
      </c>
      <c r="D1295" s="0">
        <v>0</v>
      </c>
      <c r="E1295" s="10">
        <f>HYPERLINK("http://www.lingerieopt.ru/images/original/3e66f5c6-cc08-4e4c-a47e-038f6373eef4.jpg","Фото")</f>
      </c>
    </row>
    <row r="1296">
      <c r="A1296" s="7">
        <f>HYPERLINK("http://www.lingerieopt.ru/item/10046-kolgotj-lopez-s-imitaciei-trusikov-i-chulok/","10046")</f>
      </c>
      <c r="B1296" s="8" t="s">
        <v>1290</v>
      </c>
      <c r="C1296" s="9">
        <v>432</v>
      </c>
      <c r="D1296" s="0">
        <v>0</v>
      </c>
      <c r="E1296" s="10">
        <f>HYPERLINK("http://www.lingerieopt.ru/images/original/02452356-5340-47db-aad1-161facb8cb65.jpg","Фото")</f>
      </c>
    </row>
    <row r="1297">
      <c r="A1297" s="7">
        <f>HYPERLINK("http://www.lingerieopt.ru/item/10046-kolgotj-lopez-s-imitaciei-trusikov-i-chulok/","10046")</f>
      </c>
      <c r="B1297" s="8" t="s">
        <v>1291</v>
      </c>
      <c r="C1297" s="9">
        <v>432</v>
      </c>
      <c r="D1297" s="0">
        <v>0</v>
      </c>
      <c r="E1297" s="10">
        <f>HYPERLINK("http://www.lingerieopt.ru/images/original/02452356-5340-47db-aad1-161facb8cb65.jpg","Фото")</f>
      </c>
    </row>
    <row r="1298">
      <c r="A1298" s="7">
        <f>HYPERLINK("http://www.lingerieopt.ru/item/10046-kolgotj-lopez-s-imitaciei-trusikov-i-chulok/","10046")</f>
      </c>
      <c r="B1298" s="8" t="s">
        <v>1292</v>
      </c>
      <c r="C1298" s="9">
        <v>432</v>
      </c>
      <c r="D1298" s="0">
        <v>6</v>
      </c>
      <c r="E1298" s="10">
        <f>HYPERLINK("http://www.lingerieopt.ru/images/original/02452356-5340-47db-aad1-161facb8cb65.jpg","Фото")</f>
      </c>
    </row>
    <row r="1299">
      <c r="A1299" s="7">
        <f>HYPERLINK("http://www.lingerieopt.ru/item/10047-kolgotj-paula-s-imitaciei-chulok/","10047")</f>
      </c>
      <c r="B1299" s="8" t="s">
        <v>1293</v>
      </c>
      <c r="C1299" s="9">
        <v>394</v>
      </c>
      <c r="D1299" s="0">
        <v>12</v>
      </c>
      <c r="E1299" s="10">
        <f>HYPERLINK("http://www.lingerieopt.ru/images/original/bd08ec84-7c68-4022-9d6f-22d18b60254c.jpg","Фото")</f>
      </c>
    </row>
    <row r="1300">
      <c r="A1300" s="7">
        <f>HYPERLINK("http://www.lingerieopt.ru/item/10047-kolgotj-paula-s-imitaciei-chulok/","10047")</f>
      </c>
      <c r="B1300" s="8" t="s">
        <v>1294</v>
      </c>
      <c r="C1300" s="9">
        <v>394</v>
      </c>
      <c r="D1300" s="0">
        <v>32</v>
      </c>
      <c r="E1300" s="10">
        <f>HYPERLINK("http://www.lingerieopt.ru/images/original/bd08ec84-7c68-4022-9d6f-22d18b60254c.jpg","Фото")</f>
      </c>
    </row>
    <row r="1301">
      <c r="A1301" s="7">
        <f>HYPERLINK("http://www.lingerieopt.ru/item/10047-kolgotj-paula-s-imitaciei-chulok/","10047")</f>
      </c>
      <c r="B1301" s="8" t="s">
        <v>1295</v>
      </c>
      <c r="C1301" s="9">
        <v>394</v>
      </c>
      <c r="D1301" s="0">
        <v>0</v>
      </c>
      <c r="E1301" s="10">
        <f>HYPERLINK("http://www.lingerieopt.ru/images/original/bd08ec84-7c68-4022-9d6f-22d18b60254c.jpg","Фото")</f>
      </c>
    </row>
    <row r="1302">
      <c r="A1302" s="7">
        <f>HYPERLINK("http://www.lingerieopt.ru/item/10048-fantaziinje-kolgotki-rumba-s-imitaciei-chulok/","10048")</f>
      </c>
      <c r="B1302" s="8" t="s">
        <v>1296</v>
      </c>
      <c r="C1302" s="9">
        <v>444</v>
      </c>
      <c r="D1302" s="0">
        <v>0</v>
      </c>
      <c r="E1302" s="10">
        <f>HYPERLINK("http://www.lingerieopt.ru/images/original/51141293-40fb-4893-969c-92817f352e78.jpg","Фото")</f>
      </c>
    </row>
    <row r="1303">
      <c r="A1303" s="7">
        <f>HYPERLINK("http://www.lingerieopt.ru/item/10048-fantaziinje-kolgotki-rumba-s-imitaciei-chulok/","10048")</f>
      </c>
      <c r="B1303" s="8" t="s">
        <v>1297</v>
      </c>
      <c r="C1303" s="9">
        <v>444</v>
      </c>
      <c r="D1303" s="0">
        <v>0</v>
      </c>
      <c r="E1303" s="10">
        <f>HYPERLINK("http://www.lingerieopt.ru/images/original/51141293-40fb-4893-969c-92817f352e78.jpg","Фото")</f>
      </c>
    </row>
    <row r="1304">
      <c r="A1304" s="7">
        <f>HYPERLINK("http://www.lingerieopt.ru/item/10048-fantaziinje-kolgotki-rumba-s-imitaciei-chulok/","10048")</f>
      </c>
      <c r="B1304" s="8" t="s">
        <v>1298</v>
      </c>
      <c r="C1304" s="9">
        <v>444</v>
      </c>
      <c r="D1304" s="0">
        <v>2</v>
      </c>
      <c r="E1304" s="10">
        <f>HYPERLINK("http://www.lingerieopt.ru/images/original/51141293-40fb-4893-969c-92817f352e78.jpg","Фото")</f>
      </c>
    </row>
    <row r="1305">
      <c r="A1305" s="7">
        <f>HYPERLINK("http://www.lingerieopt.ru/item/10049-kolgotj-sofia-s-verhnei-chastyu-v-goroshek/","10049")</f>
      </c>
      <c r="B1305" s="8" t="s">
        <v>1299</v>
      </c>
      <c r="C1305" s="9">
        <v>368</v>
      </c>
      <c r="D1305" s="0">
        <v>16</v>
      </c>
      <c r="E1305" s="10">
        <f>HYPERLINK("http://www.lingerieopt.ru/images/original/a111b6f5-70eb-4b20-aa2e-bdfcd1bca91c.jpg","Фото")</f>
      </c>
    </row>
    <row r="1306">
      <c r="A1306" s="7">
        <f>HYPERLINK("http://www.lingerieopt.ru/item/10049-kolgotj-sofia-s-verhnei-chastyu-v-goroshek/","10049")</f>
      </c>
      <c r="B1306" s="8" t="s">
        <v>1300</v>
      </c>
      <c r="C1306" s="9">
        <v>368</v>
      </c>
      <c r="D1306" s="0">
        <v>18</v>
      </c>
      <c r="E1306" s="10">
        <f>HYPERLINK("http://www.lingerieopt.ru/images/original/a111b6f5-70eb-4b20-aa2e-bdfcd1bca91c.jpg","Фото")</f>
      </c>
    </row>
    <row r="1307">
      <c r="A1307" s="7">
        <f>HYPERLINK("http://www.lingerieopt.ru/item/10049-kolgotj-sofia-s-verhnei-chastyu-v-goroshek/","10049")</f>
      </c>
      <c r="B1307" s="8" t="s">
        <v>1301</v>
      </c>
      <c r="C1307" s="9">
        <v>368</v>
      </c>
      <c r="D1307" s="0">
        <v>11</v>
      </c>
      <c r="E1307" s="10">
        <f>HYPERLINK("http://www.lingerieopt.ru/images/original/a111b6f5-70eb-4b20-aa2e-bdfcd1bca91c.jpg","Фото")</f>
      </c>
    </row>
    <row r="1308">
      <c r="A1308" s="7">
        <f>HYPERLINK("http://www.lingerieopt.ru/item/10097-matovje-kolgotki-rubensa-plus-size-20-den/","10097")</f>
      </c>
      <c r="B1308" s="8" t="s">
        <v>1302</v>
      </c>
      <c r="C1308" s="9">
        <v>229</v>
      </c>
      <c r="D1308" s="0">
        <v>0</v>
      </c>
      <c r="E1308" s="10">
        <f>HYPERLINK("http://www.lingerieopt.ru/images/original/ec6e8751-ab38-494b-a15f-faa45265c247.jpg","Фото")</f>
      </c>
    </row>
    <row r="1309">
      <c r="A1309" s="7">
        <f>HYPERLINK("http://www.lingerieopt.ru/item/10097-matovje-kolgotki-rubensa-plus-size-20-den/","10097")</f>
      </c>
      <c r="B1309" s="8" t="s">
        <v>1303</v>
      </c>
      <c r="C1309" s="9">
        <v>229</v>
      </c>
      <c r="D1309" s="0">
        <v>0</v>
      </c>
      <c r="E1309" s="10">
        <f>HYPERLINK("http://www.lingerieopt.ru/images/original/ec6e8751-ab38-494b-a15f-faa45265c247.jpg","Фото")</f>
      </c>
    </row>
    <row r="1310">
      <c r="A1310" s="7">
        <f>HYPERLINK("http://www.lingerieopt.ru/item/10097-matovje-kolgotki-rubensa-plus-size-20-den/","10097")</f>
      </c>
      <c r="B1310" s="8" t="s">
        <v>1304</v>
      </c>
      <c r="C1310" s="9">
        <v>229</v>
      </c>
      <c r="D1310" s="0">
        <v>0</v>
      </c>
      <c r="E1310" s="10">
        <f>HYPERLINK("http://www.lingerieopt.ru/images/original/ec6e8751-ab38-494b-a15f-faa45265c247.jpg","Фото")</f>
      </c>
    </row>
    <row r="1311">
      <c r="A1311" s="7">
        <f>HYPERLINK("http://www.lingerieopt.ru/item/10097-matovje-kolgotki-rubensa-plus-size-20-den/","10097")</f>
      </c>
      <c r="B1311" s="8" t="s">
        <v>1305</v>
      </c>
      <c r="C1311" s="9">
        <v>229</v>
      </c>
      <c r="D1311" s="0">
        <v>35</v>
      </c>
      <c r="E1311" s="10">
        <f>HYPERLINK("http://www.lingerieopt.ru/images/original/ec6e8751-ab38-494b-a15f-faa45265c247.jpg","Фото")</f>
      </c>
    </row>
    <row r="1312">
      <c r="A1312" s="7">
        <f>HYPERLINK("http://www.lingerieopt.ru/item/10120-utyagivayuschie-v-bedrah-i-talii-kolgotki-comfort-s-kofeinjm-ekstraktom/","10120")</f>
      </c>
      <c r="B1312" s="8" t="s">
        <v>1306</v>
      </c>
      <c r="C1312" s="9">
        <v>406</v>
      </c>
      <c r="D1312" s="0">
        <v>43</v>
      </c>
      <c r="E1312" s="10">
        <f>HYPERLINK("http://www.lingerieopt.ru/images/original/a786f941-a47f-4329-8cb9-2aba6a21369c.jpg","Фото")</f>
      </c>
    </row>
    <row r="1313">
      <c r="A1313" s="7">
        <f>HYPERLINK("http://www.lingerieopt.ru/item/10120-utyagivayuschie-v-bedrah-i-talii-kolgotki-comfort-s-kofeinjm-ekstraktom/","10120")</f>
      </c>
      <c r="B1313" s="8" t="s">
        <v>1307</v>
      </c>
      <c r="C1313" s="9">
        <v>406</v>
      </c>
      <c r="D1313" s="0">
        <v>35</v>
      </c>
      <c r="E1313" s="10">
        <f>HYPERLINK("http://www.lingerieopt.ru/images/original/a786f941-a47f-4329-8cb9-2aba6a21369c.jpg","Фото")</f>
      </c>
    </row>
    <row r="1314">
      <c r="A1314" s="7">
        <f>HYPERLINK("http://www.lingerieopt.ru/item/10120-utyagivayuschie-v-bedrah-i-talii-kolgotki-comfort-s-kofeinjm-ekstraktom/","10120")</f>
      </c>
      <c r="B1314" s="8" t="s">
        <v>1308</v>
      </c>
      <c r="C1314" s="9">
        <v>406</v>
      </c>
      <c r="D1314" s="0">
        <v>53</v>
      </c>
      <c r="E1314" s="10">
        <f>HYPERLINK("http://www.lingerieopt.ru/images/original/a786f941-a47f-4329-8cb9-2aba6a21369c.jpg","Фото")</f>
      </c>
    </row>
    <row r="1315">
      <c r="A1315" s="7">
        <f>HYPERLINK("http://www.lingerieopt.ru/item/10120-utyagivayuschie-v-bedrah-i-talii-kolgotki-comfort-s-kofeinjm-ekstraktom/","10120")</f>
      </c>
      <c r="B1315" s="8" t="s">
        <v>1309</v>
      </c>
      <c r="C1315" s="9">
        <v>406</v>
      </c>
      <c r="D1315" s="0">
        <v>52</v>
      </c>
      <c r="E1315" s="10">
        <f>HYPERLINK("http://www.lingerieopt.ru/images/original/a786f941-a47f-4329-8cb9-2aba6a21369c.jpg","Фото")</f>
      </c>
    </row>
    <row r="1316">
      <c r="A1316" s="7">
        <f>HYPERLINK("http://www.lingerieopt.ru/item/10121-kolgotj-lucy-s-imitaciei-chulok-s-tochkami/","10121")</f>
      </c>
      <c r="B1316" s="8" t="s">
        <v>1310</v>
      </c>
      <c r="C1316" s="9">
        <v>381</v>
      </c>
      <c r="D1316" s="0">
        <v>19</v>
      </c>
      <c r="E1316" s="10">
        <f>HYPERLINK("http://www.lingerieopt.ru/images/original/c5cac6a4-e7dc-4614-9ef5-581b5fe16565.jpg","Фото")</f>
      </c>
    </row>
    <row r="1317">
      <c r="A1317" s="7">
        <f>HYPERLINK("http://www.lingerieopt.ru/item/10121-kolgotj-lucy-s-imitaciei-chulok-s-tochkami/","10121")</f>
      </c>
      <c r="B1317" s="8" t="s">
        <v>1311</v>
      </c>
      <c r="C1317" s="9">
        <v>381</v>
      </c>
      <c r="D1317" s="0">
        <v>29</v>
      </c>
      <c r="E1317" s="10">
        <f>HYPERLINK("http://www.lingerieopt.ru/images/original/c5cac6a4-e7dc-4614-9ef5-581b5fe16565.jpg","Фото")</f>
      </c>
    </row>
    <row r="1318">
      <c r="A1318" s="7">
        <f>HYPERLINK("http://www.lingerieopt.ru/item/10121-kolgotj-lucy-s-imitaciei-chulok-s-tochkami/","10121")</f>
      </c>
      <c r="B1318" s="8" t="s">
        <v>1312</v>
      </c>
      <c r="C1318" s="9">
        <v>381</v>
      </c>
      <c r="D1318" s="0">
        <v>17</v>
      </c>
      <c r="E1318" s="10">
        <f>HYPERLINK("http://www.lingerieopt.ru/images/original/c5cac6a4-e7dc-4614-9ef5-581b5fe16565.jpg","Фото")</f>
      </c>
    </row>
    <row r="1319">
      <c r="A1319" s="7">
        <f>HYPERLINK("http://www.lingerieopt.ru/item/10122-kolgotj-jess-s-tatu-v-vide-rozochki-na-schikolotke/","10122")</f>
      </c>
      <c r="B1319" s="8" t="s">
        <v>1313</v>
      </c>
      <c r="C1319" s="9">
        <v>330</v>
      </c>
      <c r="D1319" s="0">
        <v>8</v>
      </c>
      <c r="E1319" s="10">
        <f>HYPERLINK("http://www.lingerieopt.ru/images/original/4ebc5368-9fce-4f9f-8230-694e5dfb462d.jpg","Фото")</f>
      </c>
    </row>
    <row r="1320">
      <c r="A1320" s="7">
        <f>HYPERLINK("http://www.lingerieopt.ru/item/10122-kolgotj-jess-s-tatu-v-vide-rozochki-na-schikolotke/","10122")</f>
      </c>
      <c r="B1320" s="8" t="s">
        <v>1314</v>
      </c>
      <c r="C1320" s="9">
        <v>330</v>
      </c>
      <c r="D1320" s="0">
        <v>14</v>
      </c>
      <c r="E1320" s="10">
        <f>HYPERLINK("http://www.lingerieopt.ru/images/original/4ebc5368-9fce-4f9f-8230-694e5dfb462d.jpg","Фото")</f>
      </c>
    </row>
    <row r="1321">
      <c r="A1321" s="7">
        <f>HYPERLINK("http://www.lingerieopt.ru/item/10122-kolgotj-jess-s-tatu-v-vide-rozochki-na-schikolotke/","10122")</f>
      </c>
      <c r="B1321" s="8" t="s">
        <v>1315</v>
      </c>
      <c r="C1321" s="9">
        <v>330</v>
      </c>
      <c r="D1321" s="0">
        <v>11</v>
      </c>
      <c r="E1321" s="10">
        <f>HYPERLINK("http://www.lingerieopt.ru/images/original/4ebc5368-9fce-4f9f-8230-694e5dfb462d.jpg","Фото")</f>
      </c>
    </row>
    <row r="1322">
      <c r="A1322" s="7">
        <f>HYPERLINK("http://www.lingerieopt.ru/item/10123-fantaziinje-kolgotki-lilly-s-imitaciei-chulok-i-polosoi-szadi/","10123")</f>
      </c>
      <c r="B1322" s="8" t="s">
        <v>1316</v>
      </c>
      <c r="C1322" s="9">
        <v>381</v>
      </c>
      <c r="D1322" s="0">
        <v>28</v>
      </c>
      <c r="E1322" s="10">
        <f>HYPERLINK("http://www.lingerieopt.ru/images/original/08153ccf-981e-45ce-8f48-7dceb5faf2ef.jpg","Фото")</f>
      </c>
    </row>
    <row r="1323">
      <c r="A1323" s="7">
        <f>HYPERLINK("http://www.lingerieopt.ru/item/10123-fantaziinje-kolgotki-lilly-s-imitaciei-chulok-i-polosoi-szadi/","10123")</f>
      </c>
      <c r="B1323" s="8" t="s">
        <v>1317</v>
      </c>
      <c r="C1323" s="9">
        <v>381</v>
      </c>
      <c r="D1323" s="0">
        <v>18</v>
      </c>
      <c r="E1323" s="10">
        <f>HYPERLINK("http://www.lingerieopt.ru/images/original/08153ccf-981e-45ce-8f48-7dceb5faf2ef.jpg","Фото")</f>
      </c>
    </row>
    <row r="1324">
      <c r="A1324" s="7">
        <f>HYPERLINK("http://www.lingerieopt.ru/item/10123-fantaziinje-kolgotki-lilly-s-imitaciei-chulok-i-polosoi-szadi/","10123")</f>
      </c>
      <c r="B1324" s="8" t="s">
        <v>1318</v>
      </c>
      <c r="C1324" s="9">
        <v>381</v>
      </c>
      <c r="D1324" s="0">
        <v>16</v>
      </c>
      <c r="E1324" s="10">
        <f>HYPERLINK("http://www.lingerieopt.ru/images/original/08153ccf-981e-45ce-8f48-7dceb5faf2ef.jpg","Фото")</f>
      </c>
    </row>
    <row r="1325">
      <c r="A1325" s="7">
        <f>HYPERLINK("http://www.lingerieopt.ru/item/10123-fantaziinje-kolgotki-lilly-s-imitaciei-chulok-i-polosoi-szadi/","10123")</f>
      </c>
      <c r="B1325" s="8" t="s">
        <v>1319</v>
      </c>
      <c r="C1325" s="9">
        <v>381</v>
      </c>
      <c r="D1325" s="0">
        <v>15</v>
      </c>
      <c r="E1325" s="10">
        <f>HYPERLINK("http://www.lingerieopt.ru/images/original/08153ccf-981e-45ce-8f48-7dceb5faf2ef.jpg","Фото")</f>
      </c>
    </row>
    <row r="1326">
      <c r="A1326" s="7">
        <f>HYPERLINK("http://www.lingerieopt.ru/item/10123-fantaziinje-kolgotki-lilly-s-imitaciei-chulok-i-polosoi-szadi/","10123")</f>
      </c>
      <c r="B1326" s="8" t="s">
        <v>1320</v>
      </c>
      <c r="C1326" s="9">
        <v>381</v>
      </c>
      <c r="D1326" s="0">
        <v>21</v>
      </c>
      <c r="E1326" s="10">
        <f>HYPERLINK("http://www.lingerieopt.ru/images/original/08153ccf-981e-45ce-8f48-7dceb5faf2ef.jpg","Фото")</f>
      </c>
    </row>
    <row r="1327">
      <c r="A1327" s="7">
        <f>HYPERLINK("http://www.lingerieopt.ru/item/10123-fantaziinje-kolgotki-lilly-s-imitaciei-chulok-i-polosoi-szadi/","10123")</f>
      </c>
      <c r="B1327" s="8" t="s">
        <v>1321</v>
      </c>
      <c r="C1327" s="9">
        <v>381</v>
      </c>
      <c r="D1327" s="0">
        <v>6</v>
      </c>
      <c r="E1327" s="10">
        <f>HYPERLINK("http://www.lingerieopt.ru/images/original/08153ccf-981e-45ce-8f48-7dceb5faf2ef.jpg","Фото")</f>
      </c>
    </row>
    <row r="1328">
      <c r="A1328" s="7">
        <f>HYPERLINK("http://www.lingerieopt.ru/item/10124-kolgotj-emma-v-polosku/","10124")</f>
      </c>
      <c r="B1328" s="8" t="s">
        <v>1322</v>
      </c>
      <c r="C1328" s="9">
        <v>368</v>
      </c>
      <c r="D1328" s="0">
        <v>15</v>
      </c>
      <c r="E1328" s="10">
        <f>HYPERLINK("http://www.lingerieopt.ru/images/original/caa47257-45f7-41ef-8897-f63a1906ca31.jpg","Фото")</f>
      </c>
    </row>
    <row r="1329">
      <c r="A1329" s="7">
        <f>HYPERLINK("http://www.lingerieopt.ru/item/10124-kolgotj-emma-v-polosku/","10124")</f>
      </c>
      <c r="B1329" s="8" t="s">
        <v>1323</v>
      </c>
      <c r="C1329" s="9">
        <v>368</v>
      </c>
      <c r="D1329" s="0">
        <v>18</v>
      </c>
      <c r="E1329" s="10">
        <f>HYPERLINK("http://www.lingerieopt.ru/images/original/caa47257-45f7-41ef-8897-f63a1906ca31.jpg","Фото")</f>
      </c>
    </row>
    <row r="1330">
      <c r="A1330" s="7">
        <f>HYPERLINK("http://www.lingerieopt.ru/item/10124-kolgotj-emma-v-polosku/","10124")</f>
      </c>
      <c r="B1330" s="8" t="s">
        <v>1324</v>
      </c>
      <c r="C1330" s="9">
        <v>368</v>
      </c>
      <c r="D1330" s="0">
        <v>13</v>
      </c>
      <c r="E1330" s="10">
        <f>HYPERLINK("http://www.lingerieopt.ru/images/original/caa47257-45f7-41ef-8897-f63a1906ca31.jpg","Фото")</f>
      </c>
    </row>
    <row r="1331">
      <c r="A1331" s="7">
        <f>HYPERLINK("http://www.lingerieopt.ru/item/10125-tonkie-kolgotj-nova-s-tochkami/","10125")</f>
      </c>
      <c r="B1331" s="8" t="s">
        <v>1325</v>
      </c>
      <c r="C1331" s="9">
        <v>330</v>
      </c>
      <c r="D1331" s="0">
        <v>8</v>
      </c>
      <c r="E1331" s="10">
        <f>HYPERLINK("http://www.lingerieopt.ru/images/original/885d712f-e756-4b5f-9ee0-7cea1303f542.jpg","Фото")</f>
      </c>
    </row>
    <row r="1332">
      <c r="A1332" s="7">
        <f>HYPERLINK("http://www.lingerieopt.ru/item/10125-tonkie-kolgotj-nova-s-tochkami/","10125")</f>
      </c>
      <c r="B1332" s="8" t="s">
        <v>1326</v>
      </c>
      <c r="C1332" s="9">
        <v>330</v>
      </c>
      <c r="D1332" s="0">
        <v>25</v>
      </c>
      <c r="E1332" s="10">
        <f>HYPERLINK("http://www.lingerieopt.ru/images/original/885d712f-e756-4b5f-9ee0-7cea1303f542.jpg","Фото")</f>
      </c>
    </row>
    <row r="1333">
      <c r="A1333" s="7">
        <f>HYPERLINK("http://www.lingerieopt.ru/item/10125-tonkie-kolgotj-nova-s-tochkami/","10125")</f>
      </c>
      <c r="B1333" s="8" t="s">
        <v>1327</v>
      </c>
      <c r="C1333" s="9">
        <v>330</v>
      </c>
      <c r="D1333" s="0">
        <v>1</v>
      </c>
      <c r="E1333" s="10">
        <f>HYPERLINK("http://www.lingerieopt.ru/images/original/885d712f-e756-4b5f-9ee0-7cea1303f542.jpg","Фото")</f>
      </c>
    </row>
    <row r="1334">
      <c r="A1334" s="7">
        <f>HYPERLINK("http://www.lingerieopt.ru/item/10129-kolgotki-s-dostupom-amanda/","10129")</f>
      </c>
      <c r="B1334" s="8" t="s">
        <v>1328</v>
      </c>
      <c r="C1334" s="9">
        <v>368</v>
      </c>
      <c r="D1334" s="0">
        <v>19</v>
      </c>
      <c r="E1334" s="10">
        <f>HYPERLINK("http://www.lingerieopt.ru/images/original/565fad79-a1ba-475e-b501-b0a1d9b5034c.jpg","Фото")</f>
      </c>
    </row>
    <row r="1335">
      <c r="A1335" s="7">
        <f>HYPERLINK("http://www.lingerieopt.ru/item/10129-kolgotki-s-dostupom-amanda/","10129")</f>
      </c>
      <c r="B1335" s="8" t="s">
        <v>1329</v>
      </c>
      <c r="C1335" s="9">
        <v>368</v>
      </c>
      <c r="D1335" s="0">
        <v>12</v>
      </c>
      <c r="E1335" s="10">
        <f>HYPERLINK("http://www.lingerieopt.ru/images/original/565fad79-a1ba-475e-b501-b0a1d9b5034c.jpg","Фото")</f>
      </c>
    </row>
    <row r="1336">
      <c r="A1336" s="7">
        <f>HYPERLINK("http://www.lingerieopt.ru/item/10130-kolgotj-amanda-s-dostupom/","10130")</f>
      </c>
      <c r="B1336" s="8" t="s">
        <v>1330</v>
      </c>
      <c r="C1336" s="9">
        <v>368</v>
      </c>
      <c r="D1336" s="0">
        <v>16</v>
      </c>
      <c r="E1336" s="10">
        <f>HYPERLINK("http://www.lingerieopt.ru/images/original/faee801b-f3e6-471b-8a49-acc9445c2ad4.jpg","Фото")</f>
      </c>
    </row>
    <row r="1337">
      <c r="A1337" s="7">
        <f>HYPERLINK("http://www.lingerieopt.ru/item/10131-kolgotki-amira-s-dostupom/","10131")</f>
      </c>
      <c r="B1337" s="8" t="s">
        <v>1331</v>
      </c>
      <c r="C1337" s="9">
        <v>816</v>
      </c>
      <c r="D1337" s="0">
        <v>13</v>
      </c>
      <c r="E1337" s="10">
        <f>HYPERLINK("http://www.lingerieopt.ru/images/original/fbb68886-f35b-4067-abe1-fcdb91b261fa.jpg","Фото")</f>
      </c>
    </row>
    <row r="1338">
      <c r="A1338" s="7">
        <f>HYPERLINK("http://www.lingerieopt.ru/item/10131-kolgotki-amira-s-dostupom/","10131")</f>
      </c>
      <c r="B1338" s="8" t="s">
        <v>1332</v>
      </c>
      <c r="C1338" s="9">
        <v>816</v>
      </c>
      <c r="D1338" s="0">
        <v>26</v>
      </c>
      <c r="E1338" s="10">
        <f>HYPERLINK("http://www.lingerieopt.ru/images/original/fbb68886-f35b-4067-abe1-fcdb91b261fa.jpg","Фото")</f>
      </c>
    </row>
    <row r="1339">
      <c r="A1339" s="7">
        <f>HYPERLINK("http://www.lingerieopt.ru/item/10132-kolgotki-carmen-s-dostupom-i-azhurnjmi-strelkami/","10132")</f>
      </c>
      <c r="B1339" s="8" t="s">
        <v>1333</v>
      </c>
      <c r="C1339" s="9">
        <v>960</v>
      </c>
      <c r="D1339" s="0">
        <v>3</v>
      </c>
      <c r="E1339" s="10">
        <f>HYPERLINK("http://www.lingerieopt.ru/images/original/bf8c2b1a-e892-4b1d-a93a-0e1176f4a187.jpg","Фото")</f>
      </c>
    </row>
    <row r="1340">
      <c r="A1340" s="7">
        <f>HYPERLINK("http://www.lingerieopt.ru/item/10132-kolgotki-carmen-s-dostupom-i-azhurnjmi-strelkami/","10132")</f>
      </c>
      <c r="B1340" s="8" t="s">
        <v>1334</v>
      </c>
      <c r="C1340" s="9">
        <v>960</v>
      </c>
      <c r="D1340" s="0">
        <v>9</v>
      </c>
      <c r="E1340" s="10">
        <f>HYPERLINK("http://www.lingerieopt.ru/images/original/bf8c2b1a-e892-4b1d-a93a-0e1176f4a187.jpg","Фото")</f>
      </c>
    </row>
    <row r="1341">
      <c r="A1341" s="7">
        <f>HYPERLINK("http://www.lingerieopt.ru/item/10133-pikantnje-kolgotki-fiera-s-dostupom-i-kontrastnjmi-strelkami/","10133")</f>
      </c>
      <c r="B1341" s="8" t="s">
        <v>1335</v>
      </c>
      <c r="C1341" s="9">
        <v>852</v>
      </c>
      <c r="D1341" s="0">
        <v>1</v>
      </c>
      <c r="E1341" s="10">
        <f>HYPERLINK("http://www.lingerieopt.ru/images/original/a71be58e-efc0-4fa3-be7d-b1eff84748c4.jpg","Фото")</f>
      </c>
    </row>
    <row r="1342">
      <c r="A1342" s="7">
        <f>HYPERLINK("http://www.lingerieopt.ru/item/10133-pikantnje-kolgotki-fiera-s-dostupom-i-kontrastnjmi-strelkami/","10133")</f>
      </c>
      <c r="B1342" s="8" t="s">
        <v>1336</v>
      </c>
      <c r="C1342" s="9">
        <v>852</v>
      </c>
      <c r="D1342" s="0">
        <v>0</v>
      </c>
      <c r="E1342" s="10">
        <f>HYPERLINK("http://www.lingerieopt.ru/images/original/a71be58e-efc0-4fa3-be7d-b1eff84748c4.jpg","Фото")</f>
      </c>
    </row>
    <row r="1343">
      <c r="A1343" s="7">
        <f>HYPERLINK("http://www.lingerieopt.ru/item/10134-utyagivayuschie-v-talii-kolgotj-slimmer-17-den/","10134")</f>
      </c>
      <c r="B1343" s="8" t="s">
        <v>1337</v>
      </c>
      <c r="C1343" s="9">
        <v>292</v>
      </c>
      <c r="D1343" s="0">
        <v>34</v>
      </c>
      <c r="E1343" s="10">
        <f>HYPERLINK("http://www.lingerieopt.ru/images/original/e90c1cee-a338-4f23-9526-156f361e3d8c.jpg","Фото")</f>
      </c>
    </row>
    <row r="1344">
      <c r="A1344" s="7">
        <f>HYPERLINK("http://www.lingerieopt.ru/item/10134-utyagivayuschie-v-talii-kolgotj-slimmer-17-den/","10134")</f>
      </c>
      <c r="B1344" s="8" t="s">
        <v>1338</v>
      </c>
      <c r="C1344" s="9">
        <v>292</v>
      </c>
      <c r="D1344" s="0">
        <v>46</v>
      </c>
      <c r="E1344" s="10">
        <f>HYPERLINK("http://www.lingerieopt.ru/images/original/e90c1cee-a338-4f23-9526-156f361e3d8c.jpg","Фото")</f>
      </c>
    </row>
    <row r="1345">
      <c r="A1345" s="7">
        <f>HYPERLINK("http://www.lingerieopt.ru/item/10134-utyagivayuschie-v-talii-kolgotj-slimmer-17-den/","10134")</f>
      </c>
      <c r="B1345" s="8" t="s">
        <v>1339</v>
      </c>
      <c r="C1345" s="9">
        <v>292</v>
      </c>
      <c r="D1345" s="0">
        <v>42</v>
      </c>
      <c r="E1345" s="10">
        <f>HYPERLINK("http://www.lingerieopt.ru/images/original/e90c1cee-a338-4f23-9526-156f361e3d8c.jpg","Фото")</f>
      </c>
    </row>
    <row r="1346">
      <c r="A1346" s="7">
        <f>HYPERLINK("http://www.lingerieopt.ru/item/10135-utyagivayuschie-v-talii-i-bedrah-kolgotj-secret-shaper/","10135")</f>
      </c>
      <c r="B1346" s="8" t="s">
        <v>1340</v>
      </c>
      <c r="C1346" s="9">
        <v>356</v>
      </c>
      <c r="D1346" s="0">
        <v>26</v>
      </c>
      <c r="E1346" s="10">
        <f>HYPERLINK("http://www.lingerieopt.ru/images/original/cb1d5547-cbbb-4d94-8a98-0600bb391147.jpg","Фото")</f>
      </c>
    </row>
    <row r="1347">
      <c r="A1347" s="7">
        <f>HYPERLINK("http://www.lingerieopt.ru/item/10135-utyagivayuschie-v-talii-i-bedrah-kolgotj-secret-shaper/","10135")</f>
      </c>
      <c r="B1347" s="8" t="s">
        <v>1341</v>
      </c>
      <c r="C1347" s="9">
        <v>356</v>
      </c>
      <c r="D1347" s="0">
        <v>25</v>
      </c>
      <c r="E1347" s="10">
        <f>HYPERLINK("http://www.lingerieopt.ru/images/original/cb1d5547-cbbb-4d94-8a98-0600bb391147.jpg","Фото")</f>
      </c>
    </row>
    <row r="1348">
      <c r="A1348" s="7">
        <f>HYPERLINK("http://www.lingerieopt.ru/item/10135-utyagivayuschie-v-talii-i-bedrah-kolgotj-secret-shaper/","10135")</f>
      </c>
      <c r="B1348" s="8" t="s">
        <v>1342</v>
      </c>
      <c r="C1348" s="9">
        <v>356</v>
      </c>
      <c r="D1348" s="0">
        <v>15</v>
      </c>
      <c r="E1348" s="10">
        <f>HYPERLINK("http://www.lingerieopt.ru/images/original/cb1d5547-cbbb-4d94-8a98-0600bb391147.jpg","Фото")</f>
      </c>
    </row>
    <row r="1349">
      <c r="A1349" s="7">
        <f>HYPERLINK("http://www.lingerieopt.ru/item/10135-utyagivayuschie-v-talii-i-bedrah-kolgotj-secret-shaper/","10135")</f>
      </c>
      <c r="B1349" s="8" t="s">
        <v>1343</v>
      </c>
      <c r="C1349" s="9">
        <v>356</v>
      </c>
      <c r="D1349" s="0">
        <v>20</v>
      </c>
      <c r="E1349" s="10">
        <f>HYPERLINK("http://www.lingerieopt.ru/images/original/cb1d5547-cbbb-4d94-8a98-0600bb391147.jpg","Фото")</f>
      </c>
    </row>
    <row r="1350">
      <c r="A1350" s="7">
        <f>HYPERLINK("http://www.lingerieopt.ru/item/10136-kolgotj-silvana-s-kruzhevnjm-poyaskom-i-vjrezami/","10136")</f>
      </c>
      <c r="B1350" s="8" t="s">
        <v>1344</v>
      </c>
      <c r="C1350" s="9">
        <v>924</v>
      </c>
      <c r="D1350" s="0">
        <v>15</v>
      </c>
      <c r="E1350" s="10">
        <f>HYPERLINK("http://www.lingerieopt.ru/images/original/e11e561e-48b0-407a-b5c9-575b11a1570f.jpg","Фото")</f>
      </c>
    </row>
    <row r="1351">
      <c r="A1351" s="7">
        <f>HYPERLINK("http://www.lingerieopt.ru/item/10136-kolgotj-silvana-s-kruzhevnjm-poyaskom-i-vjrezami/","10136")</f>
      </c>
      <c r="B1351" s="8" t="s">
        <v>1345</v>
      </c>
      <c r="C1351" s="9">
        <v>924</v>
      </c>
      <c r="D1351" s="0">
        <v>16</v>
      </c>
      <c r="E1351" s="10">
        <f>HYPERLINK("http://www.lingerieopt.ru/images/original/e11e561e-48b0-407a-b5c9-575b11a1570f.jpg","Фото")</f>
      </c>
    </row>
    <row r="1352">
      <c r="A1352" s="7">
        <f>HYPERLINK("http://www.lingerieopt.ru/item/10239-kolgotki-s-vjrezami-na-yagodicah/","10239")</f>
      </c>
      <c r="B1352" s="8" t="s">
        <v>1346</v>
      </c>
      <c r="C1352" s="9">
        <v>227</v>
      </c>
      <c r="D1352" s="0">
        <v>47</v>
      </c>
      <c r="E1352" s="10">
        <f>HYPERLINK("http://www.lingerieopt.ru/images/original/b25bb9ba-f4bc-41f0-89d5-17d15492616e.jpg","Фото")</f>
      </c>
    </row>
    <row r="1353">
      <c r="A1353" s="7">
        <f>HYPERLINK("http://www.lingerieopt.ru/item/10240-kolgotki-s-intimnjmi-vjrezami/","10240")</f>
      </c>
      <c r="B1353" s="8" t="s">
        <v>1347</v>
      </c>
      <c r="C1353" s="9">
        <v>227</v>
      </c>
      <c r="D1353" s="0">
        <v>43</v>
      </c>
      <c r="E1353" s="10">
        <f>HYPERLINK("http://www.lingerieopt.ru/images/original/9f5f5c14-4b3c-43ad-8b39-7ec98e74aba8.jpg","Фото")</f>
      </c>
    </row>
    <row r="1354">
      <c r="A1354" s="7">
        <f>HYPERLINK("http://www.lingerieopt.ru/item/10345-originalnje-kolgotki-s-vjrezami-v-verhnei-chasti-i-dostupom/","10345")</f>
      </c>
      <c r="B1354" s="8" t="s">
        <v>1348</v>
      </c>
      <c r="C1354" s="9">
        <v>546</v>
      </c>
      <c r="D1354" s="0">
        <v>6</v>
      </c>
      <c r="E1354" s="10">
        <f>HYPERLINK("http://www.lingerieopt.ru/images/original/6955ce3a-afe1-4dbe-ab99-c8e154d7532c.jpg","Фото")</f>
      </c>
    </row>
    <row r="1355">
      <c r="A1355" s="7">
        <f>HYPERLINK("http://www.lingerieopt.ru/item/10345-originalnje-kolgotki-s-vjrezami-v-verhnei-chasti-i-dostupom/","10345")</f>
      </c>
      <c r="B1355" s="8" t="s">
        <v>1349</v>
      </c>
      <c r="C1355" s="9">
        <v>546</v>
      </c>
      <c r="D1355" s="0">
        <v>8</v>
      </c>
      <c r="E1355" s="10">
        <f>HYPERLINK("http://www.lingerieopt.ru/images/original/6955ce3a-afe1-4dbe-ab99-c8e154d7532c.jpg","Фото")</f>
      </c>
    </row>
    <row r="1356">
      <c r="A1356" s="7">
        <f>HYPERLINK("http://www.lingerieopt.ru/item/10345-originalnje-kolgotki-s-vjrezami-v-verhnei-chasti-i-dostupom/","10345")</f>
      </c>
      <c r="B1356" s="8" t="s">
        <v>1350</v>
      </c>
      <c r="C1356" s="9">
        <v>546</v>
      </c>
      <c r="D1356" s="0">
        <v>0</v>
      </c>
      <c r="E1356" s="10">
        <f>HYPERLINK("http://www.lingerieopt.ru/images/original/6955ce3a-afe1-4dbe-ab99-c8e154d7532c.jpg","Фото")</f>
      </c>
    </row>
    <row r="1357">
      <c r="A1357" s="7">
        <f>HYPERLINK("http://www.lingerieopt.ru/item/10623-originalnji-kolgotki-s-otkrjtjmi-bedrami/","10623")</f>
      </c>
      <c r="B1357" s="8" t="s">
        <v>1351</v>
      </c>
      <c r="C1357" s="9">
        <v>546</v>
      </c>
      <c r="D1357" s="0">
        <v>7</v>
      </c>
      <c r="E1357" s="10">
        <f>HYPERLINK("http://www.lingerieopt.ru/images/original/220dec14-7d31-432a-b1f8-71d1a3495e50.jpg","Фото")</f>
      </c>
    </row>
    <row r="1358">
      <c r="A1358" s="7">
        <f>HYPERLINK("http://www.lingerieopt.ru/item/10623-originalnji-kolgotki-s-otkrjtjmi-bedrami/","10623")</f>
      </c>
      <c r="B1358" s="8" t="s">
        <v>1352</v>
      </c>
      <c r="C1358" s="9">
        <v>546</v>
      </c>
      <c r="D1358" s="0">
        <v>6</v>
      </c>
      <c r="E1358" s="10">
        <f>HYPERLINK("http://www.lingerieopt.ru/images/original/220dec14-7d31-432a-b1f8-71d1a3495e50.jpg","Фото")</f>
      </c>
    </row>
    <row r="1359">
      <c r="A1359" s="7">
        <f>HYPERLINK("http://www.lingerieopt.ru/item/10623-originalnji-kolgotki-s-otkrjtjmi-bedrami/","10623")</f>
      </c>
      <c r="B1359" s="8" t="s">
        <v>1353</v>
      </c>
      <c r="C1359" s="9">
        <v>546</v>
      </c>
      <c r="D1359" s="0">
        <v>14</v>
      </c>
      <c r="E1359" s="10">
        <f>HYPERLINK("http://www.lingerieopt.ru/images/original/220dec14-7d31-432a-b1f8-71d1a3495e50.jpg","Фото")</f>
      </c>
    </row>
    <row r="1360">
      <c r="A1360" s="7">
        <f>HYPERLINK("http://www.lingerieopt.ru/item/10625-kolgotj-v-tonkuyu-polosku-s-otkrjtoi-verhnei-chastyu/","10625")</f>
      </c>
      <c r="B1360" s="8" t="s">
        <v>1354</v>
      </c>
      <c r="C1360" s="9">
        <v>546</v>
      </c>
      <c r="D1360" s="0">
        <v>10</v>
      </c>
      <c r="E1360" s="10">
        <f>HYPERLINK("http://www.lingerieopt.ru/images/original/0856cd58-ba96-48be-a40b-46c9c64ed305.jpg","Фото")</f>
      </c>
    </row>
    <row r="1361">
      <c r="A1361" s="7">
        <f>HYPERLINK("http://www.lingerieopt.ru/item/10625-kolgotj-v-tonkuyu-polosku-s-otkrjtoi-verhnei-chastyu/","10625")</f>
      </c>
      <c r="B1361" s="8" t="s">
        <v>1355</v>
      </c>
      <c r="C1361" s="9">
        <v>546</v>
      </c>
      <c r="D1361" s="0">
        <v>7</v>
      </c>
      <c r="E1361" s="10">
        <f>HYPERLINK("http://www.lingerieopt.ru/images/original/0856cd58-ba96-48be-a40b-46c9c64ed305.jpg","Фото")</f>
      </c>
    </row>
    <row r="1362">
      <c r="A1362" s="7">
        <f>HYPERLINK("http://www.lingerieopt.ru/item/10625-kolgotj-v-tonkuyu-polosku-s-otkrjtoi-verhnei-chastyu/","10625")</f>
      </c>
      <c r="B1362" s="8" t="s">
        <v>1356</v>
      </c>
      <c r="C1362" s="9">
        <v>546</v>
      </c>
      <c r="D1362" s="0">
        <v>3</v>
      </c>
      <c r="E1362" s="10">
        <f>HYPERLINK("http://www.lingerieopt.ru/images/original/0856cd58-ba96-48be-a40b-46c9c64ed305.jpg","Фото")</f>
      </c>
    </row>
    <row r="1363">
      <c r="A1363" s="7">
        <f>HYPERLINK("http://www.lingerieopt.ru/item/10626-azhurnje-kolgotj-s-vjrezami-na-bedrah/","10626")</f>
      </c>
      <c r="B1363" s="8" t="s">
        <v>1357</v>
      </c>
      <c r="C1363" s="9">
        <v>546</v>
      </c>
      <c r="D1363" s="0">
        <v>4</v>
      </c>
      <c r="E1363" s="10">
        <f>HYPERLINK("http://www.lingerieopt.ru/images/original/26685520-8be8-421c-9988-b9252871ea4d.jpg","Фото")</f>
      </c>
    </row>
    <row r="1364">
      <c r="A1364" s="7">
        <f>HYPERLINK("http://www.lingerieopt.ru/item/10626-azhurnje-kolgotj-s-vjrezami-na-bedrah/","10626")</f>
      </c>
      <c r="B1364" s="8" t="s">
        <v>1358</v>
      </c>
      <c r="C1364" s="9">
        <v>546</v>
      </c>
      <c r="D1364" s="0">
        <v>3</v>
      </c>
      <c r="E1364" s="10">
        <f>HYPERLINK("http://www.lingerieopt.ru/images/original/26685520-8be8-421c-9988-b9252871ea4d.jpg","Фото")</f>
      </c>
    </row>
    <row r="1365">
      <c r="A1365" s="7">
        <f>HYPERLINK("http://www.lingerieopt.ru/item/10626-azhurnje-kolgotj-s-vjrezami-na-bedrah/","10626")</f>
      </c>
      <c r="B1365" s="8" t="s">
        <v>1359</v>
      </c>
      <c r="C1365" s="9">
        <v>546</v>
      </c>
      <c r="D1365" s="0">
        <v>2</v>
      </c>
      <c r="E1365" s="10">
        <f>HYPERLINK("http://www.lingerieopt.ru/images/original/26685520-8be8-421c-9988-b9252871ea4d.jpg","Фото")</f>
      </c>
    </row>
    <row r="1366">
      <c r="A1366" s="7">
        <f>HYPERLINK("http://www.lingerieopt.ru/item/10627-kolgotj-s-otkrjtjmi-bedrami-i-krugljmi-yacheikami/","10627")</f>
      </c>
      <c r="B1366" s="8" t="s">
        <v>1360</v>
      </c>
      <c r="C1366" s="9">
        <v>546</v>
      </c>
      <c r="D1366" s="0">
        <v>6</v>
      </c>
      <c r="E1366" s="10">
        <f>HYPERLINK("http://www.lingerieopt.ru/images/original/2d884e24-389c-4242-a0e0-b1c342c95181.jpg","Фото")</f>
      </c>
    </row>
    <row r="1367">
      <c r="A1367" s="7">
        <f>HYPERLINK("http://www.lingerieopt.ru/item/10627-kolgotj-s-otkrjtjmi-bedrami-i-krugljmi-yacheikami/","10627")</f>
      </c>
      <c r="B1367" s="8" t="s">
        <v>1361</v>
      </c>
      <c r="C1367" s="9">
        <v>546</v>
      </c>
      <c r="D1367" s="0">
        <v>4</v>
      </c>
      <c r="E1367" s="10">
        <f>HYPERLINK("http://www.lingerieopt.ru/images/original/2d884e24-389c-4242-a0e0-b1c342c95181.jpg","Фото")</f>
      </c>
    </row>
    <row r="1368">
      <c r="A1368" s="7">
        <f>HYPERLINK("http://www.lingerieopt.ru/item/10627-kolgotj-s-otkrjtjmi-bedrami-i-krugljmi-yacheikami/","10627")</f>
      </c>
      <c r="B1368" s="8" t="s">
        <v>1362</v>
      </c>
      <c r="C1368" s="9">
        <v>546</v>
      </c>
      <c r="D1368" s="0">
        <v>2</v>
      </c>
      <c r="E1368" s="10">
        <f>HYPERLINK("http://www.lingerieopt.ru/images/original/2d884e24-389c-4242-a0e0-b1c342c95181.jpg","Фото")</f>
      </c>
    </row>
    <row r="1369">
      <c r="A1369" s="7">
        <f>HYPERLINK("http://www.lingerieopt.ru/item/10628-fantaziinje-kolgotj-s-intimnjm-dostupom/","10628")</f>
      </c>
      <c r="B1369" s="8" t="s">
        <v>1363</v>
      </c>
      <c r="C1369" s="9">
        <v>546</v>
      </c>
      <c r="D1369" s="0">
        <v>3</v>
      </c>
      <c r="E1369" s="10">
        <f>HYPERLINK("http://www.lingerieopt.ru/images/original/9c254ae1-0d60-484b-9514-53cb9be41673.jpg","Фото")</f>
      </c>
    </row>
    <row r="1370">
      <c r="A1370" s="7">
        <f>HYPERLINK("http://www.lingerieopt.ru/item/10628-fantaziinje-kolgotj-s-intimnjm-dostupom/","10628")</f>
      </c>
      <c r="B1370" s="8" t="s">
        <v>1364</v>
      </c>
      <c r="C1370" s="9">
        <v>546</v>
      </c>
      <c r="D1370" s="0">
        <v>7</v>
      </c>
      <c r="E1370" s="10">
        <f>HYPERLINK("http://www.lingerieopt.ru/images/original/9c254ae1-0d60-484b-9514-53cb9be41673.jpg","Фото")</f>
      </c>
    </row>
    <row r="1371">
      <c r="A1371" s="7">
        <f>HYPERLINK("http://www.lingerieopt.ru/item/10628-fantaziinje-kolgotj-s-intimnjm-dostupom/","10628")</f>
      </c>
      <c r="B1371" s="8" t="s">
        <v>1365</v>
      </c>
      <c r="C1371" s="9">
        <v>546</v>
      </c>
      <c r="D1371" s="0">
        <v>3</v>
      </c>
      <c r="E1371" s="10">
        <f>HYPERLINK("http://www.lingerieopt.ru/images/original/9c254ae1-0d60-484b-9514-53cb9be41673.jpg","Фото")</f>
      </c>
    </row>
    <row r="1372">
      <c r="A1372" s="7">
        <f>HYPERLINK("http://www.lingerieopt.ru/item/10629-fantaziinje-kolgotki-s-cvetochnjm-risunkom-i-imitaciei-shnurovki-po-bokam/","10629")</f>
      </c>
      <c r="B1372" s="8" t="s">
        <v>1366</v>
      </c>
      <c r="C1372" s="9">
        <v>546</v>
      </c>
      <c r="D1372" s="0">
        <v>5</v>
      </c>
      <c r="E1372" s="10">
        <f>HYPERLINK("http://www.lingerieopt.ru/images/original/fbe0f37b-e7f5-4216-85bf-bfd2654bc72e.jpg","Фото")</f>
      </c>
    </row>
    <row r="1373">
      <c r="A1373" s="7">
        <f>HYPERLINK("http://www.lingerieopt.ru/item/10629-fantaziinje-kolgotki-s-cvetochnjm-risunkom-i-imitaciei-shnurovki-po-bokam/","10629")</f>
      </c>
      <c r="B1373" s="8" t="s">
        <v>1367</v>
      </c>
      <c r="C1373" s="9">
        <v>546</v>
      </c>
      <c r="D1373" s="0">
        <v>10</v>
      </c>
      <c r="E1373" s="10">
        <f>HYPERLINK("http://www.lingerieopt.ru/images/original/fbe0f37b-e7f5-4216-85bf-bfd2654bc72e.jpg","Фото")</f>
      </c>
    </row>
    <row r="1374">
      <c r="A1374" s="7">
        <f>HYPERLINK("http://www.lingerieopt.ru/item/10629-fantaziinje-kolgotki-s-cvetochnjm-risunkom-i-imitaciei-shnurovki-po-bokam/","10629")</f>
      </c>
      <c r="B1374" s="8" t="s">
        <v>1368</v>
      </c>
      <c r="C1374" s="9">
        <v>546</v>
      </c>
      <c r="D1374" s="0">
        <v>7</v>
      </c>
      <c r="E1374" s="10">
        <f>HYPERLINK("http://www.lingerieopt.ru/images/original/fbe0f37b-e7f5-4216-85bf-bfd2654bc72e.jpg","Фото")</f>
      </c>
    </row>
    <row r="1375">
      <c r="A1375" s="7">
        <f>HYPERLINK("http://www.lingerieopt.ru/item/10630-kolgotj-s-otkrjtjmi-bedrami-i-vjrezami-na-kolenyah/","10630")</f>
      </c>
      <c r="B1375" s="8" t="s">
        <v>1369</v>
      </c>
      <c r="C1375" s="9">
        <v>546</v>
      </c>
      <c r="D1375" s="0">
        <v>10</v>
      </c>
      <c r="E1375" s="10">
        <f>HYPERLINK("http://www.lingerieopt.ru/images/original/e8f150dc-35c1-4508-83ad-0a9fd9b984f6.jpg","Фото")</f>
      </c>
    </row>
    <row r="1376">
      <c r="A1376" s="7">
        <f>HYPERLINK("http://www.lingerieopt.ru/item/10630-kolgotj-s-otkrjtjmi-bedrami-i-vjrezami-na-kolenyah/","10630")</f>
      </c>
      <c r="B1376" s="8" t="s">
        <v>1370</v>
      </c>
      <c r="C1376" s="9">
        <v>546</v>
      </c>
      <c r="D1376" s="0">
        <v>5</v>
      </c>
      <c r="E1376" s="10">
        <f>HYPERLINK("http://www.lingerieopt.ru/images/original/e8f150dc-35c1-4508-83ad-0a9fd9b984f6.jpg","Фото")</f>
      </c>
    </row>
    <row r="1377">
      <c r="A1377" s="7">
        <f>HYPERLINK("http://www.lingerieopt.ru/item/10630-kolgotj-s-otkrjtjmi-bedrami-i-vjrezami-na-kolenyah/","10630")</f>
      </c>
      <c r="B1377" s="8" t="s">
        <v>1371</v>
      </c>
      <c r="C1377" s="9">
        <v>546</v>
      </c>
      <c r="D1377" s="0">
        <v>5</v>
      </c>
      <c r="E1377" s="10">
        <f>HYPERLINK("http://www.lingerieopt.ru/images/original/e8f150dc-35c1-4508-83ad-0a9fd9b984f6.jpg","Фото")</f>
      </c>
    </row>
    <row r="1378">
      <c r="A1378" s="7">
        <f>HYPERLINK("http://www.lingerieopt.ru/item/10631-originalnje-kolgotj-s-geometricheskim-risunkom-i-vjrezom/","10631")</f>
      </c>
      <c r="B1378" s="8" t="s">
        <v>1372</v>
      </c>
      <c r="C1378" s="9">
        <v>546</v>
      </c>
      <c r="D1378" s="0">
        <v>9</v>
      </c>
      <c r="E1378" s="10">
        <f>HYPERLINK("http://www.lingerieopt.ru/images/original/7d170bcb-cbd4-47eb-85bc-d896b59c9c06.jpg","Фото")</f>
      </c>
    </row>
    <row r="1379">
      <c r="A1379" s="7">
        <f>HYPERLINK("http://www.lingerieopt.ru/item/10631-originalnje-kolgotj-s-geometricheskim-risunkom-i-vjrezom/","10631")</f>
      </c>
      <c r="B1379" s="8" t="s">
        <v>1373</v>
      </c>
      <c r="C1379" s="9">
        <v>546</v>
      </c>
      <c r="D1379" s="0">
        <v>5</v>
      </c>
      <c r="E1379" s="10">
        <f>HYPERLINK("http://www.lingerieopt.ru/images/original/7d170bcb-cbd4-47eb-85bc-d896b59c9c06.jpg","Фото")</f>
      </c>
    </row>
    <row r="1380">
      <c r="A1380" s="7">
        <f>HYPERLINK("http://www.lingerieopt.ru/item/10631-originalnje-kolgotj-s-geometricheskim-risunkom-i-vjrezom/","10631")</f>
      </c>
      <c r="B1380" s="8" t="s">
        <v>1374</v>
      </c>
      <c r="C1380" s="9">
        <v>546</v>
      </c>
      <c r="D1380" s="0">
        <v>5</v>
      </c>
      <c r="E1380" s="10">
        <f>HYPERLINK("http://www.lingerieopt.ru/images/original/7d170bcb-cbd4-47eb-85bc-d896b59c9c06.jpg","Фото")</f>
      </c>
    </row>
    <row r="1381">
      <c r="A1381" s="7">
        <f>HYPERLINK("http://www.lingerieopt.ru/item/10807-utyagivayuschie-bedra-kolgotki-impress-15-den/","10807")</f>
      </c>
      <c r="B1381" s="8" t="s">
        <v>1375</v>
      </c>
      <c r="C1381" s="9">
        <v>330</v>
      </c>
      <c r="D1381" s="0">
        <v>34</v>
      </c>
      <c r="E1381" s="10">
        <f>HYPERLINK("http://www.lingerieopt.ru/images/original/b4f88179-bfde-420c-afa7-391b37d27024.jpg","Фото")</f>
      </c>
    </row>
    <row r="1382">
      <c r="A1382" s="7">
        <f>HYPERLINK("http://www.lingerieopt.ru/item/10807-utyagivayuschie-bedra-kolgotki-impress-15-den/","10807")</f>
      </c>
      <c r="B1382" s="8" t="s">
        <v>1376</v>
      </c>
      <c r="C1382" s="9">
        <v>330</v>
      </c>
      <c r="D1382" s="0">
        <v>27</v>
      </c>
      <c r="E1382" s="10">
        <f>HYPERLINK("http://www.lingerieopt.ru/images/original/b4f88179-bfde-420c-afa7-391b37d27024.jpg","Фото")</f>
      </c>
    </row>
    <row r="1383">
      <c r="A1383" s="7">
        <f>HYPERLINK("http://www.lingerieopt.ru/item/10807-utyagivayuschie-bedra-kolgotki-impress-15-den/","10807")</f>
      </c>
      <c r="B1383" s="8" t="s">
        <v>1377</v>
      </c>
      <c r="C1383" s="9">
        <v>330</v>
      </c>
      <c r="D1383" s="0">
        <v>36</v>
      </c>
      <c r="E1383" s="10">
        <f>HYPERLINK("http://www.lingerieopt.ru/images/original/b4f88179-bfde-420c-afa7-391b37d27024.jpg","Фото")</f>
      </c>
    </row>
    <row r="1384">
      <c r="A1384" s="7">
        <f>HYPERLINK("http://www.lingerieopt.ru/item/10807-utyagivayuschie-bedra-kolgotki-impress-15-den/","10807")</f>
      </c>
      <c r="B1384" s="8" t="s">
        <v>1378</v>
      </c>
      <c r="C1384" s="9">
        <v>330</v>
      </c>
      <c r="D1384" s="0">
        <v>31</v>
      </c>
      <c r="E1384" s="10">
        <f>HYPERLINK("http://www.lingerieopt.ru/images/original/b4f88179-bfde-420c-afa7-391b37d27024.jpg","Фото")</f>
      </c>
    </row>
    <row r="1385">
      <c r="A1385" s="7">
        <f>HYPERLINK("http://www.lingerieopt.ru/item/10807-utyagivayuschie-bedra-kolgotki-impress-15-den/","10807")</f>
      </c>
      <c r="B1385" s="8" t="s">
        <v>1379</v>
      </c>
      <c r="C1385" s="9">
        <v>330</v>
      </c>
      <c r="D1385" s="0">
        <v>30</v>
      </c>
      <c r="E1385" s="10">
        <f>HYPERLINK("http://www.lingerieopt.ru/images/original/b4f88179-bfde-420c-afa7-391b37d27024.jpg","Фото")</f>
      </c>
    </row>
    <row r="1386">
      <c r="A1386" s="7">
        <f>HYPERLINK("http://www.lingerieopt.ru/item/10807-utyagivayuschie-bedra-kolgotki-impress-15-den/","10807")</f>
      </c>
      <c r="B1386" s="8" t="s">
        <v>1380</v>
      </c>
      <c r="C1386" s="9">
        <v>330</v>
      </c>
      <c r="D1386" s="0">
        <v>36</v>
      </c>
      <c r="E1386" s="10">
        <f>HYPERLINK("http://www.lingerieopt.ru/images/original/b4f88179-bfde-420c-afa7-391b37d27024.jpg","Фото")</f>
      </c>
    </row>
    <row r="1387">
      <c r="A1387" s="7">
        <f>HYPERLINK("http://www.lingerieopt.ru/item/10808-utyagivayuschie-zhivot-kolgotki-high-shaper-20-den/","10808")</f>
      </c>
      <c r="B1387" s="8" t="s">
        <v>1381</v>
      </c>
      <c r="C1387" s="9">
        <v>495</v>
      </c>
      <c r="D1387" s="0">
        <v>10</v>
      </c>
      <c r="E1387" s="10">
        <f>HYPERLINK("http://www.lingerieopt.ru/images/original/a30272d4-7c58-4819-b5eb-75e5336eacbb.jpg","Фото")</f>
      </c>
    </row>
    <row r="1388">
      <c r="A1388" s="7">
        <f>HYPERLINK("http://www.lingerieopt.ru/item/10808-utyagivayuschie-zhivot-kolgotki-high-shaper-20-den/","10808")</f>
      </c>
      <c r="B1388" s="8" t="s">
        <v>1382</v>
      </c>
      <c r="C1388" s="9">
        <v>495</v>
      </c>
      <c r="D1388" s="0">
        <v>37</v>
      </c>
      <c r="E1388" s="10">
        <f>HYPERLINK("http://www.lingerieopt.ru/images/original/a30272d4-7c58-4819-b5eb-75e5336eacbb.jpg","Фото")</f>
      </c>
    </row>
    <row r="1389">
      <c r="A1389" s="7">
        <f>HYPERLINK("http://www.lingerieopt.ru/item/10808-utyagivayuschie-zhivot-kolgotki-high-shaper-20-den/","10808")</f>
      </c>
      <c r="B1389" s="8" t="s">
        <v>1383</v>
      </c>
      <c r="C1389" s="9">
        <v>495</v>
      </c>
      <c r="D1389" s="0">
        <v>19</v>
      </c>
      <c r="E1389" s="10">
        <f>HYPERLINK("http://www.lingerieopt.ru/images/original/a30272d4-7c58-4819-b5eb-75e5336eacbb.jpg","Фото")</f>
      </c>
    </row>
    <row r="1390">
      <c r="A1390" s="7">
        <f>HYPERLINK("http://www.lingerieopt.ru/item/10809-tonenkie-kolgotki-supreme-20-den-s-dvoinjm-dobavleniem-laikrj/","10809")</f>
      </c>
      <c r="B1390" s="8" t="s">
        <v>1384</v>
      </c>
      <c r="C1390" s="9">
        <v>229</v>
      </c>
      <c r="D1390" s="0">
        <v>13</v>
      </c>
      <c r="E1390" s="10">
        <f>HYPERLINK("http://www.lingerieopt.ru/images/original/8c226895-1190-4ed9-ad63-651e3ae97576.jpg","Фото")</f>
      </c>
    </row>
    <row r="1391">
      <c r="A1391" s="7">
        <f>HYPERLINK("http://www.lingerieopt.ru/item/10809-tonenkie-kolgotki-supreme-20-den-s-dvoinjm-dobavleniem-laikrj/","10809")</f>
      </c>
      <c r="B1391" s="8" t="s">
        <v>1385</v>
      </c>
      <c r="C1391" s="9">
        <v>229</v>
      </c>
      <c r="D1391" s="0">
        <v>11</v>
      </c>
      <c r="E1391" s="10">
        <f>HYPERLINK("http://www.lingerieopt.ru/images/original/8c226895-1190-4ed9-ad63-651e3ae97576.jpg","Фото")</f>
      </c>
    </row>
    <row r="1392">
      <c r="A1392" s="7">
        <f>HYPERLINK("http://www.lingerieopt.ru/item/10809-tonenkie-kolgotki-supreme-20-den-s-dvoinjm-dobavleniem-laikrj/","10809")</f>
      </c>
      <c r="B1392" s="8" t="s">
        <v>1386</v>
      </c>
      <c r="C1392" s="9">
        <v>229</v>
      </c>
      <c r="D1392" s="0">
        <v>20</v>
      </c>
      <c r="E1392" s="10">
        <f>HYPERLINK("http://www.lingerieopt.ru/images/original/8c226895-1190-4ed9-ad63-651e3ae97576.jpg","Фото")</f>
      </c>
    </row>
    <row r="1393">
      <c r="A1393" s="7">
        <f>HYPERLINK("http://www.lingerieopt.ru/item/10810-kolgotki-supreme-40-den-s-dvoinjm-dobavleniem-laikrj/","10810")</f>
      </c>
      <c r="B1393" s="8" t="s">
        <v>1387</v>
      </c>
      <c r="C1393" s="9">
        <v>254</v>
      </c>
      <c r="D1393" s="0">
        <v>35</v>
      </c>
      <c r="E1393" s="10">
        <f>HYPERLINK("http://www.lingerieopt.ru/images/original/c31903d8-4c55-40fc-aa68-2d057738feec.jpg","Фото")</f>
      </c>
    </row>
    <row r="1394">
      <c r="A1394" s="7">
        <f>HYPERLINK("http://www.lingerieopt.ru/item/10810-kolgotki-supreme-40-den-s-dvoinjm-dobavleniem-laikrj/","10810")</f>
      </c>
      <c r="B1394" s="8" t="s">
        <v>1388</v>
      </c>
      <c r="C1394" s="9">
        <v>254</v>
      </c>
      <c r="D1394" s="0">
        <v>42</v>
      </c>
      <c r="E1394" s="10">
        <f>HYPERLINK("http://www.lingerieopt.ru/images/original/c31903d8-4c55-40fc-aa68-2d057738feec.jpg","Фото")</f>
      </c>
    </row>
    <row r="1395">
      <c r="A1395" s="7">
        <f>HYPERLINK("http://www.lingerieopt.ru/item/10810-kolgotki-supreme-40-den-s-dvoinjm-dobavleniem-laikrj/","10810")</f>
      </c>
      <c r="B1395" s="8" t="s">
        <v>1389</v>
      </c>
      <c r="C1395" s="9">
        <v>254</v>
      </c>
      <c r="D1395" s="0">
        <v>30</v>
      </c>
      <c r="E1395" s="10">
        <f>HYPERLINK("http://www.lingerieopt.ru/images/original/c31903d8-4c55-40fc-aa68-2d057738feec.jpg","Фото")</f>
      </c>
    </row>
    <row r="1396">
      <c r="A1396" s="7">
        <f>HYPERLINK("http://www.lingerieopt.ru/item/10864-kolgotki-s-imitaciei-podvyazok-i-dostupom/","10864")</f>
      </c>
      <c r="B1396" s="8" t="s">
        <v>1390</v>
      </c>
      <c r="C1396" s="9">
        <v>546</v>
      </c>
      <c r="D1396" s="0">
        <v>5</v>
      </c>
      <c r="E1396" s="10">
        <f>HYPERLINK("http://www.lingerieopt.ru/images/original/8e6245fb-c1a4-46bf-8926-92c29560ae68.jpg","Фото")</f>
      </c>
    </row>
    <row r="1397">
      <c r="A1397" s="7">
        <f>HYPERLINK("http://www.lingerieopt.ru/item/10864-kolgotki-s-imitaciei-podvyazok-i-dostupom/","10864")</f>
      </c>
      <c r="B1397" s="8" t="s">
        <v>1391</v>
      </c>
      <c r="C1397" s="9">
        <v>546</v>
      </c>
      <c r="D1397" s="0">
        <v>8</v>
      </c>
      <c r="E1397" s="10">
        <f>HYPERLINK("http://www.lingerieopt.ru/images/original/8e6245fb-c1a4-46bf-8926-92c29560ae68.jpg","Фото")</f>
      </c>
    </row>
    <row r="1398">
      <c r="A1398" s="7">
        <f>HYPERLINK("http://www.lingerieopt.ru/item/10864-kolgotki-s-imitaciei-podvyazok-i-dostupom/","10864")</f>
      </c>
      <c r="B1398" s="8" t="s">
        <v>1392</v>
      </c>
      <c r="C1398" s="9">
        <v>546</v>
      </c>
      <c r="D1398" s="0">
        <v>7</v>
      </c>
      <c r="E1398" s="10">
        <f>HYPERLINK("http://www.lingerieopt.ru/images/original/8e6245fb-c1a4-46bf-8926-92c29560ae68.jpg","Фото")</f>
      </c>
    </row>
    <row r="1399">
      <c r="A1399" s="7">
        <f>HYPERLINK("http://www.lingerieopt.ru/item/10865-kolgotki-s-imitaciei-trusikov-i-chulok-v-setku-s-uzorom/","10865")</f>
      </c>
      <c r="B1399" s="8" t="s">
        <v>1393</v>
      </c>
      <c r="C1399" s="9">
        <v>1100</v>
      </c>
      <c r="D1399" s="0">
        <v>2</v>
      </c>
      <c r="E1399" s="10">
        <f>HYPERLINK("http://www.lingerieopt.ru/images/original/c77180c0-50b0-4d0d-a142-175be368a0b6.jpg","Фото")</f>
      </c>
    </row>
    <row r="1400">
      <c r="A1400" s="7">
        <f>HYPERLINK("http://www.lingerieopt.ru/item/10865-kolgotki-s-imitaciei-trusikov-i-chulok-v-setku-s-uzorom/","10865")</f>
      </c>
      <c r="B1400" s="8" t="s">
        <v>1394</v>
      </c>
      <c r="C1400" s="9">
        <v>1100</v>
      </c>
      <c r="D1400" s="0">
        <v>1</v>
      </c>
      <c r="E1400" s="10">
        <f>HYPERLINK("http://www.lingerieopt.ru/images/original/c77180c0-50b0-4d0d-a142-175be368a0b6.jpg","Фото")</f>
      </c>
    </row>
    <row r="1401">
      <c r="A1401" s="7">
        <f>HYPERLINK("http://www.lingerieopt.ru/item/10865-kolgotki-s-imitaciei-trusikov-i-chulok-v-setku-s-uzorom/","10865")</f>
      </c>
      <c r="B1401" s="8" t="s">
        <v>1395</v>
      </c>
      <c r="C1401" s="9">
        <v>1100</v>
      </c>
      <c r="D1401" s="0">
        <v>10</v>
      </c>
      <c r="E1401" s="10">
        <f>HYPERLINK("http://www.lingerieopt.ru/images/original/c77180c0-50b0-4d0d-a142-175be368a0b6.jpg","Фото")</f>
      </c>
    </row>
    <row r="1402">
      <c r="A1402" s="7">
        <f>HYPERLINK("http://www.lingerieopt.ru/item/10866-fantaziinje-kolgotki-s-dostupom-i-imitaciei-trusikov/","10866")</f>
      </c>
      <c r="B1402" s="8" t="s">
        <v>1396</v>
      </c>
      <c r="C1402" s="9">
        <v>546</v>
      </c>
      <c r="D1402" s="0">
        <v>0</v>
      </c>
      <c r="E1402" s="10">
        <f>HYPERLINK("http://www.lingerieopt.ru/images/original/10258426-717b-4f02-be51-4109cf1eb755.jpg","Фото")</f>
      </c>
    </row>
    <row r="1403">
      <c r="A1403" s="7">
        <f>HYPERLINK("http://www.lingerieopt.ru/item/10866-fantaziinje-kolgotki-s-dostupom-i-imitaciei-trusikov/","10866")</f>
      </c>
      <c r="B1403" s="8" t="s">
        <v>1397</v>
      </c>
      <c r="C1403" s="9">
        <v>546</v>
      </c>
      <c r="D1403" s="0">
        <v>13</v>
      </c>
      <c r="E1403" s="10">
        <f>HYPERLINK("http://www.lingerieopt.ru/images/original/10258426-717b-4f02-be51-4109cf1eb755.jpg","Фото")</f>
      </c>
    </row>
    <row r="1404">
      <c r="A1404" s="7">
        <f>HYPERLINK("http://www.lingerieopt.ru/item/10866-fantaziinje-kolgotki-s-dostupom-i-imitaciei-trusikov/","10866")</f>
      </c>
      <c r="B1404" s="8" t="s">
        <v>1398</v>
      </c>
      <c r="C1404" s="9">
        <v>546</v>
      </c>
      <c r="D1404" s="0">
        <v>10</v>
      </c>
      <c r="E1404" s="10">
        <f>HYPERLINK("http://www.lingerieopt.ru/images/original/10258426-717b-4f02-be51-4109cf1eb755.jpg","Фото")</f>
      </c>
    </row>
    <row r="1405">
      <c r="A1405" s="7">
        <f>HYPERLINK("http://www.lingerieopt.ru/item/10867-kolgotki-s-vjrezami-na-bedrah-i-zigzagami/","10867")</f>
      </c>
      <c r="B1405" s="8" t="s">
        <v>1399</v>
      </c>
      <c r="C1405" s="9">
        <v>546</v>
      </c>
      <c r="D1405" s="0">
        <v>10</v>
      </c>
      <c r="E1405" s="10">
        <f>HYPERLINK("http://www.lingerieopt.ru/images/original/5c36b9d3-b482-44d0-a2e1-8e3d9023c3aa.jpg","Фото")</f>
      </c>
    </row>
    <row r="1406">
      <c r="A1406" s="7">
        <f>HYPERLINK("http://www.lingerieopt.ru/item/10867-kolgotki-s-vjrezami-na-bedrah-i-zigzagami/","10867")</f>
      </c>
      <c r="B1406" s="8" t="s">
        <v>1400</v>
      </c>
      <c r="C1406" s="9">
        <v>546</v>
      </c>
      <c r="D1406" s="0">
        <v>10</v>
      </c>
      <c r="E1406" s="10">
        <f>HYPERLINK("http://www.lingerieopt.ru/images/original/5c36b9d3-b482-44d0-a2e1-8e3d9023c3aa.jpg","Фото")</f>
      </c>
    </row>
    <row r="1407">
      <c r="A1407" s="7">
        <f>HYPERLINK("http://www.lingerieopt.ru/item/10867-kolgotki-s-vjrezami-na-bedrah-i-zigzagami/","10867")</f>
      </c>
      <c r="B1407" s="8" t="s">
        <v>1401</v>
      </c>
      <c r="C1407" s="9">
        <v>546</v>
      </c>
      <c r="D1407" s="0">
        <v>5</v>
      </c>
      <c r="E1407" s="10">
        <f>HYPERLINK("http://www.lingerieopt.ru/images/original/5c36b9d3-b482-44d0-a2e1-8e3d9023c3aa.jpg","Фото")</f>
      </c>
    </row>
    <row r="1408">
      <c r="A1408" s="7">
        <f>HYPERLINK("http://www.lingerieopt.ru/item/10868-kolgotki-s-uzorom-v-vide-vetochek-i-intimnjm-dostupom/","10868")</f>
      </c>
      <c r="B1408" s="8" t="s">
        <v>1402</v>
      </c>
      <c r="C1408" s="9">
        <v>546</v>
      </c>
      <c r="D1408" s="0">
        <v>3</v>
      </c>
      <c r="E1408" s="10">
        <f>HYPERLINK("http://www.lingerieopt.ru/images/original/55261620-f300-4196-9194-130f031a97da.jpg","Фото")</f>
      </c>
    </row>
    <row r="1409">
      <c r="A1409" s="7">
        <f>HYPERLINK("http://www.lingerieopt.ru/item/10868-kolgotki-s-uzorom-v-vide-vetochek-i-intimnjm-dostupom/","10868")</f>
      </c>
      <c r="B1409" s="8" t="s">
        <v>1403</v>
      </c>
      <c r="C1409" s="9">
        <v>546</v>
      </c>
      <c r="D1409" s="0">
        <v>13</v>
      </c>
      <c r="E1409" s="10">
        <f>HYPERLINK("http://www.lingerieopt.ru/images/original/55261620-f300-4196-9194-130f031a97da.jpg","Фото")</f>
      </c>
    </row>
    <row r="1410">
      <c r="A1410" s="7">
        <f>HYPERLINK("http://www.lingerieopt.ru/item/10868-kolgotki-s-uzorom-v-vide-vetochek-i-intimnjm-dostupom/","10868")</f>
      </c>
      <c r="B1410" s="8" t="s">
        <v>1404</v>
      </c>
      <c r="C1410" s="9">
        <v>546</v>
      </c>
      <c r="D1410" s="0">
        <v>6</v>
      </c>
      <c r="E1410" s="10">
        <f>HYPERLINK("http://www.lingerieopt.ru/images/original/55261620-f300-4196-9194-130f031a97da.jpg","Фото")</f>
      </c>
    </row>
    <row r="1411">
      <c r="A1411" s="7">
        <f>HYPERLINK("http://www.lingerieopt.ru/item/10974-neilonovje-kolgotj-plus-size-so-strelochkami-szadi/","10974")</f>
      </c>
      <c r="B1411" s="8" t="s">
        <v>1405</v>
      </c>
      <c r="C1411" s="9">
        <v>245</v>
      </c>
      <c r="D1411" s="0">
        <v>71</v>
      </c>
      <c r="E1411" s="10">
        <f>HYPERLINK("http://www.lingerieopt.ru/images/original/f7bfc170-fd7f-4eec-9dc0-908dbd69ba00.jpg","Фото")</f>
      </c>
    </row>
    <row r="1412">
      <c r="A1412" s="7">
        <f>HYPERLINK("http://www.lingerieopt.ru/item/10991-kolgotj-v-krupnuyu-setku-diamond/","10991")</f>
      </c>
      <c r="B1412" s="8" t="s">
        <v>1406</v>
      </c>
      <c r="C1412" s="9">
        <v>297</v>
      </c>
      <c r="D1412" s="0">
        <v>38</v>
      </c>
      <c r="E1412" s="10">
        <f>HYPERLINK("http://www.lingerieopt.ru/images/original/97612cb7-8eaf-4e33-8a92-40255ca2fddd.jpg","Фото")</f>
      </c>
    </row>
    <row r="1413">
      <c r="A1413" s="7">
        <f>HYPERLINK("http://www.lingerieopt.ru/item/11296-fantaziinje-kolgotj-s-dostupom-i-cvetochnjm-uzorom/","11296")</f>
      </c>
      <c r="B1413" s="8" t="s">
        <v>1407</v>
      </c>
      <c r="C1413" s="9">
        <v>546</v>
      </c>
      <c r="D1413" s="0">
        <v>6</v>
      </c>
      <c r="E1413" s="10">
        <f>HYPERLINK("http://www.lingerieopt.ru/images/original/ca965c42-071f-496c-87af-f85c969732c1.jpg","Фото")</f>
      </c>
    </row>
    <row r="1414">
      <c r="A1414" s="7">
        <f>HYPERLINK("http://www.lingerieopt.ru/item/11296-fantaziinje-kolgotj-s-dostupom-i-cvetochnjm-uzorom/","11296")</f>
      </c>
      <c r="B1414" s="8" t="s">
        <v>1408</v>
      </c>
      <c r="C1414" s="9">
        <v>546</v>
      </c>
      <c r="D1414" s="0">
        <v>2</v>
      </c>
      <c r="E1414" s="10">
        <f>HYPERLINK("http://www.lingerieopt.ru/images/original/ca965c42-071f-496c-87af-f85c969732c1.jpg","Фото")</f>
      </c>
    </row>
    <row r="1415">
      <c r="A1415" s="7">
        <f>HYPERLINK("http://www.lingerieopt.ru/item/11296-fantaziinje-kolgotj-s-dostupom-i-cvetochnjm-uzorom/","11296")</f>
      </c>
      <c r="B1415" s="8" t="s">
        <v>1409</v>
      </c>
      <c r="C1415" s="9">
        <v>546</v>
      </c>
      <c r="D1415" s="0">
        <v>0</v>
      </c>
      <c r="E1415" s="10">
        <f>HYPERLINK("http://www.lingerieopt.ru/images/original/ca965c42-071f-496c-87af-f85c969732c1.jpg","Фото")</f>
      </c>
    </row>
    <row r="1416">
      <c r="A1416" s="7">
        <f>HYPERLINK("http://www.lingerieopt.ru/item/11297-soblaznitelnje-kolgotj-iz-setki-v-polosku/","11297")</f>
      </c>
      <c r="B1416" s="8" t="s">
        <v>1410</v>
      </c>
      <c r="C1416" s="9">
        <v>546</v>
      </c>
      <c r="D1416" s="0">
        <v>0</v>
      </c>
      <c r="E1416" s="10">
        <f>HYPERLINK("http://www.lingerieopt.ru/images/original/9638f773-7f30-47a9-b444-4f09b8636b2a.jpg","Фото")</f>
      </c>
    </row>
    <row r="1417">
      <c r="A1417" s="7">
        <f>HYPERLINK("http://www.lingerieopt.ru/item/11297-soblaznitelnje-kolgotj-iz-setki-v-polosku/","11297")</f>
      </c>
      <c r="B1417" s="8" t="s">
        <v>1411</v>
      </c>
      <c r="C1417" s="9">
        <v>546</v>
      </c>
      <c r="D1417" s="0">
        <v>6</v>
      </c>
      <c r="E1417" s="10">
        <f>HYPERLINK("http://www.lingerieopt.ru/images/original/9638f773-7f30-47a9-b444-4f09b8636b2a.jpg","Фото")</f>
      </c>
    </row>
    <row r="1418">
      <c r="A1418" s="7">
        <f>HYPERLINK("http://www.lingerieopt.ru/item/11297-soblaznitelnje-kolgotj-iz-setki-v-polosku/","11297")</f>
      </c>
      <c r="B1418" s="8" t="s">
        <v>1412</v>
      </c>
      <c r="C1418" s="9">
        <v>546</v>
      </c>
      <c r="D1418" s="0">
        <v>8</v>
      </c>
      <c r="E1418" s="10">
        <f>HYPERLINK("http://www.lingerieopt.ru/images/original/9638f773-7f30-47a9-b444-4f09b8636b2a.jpg","Фото")</f>
      </c>
    </row>
    <row r="1419">
      <c r="A1419" s="7">
        <f>HYPERLINK("http://www.lingerieopt.ru/item/11298-kolgotki-v-setku-s-imitaciei-trusikov-i-dostupom/","11298")</f>
      </c>
      <c r="B1419" s="8" t="s">
        <v>1413</v>
      </c>
      <c r="C1419" s="9">
        <v>546</v>
      </c>
      <c r="D1419" s="0">
        <v>5</v>
      </c>
      <c r="E1419" s="10">
        <f>HYPERLINK("http://www.lingerieopt.ru/images/original/5cbb9848-0c44-4c37-869b-a471d2b67df8.jpg","Фото")</f>
      </c>
    </row>
    <row r="1420">
      <c r="A1420" s="7">
        <f>HYPERLINK("http://www.lingerieopt.ru/item/11298-kolgotki-v-setku-s-imitaciei-trusikov-i-dostupom/","11298")</f>
      </c>
      <c r="B1420" s="8" t="s">
        <v>1414</v>
      </c>
      <c r="C1420" s="9">
        <v>546</v>
      </c>
      <c r="D1420" s="0">
        <v>1</v>
      </c>
      <c r="E1420" s="10">
        <f>HYPERLINK("http://www.lingerieopt.ru/images/original/5cbb9848-0c44-4c37-869b-a471d2b67df8.jpg","Фото")</f>
      </c>
    </row>
    <row r="1421">
      <c r="A1421" s="7">
        <f>HYPERLINK("http://www.lingerieopt.ru/item/11298-kolgotki-v-setku-s-imitaciei-trusikov-i-dostupom/","11298")</f>
      </c>
      <c r="B1421" s="8" t="s">
        <v>1415</v>
      </c>
      <c r="C1421" s="9">
        <v>546</v>
      </c>
      <c r="D1421" s="0">
        <v>5</v>
      </c>
      <c r="E1421" s="10">
        <f>HYPERLINK("http://www.lingerieopt.ru/images/original/5cbb9848-0c44-4c37-869b-a471d2b67df8.jpg","Фото")</f>
      </c>
    </row>
    <row r="1422">
      <c r="A1422" s="7">
        <f>HYPERLINK("http://www.lingerieopt.ru/item/11299-kolgotj-s-dostupom-i-figurnjmi-uzorami-v-verhnei-chasti/","11299")</f>
      </c>
      <c r="B1422" s="8" t="s">
        <v>1416</v>
      </c>
      <c r="C1422" s="9">
        <v>546</v>
      </c>
      <c r="D1422" s="0">
        <v>4</v>
      </c>
      <c r="E1422" s="10">
        <f>HYPERLINK("http://www.lingerieopt.ru/images/original/37cdebaa-a813-442d-ac0e-a0a1ed8f1f08.jpg","Фото")</f>
      </c>
    </row>
    <row r="1423">
      <c r="A1423" s="7">
        <f>HYPERLINK("http://www.lingerieopt.ru/item/11299-kolgotj-s-dostupom-i-figurnjmi-uzorami-v-verhnei-chasti/","11299")</f>
      </c>
      <c r="B1423" s="8" t="s">
        <v>1417</v>
      </c>
      <c r="C1423" s="9">
        <v>546</v>
      </c>
      <c r="D1423" s="0">
        <v>0</v>
      </c>
      <c r="E1423" s="10">
        <f>HYPERLINK("http://www.lingerieopt.ru/images/original/37cdebaa-a813-442d-ac0e-a0a1ed8f1f08.jpg","Фото")</f>
      </c>
    </row>
    <row r="1424">
      <c r="A1424" s="7">
        <f>HYPERLINK("http://www.lingerieopt.ru/item/11299-kolgotj-s-dostupom-i-figurnjmi-uzorami-v-verhnei-chasti/","11299")</f>
      </c>
      <c r="B1424" s="8" t="s">
        <v>1418</v>
      </c>
      <c r="C1424" s="9">
        <v>546</v>
      </c>
      <c r="D1424" s="0">
        <v>9</v>
      </c>
      <c r="E1424" s="10">
        <f>HYPERLINK("http://www.lingerieopt.ru/images/original/37cdebaa-a813-442d-ac0e-a0a1ed8f1f08.jpg","Фото")</f>
      </c>
    </row>
    <row r="1425">
      <c r="A1425" s="7">
        <f>HYPERLINK("http://www.lingerieopt.ru/item/11363-plotnje-kolgotki-s-nachesom-arctic-500-den/","11363")</f>
      </c>
      <c r="B1425" s="8" t="s">
        <v>1419</v>
      </c>
      <c r="C1425" s="9">
        <v>381</v>
      </c>
      <c r="D1425" s="0">
        <v>3</v>
      </c>
      <c r="E1425" s="10">
        <f>HYPERLINK("http://www.lingerieopt.ru/images/original/9f4ab09e-0a14-46af-a759-cd15b20f766d.jpg","Фото")</f>
      </c>
    </row>
    <row r="1426">
      <c r="A1426" s="7">
        <f>HYPERLINK("http://www.lingerieopt.ru/item/11363-plotnje-kolgotki-s-nachesom-arctic-500-den/","11363")</f>
      </c>
      <c r="B1426" s="8" t="s">
        <v>1420</v>
      </c>
      <c r="C1426" s="9">
        <v>381</v>
      </c>
      <c r="D1426" s="0">
        <v>9</v>
      </c>
      <c r="E1426" s="10">
        <f>HYPERLINK("http://www.lingerieopt.ru/images/original/9f4ab09e-0a14-46af-a759-cd15b20f766d.jpg","Фото")</f>
      </c>
    </row>
    <row r="1427">
      <c r="A1427" s="7">
        <f>HYPERLINK("http://www.lingerieopt.ru/item/11363-plotnje-kolgotki-s-nachesom-arctic-500-den/","11363")</f>
      </c>
      <c r="B1427" s="8" t="s">
        <v>1421</v>
      </c>
      <c r="C1427" s="9">
        <v>381</v>
      </c>
      <c r="D1427" s="0">
        <v>5</v>
      </c>
      <c r="E1427" s="10">
        <f>HYPERLINK("http://www.lingerieopt.ru/images/original/9f4ab09e-0a14-46af-a759-cd15b20f766d.jpg","Фото")</f>
      </c>
    </row>
    <row r="1428">
      <c r="A1428" s="7">
        <f>HYPERLINK("http://www.lingerieopt.ru/item/11366-utyagivayuschie-kolgotki-comfort-matt-20-den/","11366")</f>
      </c>
      <c r="B1428" s="8" t="s">
        <v>1422</v>
      </c>
      <c r="C1428" s="9">
        <v>432</v>
      </c>
      <c r="D1428" s="0">
        <v>76</v>
      </c>
      <c r="E1428" s="10">
        <f>HYPERLINK("http://www.lingerieopt.ru/images/original/bfebd447-02d8-440b-ae5a-320fcc38d935.jpg","Фото")</f>
      </c>
    </row>
    <row r="1429">
      <c r="A1429" s="7">
        <f>HYPERLINK("http://www.lingerieopt.ru/item/11366-utyagivayuschie-kolgotki-comfort-matt-20-den/","11366")</f>
      </c>
      <c r="B1429" s="8" t="s">
        <v>1423</v>
      </c>
      <c r="C1429" s="9">
        <v>432</v>
      </c>
      <c r="D1429" s="0">
        <v>73</v>
      </c>
      <c r="E1429" s="10">
        <f>HYPERLINK("http://www.lingerieopt.ru/images/original/bfebd447-02d8-440b-ae5a-320fcc38d935.jpg","Фото")</f>
      </c>
    </row>
    <row r="1430">
      <c r="A1430" s="7">
        <f>HYPERLINK("http://www.lingerieopt.ru/item/11366-utyagivayuschie-kolgotki-comfort-matt-20-den/","11366")</f>
      </c>
      <c r="B1430" s="8" t="s">
        <v>1424</v>
      </c>
      <c r="C1430" s="9">
        <v>432</v>
      </c>
      <c r="D1430" s="0">
        <v>72</v>
      </c>
      <c r="E1430" s="10">
        <f>HYPERLINK("http://www.lingerieopt.ru/images/original/bfebd447-02d8-440b-ae5a-320fcc38d935.jpg","Фото")</f>
      </c>
    </row>
    <row r="1431">
      <c r="A1431" s="7">
        <f>HYPERLINK("http://www.lingerieopt.ru/item/11366-utyagivayuschie-kolgotki-comfort-matt-20-den/","11366")</f>
      </c>
      <c r="B1431" s="8" t="s">
        <v>1425</v>
      </c>
      <c r="C1431" s="9">
        <v>432</v>
      </c>
      <c r="D1431" s="0">
        <v>78</v>
      </c>
      <c r="E1431" s="10">
        <f>HYPERLINK("http://www.lingerieopt.ru/images/original/bfebd447-02d8-440b-ae5a-320fcc38d935.jpg","Фото")</f>
      </c>
    </row>
    <row r="1432">
      <c r="A1432" s="7">
        <f>HYPERLINK("http://www.lingerieopt.ru/item/11367-utyagivayuschie-i-korrektiruyuschie-siluet-kolgotki-medica-push-up-100-den/","11367")</f>
      </c>
      <c r="B1432" s="8" t="s">
        <v>1426</v>
      </c>
      <c r="C1432" s="9">
        <v>381</v>
      </c>
      <c r="D1432" s="0">
        <v>27</v>
      </c>
      <c r="E1432" s="10">
        <f>HYPERLINK("http://www.lingerieopt.ru/images/original/5166e6a5-43d6-40e3-a383-e819fdf2cd0d.jpg","Фото")</f>
      </c>
    </row>
    <row r="1433">
      <c r="A1433" s="7">
        <f>HYPERLINK("http://www.lingerieopt.ru/item/11367-utyagivayuschie-i-korrektiruyuschie-siluet-kolgotki-medica-push-up-100-den/","11367")</f>
      </c>
      <c r="B1433" s="8" t="s">
        <v>1427</v>
      </c>
      <c r="C1433" s="9">
        <v>381</v>
      </c>
      <c r="D1433" s="0">
        <v>11</v>
      </c>
      <c r="E1433" s="10">
        <f>HYPERLINK("http://www.lingerieopt.ru/images/original/5166e6a5-43d6-40e3-a383-e819fdf2cd0d.jpg","Фото")</f>
      </c>
    </row>
    <row r="1434">
      <c r="A1434" s="7">
        <f>HYPERLINK("http://www.lingerieopt.ru/item/11367-utyagivayuschie-i-korrektiruyuschie-siluet-kolgotki-medica-push-up-100-den/","11367")</f>
      </c>
      <c r="B1434" s="8" t="s">
        <v>1428</v>
      </c>
      <c r="C1434" s="9">
        <v>381</v>
      </c>
      <c r="D1434" s="0">
        <v>16</v>
      </c>
      <c r="E1434" s="10">
        <f>HYPERLINK("http://www.lingerieopt.ru/images/original/5166e6a5-43d6-40e3-a383-e819fdf2cd0d.jpg","Фото")</f>
      </c>
    </row>
    <row r="1435">
      <c r="A1435" s="7">
        <f>HYPERLINK("http://www.lingerieopt.ru/item/11368-kolgotki-dlya-beremennjh-mamma-100-den/","11368")</f>
      </c>
      <c r="B1435" s="8" t="s">
        <v>1429</v>
      </c>
      <c r="C1435" s="9">
        <v>305</v>
      </c>
      <c r="D1435" s="0">
        <v>29</v>
      </c>
      <c r="E1435" s="10">
        <f>HYPERLINK("http://www.lingerieopt.ru/images/original/7e179d45-d5e4-4a68-8b1e-99ee85ba77a3.jpg","Фото")</f>
      </c>
    </row>
    <row r="1436">
      <c r="A1436" s="7">
        <f>HYPERLINK("http://www.lingerieopt.ru/item/11368-kolgotki-dlya-beremennjh-mamma-100-den/","11368")</f>
      </c>
      <c r="B1436" s="8" t="s">
        <v>1430</v>
      </c>
      <c r="C1436" s="9">
        <v>305</v>
      </c>
      <c r="D1436" s="0">
        <v>16</v>
      </c>
      <c r="E1436" s="10">
        <f>HYPERLINK("http://www.lingerieopt.ru/images/original/7e179d45-d5e4-4a68-8b1e-99ee85ba77a3.jpg","Фото")</f>
      </c>
    </row>
    <row r="1437">
      <c r="A1437" s="7">
        <f>HYPERLINK("http://www.lingerieopt.ru/item/11368-kolgotki-dlya-beremennjh-mamma-100-den/","11368")</f>
      </c>
      <c r="B1437" s="8" t="s">
        <v>1431</v>
      </c>
      <c r="C1437" s="9">
        <v>305</v>
      </c>
      <c r="D1437" s="0">
        <v>31</v>
      </c>
      <c r="E1437" s="10">
        <f>HYPERLINK("http://www.lingerieopt.ru/images/original/7e179d45-d5e4-4a68-8b1e-99ee85ba77a3.jpg","Фото")</f>
      </c>
    </row>
    <row r="1438">
      <c r="A1438" s="7">
        <f>HYPERLINK("http://www.lingerieopt.ru/item/11370-fantaziinje-kolgotki-megan-s-rombovidnjm-uzorom/","11370")</f>
      </c>
      <c r="B1438" s="8" t="s">
        <v>1432</v>
      </c>
      <c r="C1438" s="9">
        <v>381</v>
      </c>
      <c r="D1438" s="0">
        <v>8</v>
      </c>
      <c r="E1438" s="10">
        <f>HYPERLINK("http://www.lingerieopt.ru/images/original/8780c49f-5d4f-4f84-b8d4-6f3a35db3d7b.jpg","Фото")</f>
      </c>
    </row>
    <row r="1439">
      <c r="A1439" s="7">
        <f>HYPERLINK("http://www.lingerieopt.ru/item/11370-fantaziinje-kolgotki-megan-s-rombovidnjm-uzorom/","11370")</f>
      </c>
      <c r="B1439" s="8" t="s">
        <v>1433</v>
      </c>
      <c r="C1439" s="9">
        <v>381</v>
      </c>
      <c r="D1439" s="0">
        <v>13</v>
      </c>
      <c r="E1439" s="10">
        <f>HYPERLINK("http://www.lingerieopt.ru/images/original/8780c49f-5d4f-4f84-b8d4-6f3a35db3d7b.jpg","Фото")</f>
      </c>
    </row>
    <row r="1440">
      <c r="A1440" s="7">
        <f>HYPERLINK("http://www.lingerieopt.ru/item/11370-fantaziinje-kolgotki-megan-s-rombovidnjm-uzorom/","11370")</f>
      </c>
      <c r="B1440" s="8" t="s">
        <v>1434</v>
      </c>
      <c r="C1440" s="9">
        <v>381</v>
      </c>
      <c r="D1440" s="0">
        <v>15</v>
      </c>
      <c r="E1440" s="10">
        <f>HYPERLINK("http://www.lingerieopt.ru/images/original/8780c49f-5d4f-4f84-b8d4-6f3a35db3d7b.jpg","Фото")</f>
      </c>
    </row>
    <row r="1441">
      <c r="A1441" s="7">
        <f>HYPERLINK("http://www.lingerieopt.ru/item/11371-fantaziinje-kolgotki-fiona-s-krupnjm-cvetochnjm-uzorom/","11371")</f>
      </c>
      <c r="B1441" s="8" t="s">
        <v>1435</v>
      </c>
      <c r="C1441" s="9">
        <v>470</v>
      </c>
      <c r="D1441" s="0">
        <v>17</v>
      </c>
      <c r="E1441" s="10">
        <f>HYPERLINK("http://www.lingerieopt.ru/images/original/ebcb29ea-a4e0-4d43-8740-d92201a7a383.jpg","Фото")</f>
      </c>
    </row>
    <row r="1442">
      <c r="A1442" s="7">
        <f>HYPERLINK("http://www.lingerieopt.ru/item/11371-fantaziinje-kolgotki-fiona-s-krupnjm-cvetochnjm-uzorom/","11371")</f>
      </c>
      <c r="B1442" s="8" t="s">
        <v>1436</v>
      </c>
      <c r="C1442" s="9">
        <v>470</v>
      </c>
      <c r="D1442" s="0">
        <v>18</v>
      </c>
      <c r="E1442" s="10">
        <f>HYPERLINK("http://www.lingerieopt.ru/images/original/ebcb29ea-a4e0-4d43-8740-d92201a7a383.jpg","Фото")</f>
      </c>
    </row>
    <row r="1443">
      <c r="A1443" s="7">
        <f>HYPERLINK("http://www.lingerieopt.ru/item/11371-fantaziinje-kolgotki-fiona-s-krupnjm-cvetochnjm-uzorom/","11371")</f>
      </c>
      <c r="B1443" s="8" t="s">
        <v>1437</v>
      </c>
      <c r="C1443" s="9">
        <v>470</v>
      </c>
      <c r="D1443" s="0">
        <v>18</v>
      </c>
      <c r="E1443" s="10">
        <f>HYPERLINK("http://www.lingerieopt.ru/images/original/ebcb29ea-a4e0-4d43-8740-d92201a7a383.jpg","Фото")</f>
      </c>
    </row>
    <row r="1444">
      <c r="A1444" s="7">
        <f>HYPERLINK("http://www.lingerieopt.ru/item/11372-fantaziinje-kolgotki-tavia-s-printom-elochka/","11372")</f>
      </c>
      <c r="B1444" s="8" t="s">
        <v>1438</v>
      </c>
      <c r="C1444" s="9">
        <v>495</v>
      </c>
      <c r="D1444" s="0">
        <v>13</v>
      </c>
      <c r="E1444" s="10">
        <f>HYPERLINK("http://www.lingerieopt.ru/images/original/731e8149-08df-4295-bad8-1aaeda19e17c.jpg","Фото")</f>
      </c>
    </row>
    <row r="1445">
      <c r="A1445" s="7">
        <f>HYPERLINK("http://www.lingerieopt.ru/item/11372-fantaziinje-kolgotki-tavia-s-printom-elochka/","11372")</f>
      </c>
      <c r="B1445" s="8" t="s">
        <v>1439</v>
      </c>
      <c r="C1445" s="9">
        <v>495</v>
      </c>
      <c r="D1445" s="0">
        <v>13</v>
      </c>
      <c r="E1445" s="10">
        <f>HYPERLINK("http://www.lingerieopt.ru/images/original/731e8149-08df-4295-bad8-1aaeda19e17c.jpg","Фото")</f>
      </c>
    </row>
    <row r="1446">
      <c r="A1446" s="7">
        <f>HYPERLINK("http://www.lingerieopt.ru/item/11372-fantaziinje-kolgotki-tavia-s-printom-elochka/","11372")</f>
      </c>
      <c r="B1446" s="8" t="s">
        <v>1440</v>
      </c>
      <c r="C1446" s="9">
        <v>495</v>
      </c>
      <c r="D1446" s="0">
        <v>10</v>
      </c>
      <c r="E1446" s="10">
        <f>HYPERLINK("http://www.lingerieopt.ru/images/original/731e8149-08df-4295-bad8-1aaeda19e17c.jpg","Фото")</f>
      </c>
    </row>
    <row r="1447">
      <c r="A1447" s="7">
        <f>HYPERLINK("http://www.lingerieopt.ru/item/11373-fantaziinje-kolgotki-ellen-s-venzelyami-i-tochkami/","11373")</f>
      </c>
      <c r="B1447" s="8" t="s">
        <v>1441</v>
      </c>
      <c r="C1447" s="9">
        <v>432</v>
      </c>
      <c r="D1447" s="0">
        <v>17</v>
      </c>
      <c r="E1447" s="10">
        <f>HYPERLINK("http://www.lingerieopt.ru/images/original/f1102092-ac26-4253-abb8-61da5d268a7d.jpg","Фото")</f>
      </c>
    </row>
    <row r="1448">
      <c r="A1448" s="7">
        <f>HYPERLINK("http://www.lingerieopt.ru/item/11373-fantaziinje-kolgotki-ellen-s-venzelyami-i-tochkami/","11373")</f>
      </c>
      <c r="B1448" s="8" t="s">
        <v>1442</v>
      </c>
      <c r="C1448" s="9">
        <v>432</v>
      </c>
      <c r="D1448" s="0">
        <v>17</v>
      </c>
      <c r="E1448" s="10">
        <f>HYPERLINK("http://www.lingerieopt.ru/images/original/f1102092-ac26-4253-abb8-61da5d268a7d.jpg","Фото")</f>
      </c>
    </row>
    <row r="1449">
      <c r="A1449" s="7">
        <f>HYPERLINK("http://www.lingerieopt.ru/item/11373-fantaziinje-kolgotki-ellen-s-venzelyami-i-tochkami/","11373")</f>
      </c>
      <c r="B1449" s="8" t="s">
        <v>1443</v>
      </c>
      <c r="C1449" s="9">
        <v>432</v>
      </c>
      <c r="D1449" s="0">
        <v>16</v>
      </c>
      <c r="E1449" s="10">
        <f>HYPERLINK("http://www.lingerieopt.ru/images/original/f1102092-ac26-4253-abb8-61da5d268a7d.jpg","Фото")</f>
      </c>
    </row>
    <row r="1450">
      <c r="A1450" s="7">
        <f>HYPERLINK("http://www.lingerieopt.ru/item/11374-fantaziinje-kolgotki-cheryl-s-imitaciei-chulok/","11374")</f>
      </c>
      <c r="B1450" s="8" t="s">
        <v>1444</v>
      </c>
      <c r="C1450" s="9">
        <v>444</v>
      </c>
      <c r="D1450" s="0">
        <v>4</v>
      </c>
      <c r="E1450" s="10">
        <f>HYPERLINK("http://www.lingerieopt.ru/images/original/76f367e1-50df-4d61-9c81-38da2ac0e244.jpg","Фото")</f>
      </c>
    </row>
    <row r="1451">
      <c r="A1451" s="7">
        <f>HYPERLINK("http://www.lingerieopt.ru/item/11374-fantaziinje-kolgotki-cheryl-s-imitaciei-chulok/","11374")</f>
      </c>
      <c r="B1451" s="8" t="s">
        <v>1445</v>
      </c>
      <c r="C1451" s="9">
        <v>444</v>
      </c>
      <c r="D1451" s="0">
        <v>2</v>
      </c>
      <c r="E1451" s="10">
        <f>HYPERLINK("http://www.lingerieopt.ru/images/original/76f367e1-50df-4d61-9c81-38da2ac0e244.jpg","Фото")</f>
      </c>
    </row>
    <row r="1452">
      <c r="A1452" s="7">
        <f>HYPERLINK("http://www.lingerieopt.ru/item/11374-fantaziinje-kolgotki-cheryl-s-imitaciei-chulok/","11374")</f>
      </c>
      <c r="B1452" s="8" t="s">
        <v>1446</v>
      </c>
      <c r="C1452" s="9">
        <v>444</v>
      </c>
      <c r="D1452" s="0">
        <v>13</v>
      </c>
      <c r="E1452" s="10">
        <f>HYPERLINK("http://www.lingerieopt.ru/images/original/76f367e1-50df-4d61-9c81-38da2ac0e244.jpg","Фото")</f>
      </c>
    </row>
    <row r="1453">
      <c r="A1453" s="5"/>
      <c r="B1453" s="6" t="s">
        <v>1447</v>
      </c>
      <c r="C1453" s="5"/>
      <c r="D1453" s="5"/>
      <c r="E1453" s="5"/>
    </row>
    <row r="1454">
      <c r="A1454" s="7">
        <f>HYPERLINK("http://www.lingerieopt.ru/item/267-komplekt-v-krapinku-s-kontrasnjm-kruzhevom/","267")</f>
      </c>
      <c r="B1454" s="8" t="s">
        <v>1448</v>
      </c>
      <c r="C1454" s="9">
        <v>713</v>
      </c>
      <c r="D1454" s="0">
        <v>15</v>
      </c>
      <c r="E1454" s="10">
        <f>HYPERLINK("http://www.lingerieopt.ru/images/original/84f319d9-cedc-48e2-8467-32c0f33c0959.jpg","Фото")</f>
      </c>
    </row>
    <row r="1455">
      <c r="A1455" s="7">
        <f>HYPERLINK("http://www.lingerieopt.ru/item/298-komplekt-zazhigatelnje-tancj/","298")</f>
      </c>
      <c r="B1455" s="8" t="s">
        <v>1449</v>
      </c>
      <c r="C1455" s="9">
        <v>254</v>
      </c>
      <c r="D1455" s="0">
        <v>18</v>
      </c>
      <c r="E1455" s="10">
        <f>HYPERLINK("http://www.lingerieopt.ru/images/original/3c3cb186-a31b-484a-8509-7c668af22197.jpg","Фото")</f>
      </c>
    </row>
    <row r="1456">
      <c r="A1456" s="7">
        <f>HYPERLINK("http://www.lingerieopt.ru/item/298-komplekt-zazhigatelnje-tancj/","298")</f>
      </c>
      <c r="B1456" s="8" t="s">
        <v>1450</v>
      </c>
      <c r="C1456" s="9">
        <v>254</v>
      </c>
      <c r="D1456" s="0">
        <v>0</v>
      </c>
      <c r="E1456" s="10">
        <f>HYPERLINK("http://www.lingerieopt.ru/images/original/3c3cb186-a31b-484a-8509-7c668af22197.jpg","Фото")</f>
      </c>
    </row>
    <row r="1457">
      <c r="A1457" s="7">
        <f>HYPERLINK("http://www.lingerieopt.ru/item/298-komplekt-zazhigatelnje-tancj/","298")</f>
      </c>
      <c r="B1457" s="8" t="s">
        <v>1451</v>
      </c>
      <c r="C1457" s="9">
        <v>254</v>
      </c>
      <c r="D1457" s="0">
        <v>4</v>
      </c>
      <c r="E1457" s="10">
        <f>HYPERLINK("http://www.lingerieopt.ru/images/original/3c3cb186-a31b-484a-8509-7c668af22197.jpg","Фото")</f>
      </c>
    </row>
    <row r="1458">
      <c r="A1458" s="7">
        <f>HYPERLINK("http://www.lingerieopt.ru/item/298-komplekt-zazhigatelnje-tancj/","298")</f>
      </c>
      <c r="B1458" s="8" t="s">
        <v>1452</v>
      </c>
      <c r="C1458" s="9">
        <v>254</v>
      </c>
      <c r="D1458" s="0">
        <v>0</v>
      </c>
      <c r="E1458" s="10">
        <f>HYPERLINK("http://www.lingerieopt.ru/images/original/3c3cb186-a31b-484a-8509-7c668af22197.jpg","Фото")</f>
      </c>
    </row>
    <row r="1459">
      <c r="A1459" s="7">
        <f>HYPERLINK("http://www.lingerieopt.ru/item/298-komplekt-zazhigatelnje-tancj/","298")</f>
      </c>
      <c r="B1459" s="8" t="s">
        <v>1453</v>
      </c>
      <c r="C1459" s="9">
        <v>254</v>
      </c>
      <c r="D1459" s="0">
        <v>0</v>
      </c>
      <c r="E1459" s="10">
        <f>HYPERLINK("http://www.lingerieopt.ru/images/original/3c3cb186-a31b-484a-8509-7c668af22197.jpg","Фото")</f>
      </c>
    </row>
    <row r="1460">
      <c r="A1460" s="7">
        <f>HYPERLINK("http://www.lingerieopt.ru/item/299-komplekt-dorogoi-tanec/","299")</f>
      </c>
      <c r="B1460" s="8" t="s">
        <v>1454</v>
      </c>
      <c r="C1460" s="9">
        <v>502</v>
      </c>
      <c r="D1460" s="0">
        <v>0</v>
      </c>
      <c r="E1460" s="10">
        <f>HYPERLINK("http://www.lingerieopt.ru/images/original/5d6d2999-1a68-464b-a1f4-5081396baf6e.jpg","Фото")</f>
      </c>
    </row>
    <row r="1461">
      <c r="A1461" s="7">
        <f>HYPERLINK("http://www.lingerieopt.ru/item/299-komplekt-dorogoi-tanec/","299")</f>
      </c>
      <c r="B1461" s="8" t="s">
        <v>1455</v>
      </c>
      <c r="C1461" s="9">
        <v>502</v>
      </c>
      <c r="D1461" s="0">
        <v>0</v>
      </c>
      <c r="E1461" s="10">
        <f>HYPERLINK("http://www.lingerieopt.ru/images/original/5d6d2999-1a68-464b-a1f4-5081396baf6e.jpg","Фото")</f>
      </c>
    </row>
    <row r="1462">
      <c r="A1462" s="7">
        <f>HYPERLINK("http://www.lingerieopt.ru/item/299-komplekt-dorogoi-tanec/","299")</f>
      </c>
      <c r="B1462" s="8" t="s">
        <v>1456</v>
      </c>
      <c r="C1462" s="9">
        <v>502</v>
      </c>
      <c r="D1462" s="0">
        <v>3</v>
      </c>
      <c r="E1462" s="10">
        <f>HYPERLINK("http://www.lingerieopt.ru/images/original/5d6d2999-1a68-464b-a1f4-5081396baf6e.jpg","Фото")</f>
      </c>
    </row>
    <row r="1463">
      <c r="A1463" s="7">
        <f>HYPERLINK("http://www.lingerieopt.ru/item/299-komplekt-dorogoi-tanec/","299")</f>
      </c>
      <c r="B1463" s="8" t="s">
        <v>1457</v>
      </c>
      <c r="C1463" s="9">
        <v>502</v>
      </c>
      <c r="D1463" s="0">
        <v>10</v>
      </c>
      <c r="E1463" s="10">
        <f>HYPERLINK("http://www.lingerieopt.ru/images/original/5d6d2999-1a68-464b-a1f4-5081396baf6e.jpg","Фото")</f>
      </c>
    </row>
    <row r="1464">
      <c r="A1464" s="7">
        <f>HYPERLINK("http://www.lingerieopt.ru/item/544-komplekt-top-i-trusiki/","544")</f>
      </c>
      <c r="B1464" s="8" t="s">
        <v>1458</v>
      </c>
      <c r="C1464" s="9">
        <v>508</v>
      </c>
      <c r="D1464" s="0">
        <v>1</v>
      </c>
      <c r="E1464" s="10">
        <f>HYPERLINK("http://www.lingerieopt.ru/images/original/f40d5508-75ff-4ccd-9744-ef2408ceed0f.jpg","Фото")</f>
      </c>
    </row>
    <row r="1465">
      <c r="A1465" s="7">
        <f>HYPERLINK("http://www.lingerieopt.ru/item/544-komplekt-top-i-trusiki/","544")</f>
      </c>
      <c r="B1465" s="8" t="s">
        <v>1459</v>
      </c>
      <c r="C1465" s="9">
        <v>508</v>
      </c>
      <c r="D1465" s="0">
        <v>0</v>
      </c>
      <c r="E1465" s="10">
        <f>HYPERLINK("http://www.lingerieopt.ru/images/original/f40d5508-75ff-4ccd-9744-ef2408ceed0f.jpg","Фото")</f>
      </c>
    </row>
    <row r="1466">
      <c r="A1466" s="7">
        <f>HYPERLINK("http://www.lingerieopt.ru/item/544-komplekt-top-i-trusiki/","544")</f>
      </c>
      <c r="B1466" s="8" t="s">
        <v>1460</v>
      </c>
      <c r="C1466" s="9">
        <v>508</v>
      </c>
      <c r="D1466" s="0">
        <v>0</v>
      </c>
      <c r="E1466" s="10">
        <f>HYPERLINK("http://www.lingerieopt.ru/images/original/f40d5508-75ff-4ccd-9744-ef2408ceed0f.jpg","Фото")</f>
      </c>
    </row>
    <row r="1467">
      <c r="A1467" s="7">
        <f>HYPERLINK("http://www.lingerieopt.ru/item/544-komplekt-top-i-trusiki/","544")</f>
      </c>
      <c r="B1467" s="8" t="s">
        <v>1461</v>
      </c>
      <c r="C1467" s="9">
        <v>508</v>
      </c>
      <c r="D1467" s="0">
        <v>0</v>
      </c>
      <c r="E1467" s="10">
        <f>HYPERLINK("http://www.lingerieopt.ru/images/original/f40d5508-75ff-4ccd-9744-ef2408ceed0f.jpg","Фото")</f>
      </c>
    </row>
    <row r="1468">
      <c r="A1468" s="7">
        <f>HYPERLINK("http://www.lingerieopt.ru/item/593-setevoi-komplekt-s-ryushami-v-goroshek/","593")</f>
      </c>
      <c r="B1468" s="8" t="s">
        <v>1462</v>
      </c>
      <c r="C1468" s="9">
        <v>635</v>
      </c>
      <c r="D1468" s="0">
        <v>0</v>
      </c>
      <c r="E1468" s="10">
        <f>HYPERLINK("http://www.lingerieopt.ru/images/original/5aabebba-8cc6-490d-ab87-10c5931803b3.jpg","Фото")</f>
      </c>
    </row>
    <row r="1469">
      <c r="A1469" s="7">
        <f>HYPERLINK("http://www.lingerieopt.ru/item/593-setevoi-komplekt-s-ryushami-v-goroshek/","593")</f>
      </c>
      <c r="B1469" s="8" t="s">
        <v>1463</v>
      </c>
      <c r="C1469" s="9">
        <v>635</v>
      </c>
      <c r="D1469" s="0">
        <v>13</v>
      </c>
      <c r="E1469" s="10">
        <f>HYPERLINK("http://www.lingerieopt.ru/images/original/5aabebba-8cc6-490d-ab87-10c5931803b3.jpg","Фото")</f>
      </c>
    </row>
    <row r="1470">
      <c r="A1470" s="7">
        <f>HYPERLINK("http://www.lingerieopt.ru/item/593-setevoi-komplekt-s-ryushami-v-goroshek/","593")</f>
      </c>
      <c r="B1470" s="8" t="s">
        <v>1464</v>
      </c>
      <c r="C1470" s="9">
        <v>635</v>
      </c>
      <c r="D1470" s="0">
        <v>2</v>
      </c>
      <c r="E1470" s="10">
        <f>HYPERLINK("http://www.lingerieopt.ru/images/original/5aabebba-8cc6-490d-ab87-10c5931803b3.jpg","Фото")</f>
      </c>
    </row>
    <row r="1471">
      <c r="A1471" s="7">
        <f>HYPERLINK("http://www.lingerieopt.ru/item/649-rozovji-komplekt-top-i-yubka-so-shnurovkoi/","649")</f>
      </c>
      <c r="B1471" s="8" t="s">
        <v>1465</v>
      </c>
      <c r="C1471" s="9">
        <v>1802</v>
      </c>
      <c r="D1471" s="0">
        <v>0</v>
      </c>
      <c r="E1471" s="10">
        <f>HYPERLINK("http://www.lingerieopt.ru/images/original/76474264-8d7c-497c-b20f-86b881331005.jpg","Фото")</f>
      </c>
    </row>
    <row r="1472">
      <c r="A1472" s="7">
        <f>HYPERLINK("http://www.lingerieopt.ru/item/649-rozovji-komplekt-top-i-yubka-so-shnurovkoi/","649")</f>
      </c>
      <c r="B1472" s="8" t="s">
        <v>1466</v>
      </c>
      <c r="C1472" s="9">
        <v>1802</v>
      </c>
      <c r="D1472" s="0">
        <v>4</v>
      </c>
      <c r="E1472" s="10">
        <f>HYPERLINK("http://www.lingerieopt.ru/images/original/76474264-8d7c-497c-b20f-86b881331005.jpg","Фото")</f>
      </c>
    </row>
    <row r="1473">
      <c r="A1473" s="7">
        <f>HYPERLINK("http://www.lingerieopt.ru/item/1118-kruzhevnoi-nabor/","1118")</f>
      </c>
      <c r="B1473" s="8" t="s">
        <v>1467</v>
      </c>
      <c r="C1473" s="9">
        <v>1084</v>
      </c>
      <c r="D1473" s="0">
        <v>3</v>
      </c>
      <c r="E1473" s="10">
        <f>HYPERLINK("http://www.lingerieopt.ru/images/original/ca4a951d-16ff-4067-8691-8292a7ab8c50.jpg","Фото")</f>
      </c>
    </row>
    <row r="1474">
      <c r="A1474" s="7">
        <f>HYPERLINK("http://www.lingerieopt.ru/item/1118-kruzhevnoi-nabor/","1118")</f>
      </c>
      <c r="B1474" s="8" t="s">
        <v>1468</v>
      </c>
      <c r="C1474" s="9">
        <v>1084</v>
      </c>
      <c r="D1474" s="0">
        <v>0</v>
      </c>
      <c r="E1474" s="10">
        <f>HYPERLINK("http://www.lingerieopt.ru/images/original/ca4a951d-16ff-4067-8691-8292a7ab8c50.jpg","Фото")</f>
      </c>
    </row>
    <row r="1475">
      <c r="A1475" s="7">
        <f>HYPERLINK("http://www.lingerieopt.ru/item/1204-komplekt-annie/","1204")</f>
      </c>
      <c r="B1475" s="8" t="s">
        <v>1469</v>
      </c>
      <c r="C1475" s="9">
        <v>1740</v>
      </c>
      <c r="D1475" s="0">
        <v>15</v>
      </c>
      <c r="E1475" s="10">
        <f>HYPERLINK("http://www.lingerieopt.ru/images/original/721c68a8-23ea-48fb-807d-0f8e5a5e3f9e.jpg","Фото")</f>
      </c>
    </row>
    <row r="1476">
      <c r="A1476" s="7">
        <f>HYPERLINK("http://www.lingerieopt.ru/item/1204-komplekt-annie/","1204")</f>
      </c>
      <c r="B1476" s="8" t="s">
        <v>1470</v>
      </c>
      <c r="C1476" s="9">
        <v>1740</v>
      </c>
      <c r="D1476" s="0">
        <v>15</v>
      </c>
      <c r="E1476" s="10">
        <f>HYPERLINK("http://www.lingerieopt.ru/images/original/721c68a8-23ea-48fb-807d-0f8e5a5e3f9e.jpg","Фото")</f>
      </c>
    </row>
    <row r="1477">
      <c r="A1477" s="7">
        <f>HYPERLINK("http://www.lingerieopt.ru/item/1205-komplekt-iz-treh-predmetov-carisma-bikini/","1205")</f>
      </c>
      <c r="B1477" s="8" t="s">
        <v>1471</v>
      </c>
      <c r="C1477" s="9">
        <v>1754</v>
      </c>
      <c r="D1477" s="0">
        <v>20</v>
      </c>
      <c r="E1477" s="10">
        <f>HYPERLINK("http://www.lingerieopt.ru/images/original/33d6547b-608c-4550-976a-7f82bcee5007.jpg","Фото")</f>
      </c>
    </row>
    <row r="1478">
      <c r="A1478" s="7">
        <f>HYPERLINK("http://www.lingerieopt.ru/item/1205-komplekt-iz-treh-predmetov-carisma-bikini/","1205")</f>
      </c>
      <c r="B1478" s="8" t="s">
        <v>1472</v>
      </c>
      <c r="C1478" s="9">
        <v>1754</v>
      </c>
      <c r="D1478" s="0">
        <v>20</v>
      </c>
      <c r="E1478" s="10">
        <f>HYPERLINK("http://www.lingerieopt.ru/images/original/33d6547b-608c-4550-976a-7f82bcee5007.jpg","Фото")</f>
      </c>
    </row>
    <row r="1479">
      <c r="A1479" s="7">
        <f>HYPERLINK("http://www.lingerieopt.ru/item/1205-komplekt-iz-treh-predmetov-carisma-bikini/","1205")</f>
      </c>
      <c r="B1479" s="8" t="s">
        <v>1473</v>
      </c>
      <c r="C1479" s="9">
        <v>1754</v>
      </c>
      <c r="D1479" s="0">
        <v>0</v>
      </c>
      <c r="E1479" s="10">
        <f>HYPERLINK("http://www.lingerieopt.ru/images/original/33d6547b-608c-4550-976a-7f82bcee5007.jpg","Фото")</f>
      </c>
    </row>
    <row r="1480">
      <c r="A1480" s="7">
        <f>HYPERLINK("http://www.lingerieopt.ru/item/1206-komplekt-s-vjshivkoi-ginger/","1206")</f>
      </c>
      <c r="B1480" s="8" t="s">
        <v>1474</v>
      </c>
      <c r="C1480" s="9">
        <v>2140</v>
      </c>
      <c r="D1480" s="0">
        <v>6</v>
      </c>
      <c r="E1480" s="10">
        <f>HYPERLINK("http://www.lingerieopt.ru/images/original/8895e57c-2381-41c2-b25b-34e9eedaa60b.jpg","Фото")</f>
      </c>
    </row>
    <row r="1481">
      <c r="A1481" s="7">
        <f>HYPERLINK("http://www.lingerieopt.ru/item/1206-komplekt-s-vjshivkoi-ginger/","1206")</f>
      </c>
      <c r="B1481" s="8" t="s">
        <v>1475</v>
      </c>
      <c r="C1481" s="9">
        <v>2140</v>
      </c>
      <c r="D1481" s="0">
        <v>20</v>
      </c>
      <c r="E1481" s="10">
        <f>HYPERLINK("http://www.lingerieopt.ru/images/original/8895e57c-2381-41c2-b25b-34e9eedaa60b.jpg","Фото")</f>
      </c>
    </row>
    <row r="1482">
      <c r="A1482" s="7">
        <f>HYPERLINK("http://www.lingerieopt.ru/item/1206-komplekt-s-vjshivkoi-ginger/","1206")</f>
      </c>
      <c r="B1482" s="8" t="s">
        <v>1476</v>
      </c>
      <c r="C1482" s="9">
        <v>2140</v>
      </c>
      <c r="D1482" s="0">
        <v>20</v>
      </c>
      <c r="E1482" s="10">
        <f>HYPERLINK("http://www.lingerieopt.ru/images/original/8895e57c-2381-41c2-b25b-34e9eedaa60b.jpg","Фото")</f>
      </c>
    </row>
    <row r="1483">
      <c r="A1483" s="7">
        <f>HYPERLINK("http://www.lingerieopt.ru/item/1210-kruzhevnoi-komplekt-belya-sonnet-s-malenkimi-zheltjmi-bantikami/","1210")</f>
      </c>
      <c r="B1483" s="8" t="s">
        <v>1477</v>
      </c>
      <c r="C1483" s="9">
        <v>1383</v>
      </c>
      <c r="D1483" s="0">
        <v>5</v>
      </c>
      <c r="E1483" s="10">
        <f>HYPERLINK("http://www.lingerieopt.ru/images/original/c2e4a168-2603-4f15-ac0d-c9a2a20ef899.jpg","Фото")</f>
      </c>
    </row>
    <row r="1484">
      <c r="A1484" s="7">
        <f>HYPERLINK("http://www.lingerieopt.ru/item/1210-kruzhevnoi-komplekt-belya-sonnet-s-malenkimi-zheltjmi-bantikami/","1210")</f>
      </c>
      <c r="B1484" s="8" t="s">
        <v>1478</v>
      </c>
      <c r="C1484" s="9">
        <v>1383</v>
      </c>
      <c r="D1484" s="0">
        <v>10</v>
      </c>
      <c r="E1484" s="10">
        <f>HYPERLINK("http://www.lingerieopt.ru/images/original/c2e4a168-2603-4f15-ac0d-c9a2a20ef899.jpg","Фото")</f>
      </c>
    </row>
    <row r="1485">
      <c r="A1485" s="7">
        <f>HYPERLINK("http://www.lingerieopt.ru/item/1210-kruzhevnoi-komplekt-belya-sonnet-s-malenkimi-zheltjmi-bantikami/","1210")</f>
      </c>
      <c r="B1485" s="8" t="s">
        <v>1479</v>
      </c>
      <c r="C1485" s="9">
        <v>1383</v>
      </c>
      <c r="D1485" s="0">
        <v>3</v>
      </c>
      <c r="E1485" s="10">
        <f>HYPERLINK("http://www.lingerieopt.ru/images/original/c2e4a168-2603-4f15-ac0d-c9a2a20ef899.jpg","Фото")</f>
      </c>
    </row>
    <row r="1486">
      <c r="A1486" s="7">
        <f>HYPERLINK("http://www.lingerieopt.ru/item/1214-komplekt-s-otkrjtoi-grudyu-aurelia/","1214")</f>
      </c>
      <c r="B1486" s="8" t="s">
        <v>1480</v>
      </c>
      <c r="C1486" s="9">
        <v>1789</v>
      </c>
      <c r="D1486" s="0">
        <v>0</v>
      </c>
      <c r="E1486" s="10">
        <f>HYPERLINK("http://www.lingerieopt.ru/images/original/972b20ba-cefe-4861-a0c7-4253536eb6ca.jpg","Фото")</f>
      </c>
    </row>
    <row r="1487">
      <c r="A1487" s="7">
        <f>HYPERLINK("http://www.lingerieopt.ru/item/1214-komplekt-s-otkrjtoi-grudyu-aurelia/","1214")</f>
      </c>
      <c r="B1487" s="8" t="s">
        <v>1481</v>
      </c>
      <c r="C1487" s="9">
        <v>1789</v>
      </c>
      <c r="D1487" s="0">
        <v>0</v>
      </c>
      <c r="E1487" s="10">
        <f>HYPERLINK("http://www.lingerieopt.ru/images/original/972b20ba-cefe-4861-a0c7-4253536eb6ca.jpg","Фото")</f>
      </c>
    </row>
    <row r="1488">
      <c r="A1488" s="7">
        <f>HYPERLINK("http://www.lingerieopt.ru/item/1214-komplekt-s-otkrjtoi-grudyu-aurelia/","1214")</f>
      </c>
      <c r="B1488" s="8" t="s">
        <v>1482</v>
      </c>
      <c r="C1488" s="9">
        <v>1789</v>
      </c>
      <c r="D1488" s="0">
        <v>3</v>
      </c>
      <c r="E1488" s="10">
        <f>HYPERLINK("http://www.lingerieopt.ru/images/original/972b20ba-cefe-4861-a0c7-4253536eb6ca.jpg","Фото")</f>
      </c>
    </row>
    <row r="1489">
      <c r="A1489" s="7">
        <f>HYPERLINK("http://www.lingerieopt.ru/item/1214-komplekt-s-otkrjtoi-grudyu-aurelia/","1214")</f>
      </c>
      <c r="B1489" s="8" t="s">
        <v>1483</v>
      </c>
      <c r="C1489" s="9">
        <v>1789</v>
      </c>
      <c r="D1489" s="0">
        <v>1</v>
      </c>
      <c r="E1489" s="10">
        <f>HYPERLINK("http://www.lingerieopt.ru/images/original/972b20ba-cefe-4861-a0c7-4253536eb6ca.jpg","Фото")</f>
      </c>
    </row>
    <row r="1490">
      <c r="A1490" s="7">
        <f>HYPERLINK("http://www.lingerieopt.ru/item/1214-komplekt-s-otkrjtoi-grudyu-aurelia/","1214")</f>
      </c>
      <c r="B1490" s="8" t="s">
        <v>1484</v>
      </c>
      <c r="C1490" s="9">
        <v>1789</v>
      </c>
      <c r="D1490" s="0">
        <v>19</v>
      </c>
      <c r="E1490" s="10">
        <f>HYPERLINK("http://www.lingerieopt.ru/images/original/972b20ba-cefe-4861-a0c7-4253536eb6ca.jpg","Фото")</f>
      </c>
    </row>
    <row r="1491">
      <c r="A1491" s="7">
        <f>HYPERLINK("http://www.lingerieopt.ru/item/1214-komplekt-s-otkrjtoi-grudyu-aurelia/","1214")</f>
      </c>
      <c r="B1491" s="8" t="s">
        <v>1485</v>
      </c>
      <c r="C1491" s="9">
        <v>1789</v>
      </c>
      <c r="D1491" s="0">
        <v>21</v>
      </c>
      <c r="E1491" s="10">
        <f>HYPERLINK("http://www.lingerieopt.ru/images/original/972b20ba-cefe-4861-a0c7-4253536eb6ca.jpg","Фото")</f>
      </c>
    </row>
    <row r="1492">
      <c r="A1492" s="7">
        <f>HYPERLINK("http://www.lingerieopt.ru/item/1215-komplekt-s-otkrjtoi-grudyu-beverly-set/","1215")</f>
      </c>
      <c r="B1492" s="8" t="s">
        <v>1486</v>
      </c>
      <c r="C1492" s="9">
        <v>1695</v>
      </c>
      <c r="D1492" s="0">
        <v>0</v>
      </c>
      <c r="E1492" s="10">
        <f>HYPERLINK("http://www.lingerieopt.ru/images/original/40bd42a2-be4a-430d-b0bd-04b1b27a5f37.jpg","Фото")</f>
      </c>
    </row>
    <row r="1493">
      <c r="A1493" s="7">
        <f>HYPERLINK("http://www.lingerieopt.ru/item/1215-komplekt-s-otkrjtoi-grudyu-beverly-set/","1215")</f>
      </c>
      <c r="B1493" s="8" t="s">
        <v>1487</v>
      </c>
      <c r="C1493" s="9">
        <v>1695</v>
      </c>
      <c r="D1493" s="0">
        <v>3</v>
      </c>
      <c r="E1493" s="10">
        <f>HYPERLINK("http://www.lingerieopt.ru/images/original/40bd42a2-be4a-430d-b0bd-04b1b27a5f37.jpg","Фото")</f>
      </c>
    </row>
    <row r="1494">
      <c r="A1494" s="7">
        <f>HYPERLINK("http://www.lingerieopt.ru/item/1216-komplekt-s-otkrjtoi-grudyu-eden-set/","1216")</f>
      </c>
      <c r="B1494" s="8" t="s">
        <v>1488</v>
      </c>
      <c r="C1494" s="9">
        <v>1429</v>
      </c>
      <c r="D1494" s="0">
        <v>1</v>
      </c>
      <c r="E1494" s="10">
        <f>HYPERLINK("http://www.lingerieopt.ru/images/original/6343b207-cabb-4795-a8a0-5528512c4e5f.jpg","Фото")</f>
      </c>
    </row>
    <row r="1495">
      <c r="A1495" s="7">
        <f>HYPERLINK("http://www.lingerieopt.ru/item/1216-komplekt-s-otkrjtoi-grudyu-eden-set/","1216")</f>
      </c>
      <c r="B1495" s="8" t="s">
        <v>1489</v>
      </c>
      <c r="C1495" s="9">
        <v>1429</v>
      </c>
      <c r="D1495" s="0">
        <v>4</v>
      </c>
      <c r="E1495" s="10">
        <f>HYPERLINK("http://www.lingerieopt.ru/images/original/6343b207-cabb-4795-a8a0-5528512c4e5f.jpg","Фото")</f>
      </c>
    </row>
    <row r="1496">
      <c r="A1496" s="7">
        <f>HYPERLINK("http://www.lingerieopt.ru/item/1218-komplekt-s-poluotkrjtoi-grudyu-nell/","1218")</f>
      </c>
      <c r="B1496" s="8" t="s">
        <v>1490</v>
      </c>
      <c r="C1496" s="9">
        <v>1948</v>
      </c>
      <c r="D1496" s="0">
        <v>20</v>
      </c>
      <c r="E1496" s="10">
        <f>HYPERLINK("http://www.lingerieopt.ru/images/original/9bf78876-a826-4ad4-a40e-789617b264c1.jpg","Фото")</f>
      </c>
    </row>
    <row r="1497">
      <c r="A1497" s="7">
        <f>HYPERLINK("http://www.lingerieopt.ru/item/1218-komplekt-s-poluotkrjtoi-grudyu-nell/","1218")</f>
      </c>
      <c r="B1497" s="8" t="s">
        <v>1491</v>
      </c>
      <c r="C1497" s="9">
        <v>1948</v>
      </c>
      <c r="D1497" s="0">
        <v>5</v>
      </c>
      <c r="E1497" s="10">
        <f>HYPERLINK("http://www.lingerieopt.ru/images/original/9bf78876-a826-4ad4-a40e-789617b264c1.jpg","Фото")</f>
      </c>
    </row>
    <row r="1498">
      <c r="A1498" s="7">
        <f>HYPERLINK("http://www.lingerieopt.ru/item/1218-komplekt-s-poluotkrjtoi-grudyu-nell/","1218")</f>
      </c>
      <c r="B1498" s="8" t="s">
        <v>1492</v>
      </c>
      <c r="C1498" s="9">
        <v>1948</v>
      </c>
      <c r="D1498" s="0">
        <v>0</v>
      </c>
      <c r="E1498" s="10">
        <f>HYPERLINK("http://www.lingerieopt.ru/images/original/9bf78876-a826-4ad4-a40e-789617b264c1.jpg","Фото")</f>
      </c>
    </row>
    <row r="1499">
      <c r="A1499" s="7">
        <f>HYPERLINK("http://www.lingerieopt.ru/item/2293-azhurnji-komplekt-belya-florie/","2293")</f>
      </c>
      <c r="B1499" s="8" t="s">
        <v>1493</v>
      </c>
      <c r="C1499" s="9">
        <v>1082</v>
      </c>
      <c r="D1499" s="0">
        <v>1</v>
      </c>
      <c r="E1499" s="10">
        <f>HYPERLINK("http://www.lingerieopt.ru/images/original/5b8832d8-2abc-407e-8ec1-b0d5998bbaa9.jpg","Фото")</f>
      </c>
    </row>
    <row r="1500">
      <c r="A1500" s="7">
        <f>HYPERLINK("http://www.lingerieopt.ru/item/2293-azhurnji-komplekt-belya-florie/","2293")</f>
      </c>
      <c r="B1500" s="8" t="s">
        <v>1494</v>
      </c>
      <c r="C1500" s="9">
        <v>1082</v>
      </c>
      <c r="D1500" s="0">
        <v>0</v>
      </c>
      <c r="E1500" s="10">
        <f>HYPERLINK("http://www.lingerieopt.ru/images/original/5b8832d8-2abc-407e-8ec1-b0d5998bbaa9.jpg","Фото")</f>
      </c>
    </row>
    <row r="1501">
      <c r="A1501" s="7">
        <f>HYPERLINK("http://www.lingerieopt.ru/item/2326-komplekt-polly/","2326")</f>
      </c>
      <c r="B1501" s="8" t="s">
        <v>1495</v>
      </c>
      <c r="C1501" s="9">
        <v>1322</v>
      </c>
      <c r="D1501" s="0">
        <v>1</v>
      </c>
      <c r="E1501" s="10">
        <f>HYPERLINK("http://www.lingerieopt.ru/images/original/91b3aae9-052c-4ebc-a288-f2b0f6cab028.jpg","Фото")</f>
      </c>
    </row>
    <row r="1502">
      <c r="A1502" s="7">
        <f>HYPERLINK("http://www.lingerieopt.ru/item/2326-komplekt-polly/","2326")</f>
      </c>
      <c r="B1502" s="8" t="s">
        <v>1496</v>
      </c>
      <c r="C1502" s="9">
        <v>1322</v>
      </c>
      <c r="D1502" s="0">
        <v>0</v>
      </c>
      <c r="E1502" s="10">
        <f>HYPERLINK("http://www.lingerieopt.ru/images/original/91b3aae9-052c-4ebc-a288-f2b0f6cab028.jpg","Фото")</f>
      </c>
    </row>
    <row r="1503">
      <c r="A1503" s="7">
        <f>HYPERLINK("http://www.lingerieopt.ru/item/2326-komplekt-polly/","2326")</f>
      </c>
      <c r="B1503" s="8" t="s">
        <v>1497</v>
      </c>
      <c r="C1503" s="9">
        <v>1322</v>
      </c>
      <c r="D1503" s="0">
        <v>0</v>
      </c>
      <c r="E1503" s="10">
        <f>HYPERLINK("http://www.lingerieopt.ru/images/original/91b3aae9-052c-4ebc-a288-f2b0f6cab028.jpg","Фото")</f>
      </c>
    </row>
    <row r="1504">
      <c r="A1504" s="7">
        <f>HYPERLINK("http://www.lingerieopt.ru/item/2341-komplekt-s-otkrjtoi-grudyu-beverly/","2341")</f>
      </c>
      <c r="B1504" s="8" t="s">
        <v>1498</v>
      </c>
      <c r="C1504" s="9">
        <v>1695</v>
      </c>
      <c r="D1504" s="0">
        <v>9</v>
      </c>
      <c r="E1504" s="10">
        <f>HYPERLINK("http://www.lingerieopt.ru/images/original/ea44a599-2ed2-4675-8cc6-a849e3569dbe.jpg","Фото")</f>
      </c>
    </row>
    <row r="1505">
      <c r="A1505" s="7">
        <f>HYPERLINK("http://www.lingerieopt.ru/item/2455-kruzhevnoi-nabor/","2455")</f>
      </c>
      <c r="B1505" s="8" t="s">
        <v>1499</v>
      </c>
      <c r="C1505" s="9">
        <v>1130</v>
      </c>
      <c r="D1505" s="0">
        <v>0</v>
      </c>
      <c r="E1505" s="10">
        <f>HYPERLINK("http://www.lingerieopt.ru/images/original/2c4e7e23-76f6-4158-8fc7-5ef80b11c550.jpg","Фото")</f>
      </c>
    </row>
    <row r="1506">
      <c r="A1506" s="7">
        <f>HYPERLINK("http://www.lingerieopt.ru/item/2455-kruzhevnoi-nabor/","2455")</f>
      </c>
      <c r="B1506" s="8" t="s">
        <v>1500</v>
      </c>
      <c r="C1506" s="9">
        <v>1130</v>
      </c>
      <c r="D1506" s="0">
        <v>4</v>
      </c>
      <c r="E1506" s="10">
        <f>HYPERLINK("http://www.lingerieopt.ru/images/original/2c4e7e23-76f6-4158-8fc7-5ef80b11c550.jpg","Фото")</f>
      </c>
    </row>
    <row r="1507">
      <c r="A1507" s="7">
        <f>HYPERLINK("http://www.lingerieopt.ru/item/2455-kruzhevnoi-nabor/","2455")</f>
      </c>
      <c r="B1507" s="8" t="s">
        <v>1501</v>
      </c>
      <c r="C1507" s="9">
        <v>1130</v>
      </c>
      <c r="D1507" s="0">
        <v>0</v>
      </c>
      <c r="E1507" s="10">
        <f>HYPERLINK("http://www.lingerieopt.ru/images/original/2c4e7e23-76f6-4158-8fc7-5ef80b11c550.jpg","Фото")</f>
      </c>
    </row>
    <row r="1508">
      <c r="A1508" s="7">
        <f>HYPERLINK("http://www.lingerieopt.ru/item/2490-komplekt-v-goroshek-channel/","2490")</f>
      </c>
      <c r="B1508" s="8" t="s">
        <v>1502</v>
      </c>
      <c r="C1508" s="9">
        <v>1075</v>
      </c>
      <c r="D1508" s="0">
        <v>10</v>
      </c>
      <c r="E1508" s="10">
        <f>HYPERLINK("http://www.lingerieopt.ru/images/original/5a564ec3-33a6-44c2-a8aa-4a544f3c0e2b.jpg","Фото")</f>
      </c>
    </row>
    <row r="1509">
      <c r="A1509" s="7">
        <f>HYPERLINK("http://www.lingerieopt.ru/item/2490-komplekt-v-goroshek-channel/","2490")</f>
      </c>
      <c r="B1509" s="8" t="s">
        <v>1503</v>
      </c>
      <c r="C1509" s="9">
        <v>1075</v>
      </c>
      <c r="D1509" s="0">
        <v>24</v>
      </c>
      <c r="E1509" s="10">
        <f>HYPERLINK("http://www.lingerieopt.ru/images/original/5a564ec3-33a6-44c2-a8aa-4a544f3c0e2b.jpg","Фото")</f>
      </c>
    </row>
    <row r="1510">
      <c r="A1510" s="7">
        <f>HYPERLINK("http://www.lingerieopt.ru/item/2499-komplekt-florence/","2499")</f>
      </c>
      <c r="B1510" s="8" t="s">
        <v>1504</v>
      </c>
      <c r="C1510" s="9">
        <v>916</v>
      </c>
      <c r="D1510" s="0">
        <v>0</v>
      </c>
      <c r="E1510" s="10">
        <f>HYPERLINK("http://www.lingerieopt.ru/images/original/f25d3541-a1b0-4f9e-ae88-d32aa4afd076.jpg","Фото")</f>
      </c>
    </row>
    <row r="1511">
      <c r="A1511" s="7">
        <f>HYPERLINK("http://www.lingerieopt.ru/item/2499-komplekt-florence/","2499")</f>
      </c>
      <c r="B1511" s="8" t="s">
        <v>1505</v>
      </c>
      <c r="C1511" s="9">
        <v>916</v>
      </c>
      <c r="D1511" s="0">
        <v>3</v>
      </c>
      <c r="E1511" s="10">
        <f>HYPERLINK("http://www.lingerieopt.ru/images/original/f25d3541-a1b0-4f9e-ae88-d32aa4afd076.jpg","Фото")</f>
      </c>
    </row>
    <row r="1512">
      <c r="A1512" s="7">
        <f>HYPERLINK("http://www.lingerieopt.ru/item/2504-leopardovji-komplekt-kofi/","2504")</f>
      </c>
      <c r="B1512" s="8" t="s">
        <v>1506</v>
      </c>
      <c r="C1512" s="9">
        <v>956</v>
      </c>
      <c r="D1512" s="0">
        <v>5</v>
      </c>
      <c r="E1512" s="10">
        <f>HYPERLINK("http://www.lingerieopt.ru/images/original/ab0505ec-7e69-4f3b-b1bd-b531df6c067d.jpg","Фото")</f>
      </c>
    </row>
    <row r="1513">
      <c r="A1513" s="7">
        <f>HYPERLINK("http://www.lingerieopt.ru/item/2504-leopardovji-komplekt-kofi/","2504")</f>
      </c>
      <c r="B1513" s="8" t="s">
        <v>1507</v>
      </c>
      <c r="C1513" s="9">
        <v>956</v>
      </c>
      <c r="D1513" s="0">
        <v>9</v>
      </c>
      <c r="E1513" s="10">
        <f>HYPERLINK("http://www.lingerieopt.ru/images/original/ab0505ec-7e69-4f3b-b1bd-b531df6c067d.jpg","Фото")</f>
      </c>
    </row>
    <row r="1514">
      <c r="A1514" s="7">
        <f>HYPERLINK("http://www.lingerieopt.ru/item/2517-komplekt-mocca/","2517")</f>
      </c>
      <c r="B1514" s="8" t="s">
        <v>1508</v>
      </c>
      <c r="C1514" s="9">
        <v>1310</v>
      </c>
      <c r="D1514" s="0">
        <v>0</v>
      </c>
      <c r="E1514" s="10">
        <f>HYPERLINK("http://www.lingerieopt.ru/images/original/ed94972d-6583-4c88-b925-e9be54c81aeb.jpg","Фото")</f>
      </c>
    </row>
    <row r="1515">
      <c r="A1515" s="7">
        <f>HYPERLINK("http://www.lingerieopt.ru/item/2517-komplekt-mocca/","2517")</f>
      </c>
      <c r="B1515" s="8" t="s">
        <v>1509</v>
      </c>
      <c r="C1515" s="9">
        <v>1310</v>
      </c>
      <c r="D1515" s="0">
        <v>4</v>
      </c>
      <c r="E1515" s="10">
        <f>HYPERLINK("http://www.lingerieopt.ru/images/original/ed94972d-6583-4c88-b925-e9be54c81aeb.jpg","Фото")</f>
      </c>
    </row>
    <row r="1516">
      <c r="A1516" s="7">
        <f>HYPERLINK("http://www.lingerieopt.ru/item/2543-komplekt-s-kruzhevom-anigue/","2543")</f>
      </c>
      <c r="B1516" s="8" t="s">
        <v>1510</v>
      </c>
      <c r="C1516" s="9">
        <v>1459</v>
      </c>
      <c r="D1516" s="0">
        <v>8</v>
      </c>
      <c r="E1516" s="10">
        <f>HYPERLINK("http://www.lingerieopt.ru/images/original/aab01eb4-e3df-4171-ba9b-92d30c5a596f.jpg","Фото")</f>
      </c>
    </row>
    <row r="1517">
      <c r="A1517" s="7">
        <f>HYPERLINK("http://www.lingerieopt.ru/item/2543-komplekt-s-kruzhevom-anigue/","2543")</f>
      </c>
      <c r="B1517" s="8" t="s">
        <v>1511</v>
      </c>
      <c r="C1517" s="9">
        <v>1459</v>
      </c>
      <c r="D1517" s="0">
        <v>4</v>
      </c>
      <c r="E1517" s="10">
        <f>HYPERLINK("http://www.lingerieopt.ru/images/original/aab01eb4-e3df-4171-ba9b-92d30c5a596f.jpg","Фото")</f>
      </c>
    </row>
    <row r="1518">
      <c r="A1518" s="7">
        <f>HYPERLINK("http://www.lingerieopt.ru/item/2563-komplekt-britney-s-okoshkami-na-life/","2563")</f>
      </c>
      <c r="B1518" s="8" t="s">
        <v>1512</v>
      </c>
      <c r="C1518" s="9">
        <v>1165</v>
      </c>
      <c r="D1518" s="0">
        <v>1</v>
      </c>
      <c r="E1518" s="10">
        <f>HYPERLINK("http://www.lingerieopt.ru/images/original/f3400b52-e82d-40fa-a07f-65e452e25eb2.jpg","Фото")</f>
      </c>
    </row>
    <row r="1519">
      <c r="A1519" s="7">
        <f>HYPERLINK("http://www.lingerieopt.ru/item/2563-komplekt-britney-s-okoshkami-na-life/","2563")</f>
      </c>
      <c r="B1519" s="8" t="s">
        <v>1513</v>
      </c>
      <c r="C1519" s="9">
        <v>1165</v>
      </c>
      <c r="D1519" s="0">
        <v>0</v>
      </c>
      <c r="E1519" s="10">
        <f>HYPERLINK("http://www.lingerieopt.ru/images/original/f3400b52-e82d-40fa-a07f-65e452e25eb2.jpg","Фото")</f>
      </c>
    </row>
    <row r="1520">
      <c r="A1520" s="7">
        <f>HYPERLINK("http://www.lingerieopt.ru/item/2590-komplekt-iz-3-predmetov/","2590")</f>
      </c>
      <c r="B1520" s="8" t="s">
        <v>1514</v>
      </c>
      <c r="C1520" s="9">
        <v>1261</v>
      </c>
      <c r="D1520" s="0">
        <v>0</v>
      </c>
      <c r="E1520" s="10">
        <f>HYPERLINK("http://www.lingerieopt.ru/images/original/fff60006-dc0e-407f-af62-5abdd294b276.jpg","Фото")</f>
      </c>
    </row>
    <row r="1521">
      <c r="A1521" s="7">
        <f>HYPERLINK("http://www.lingerieopt.ru/item/2590-komplekt-iz-3-predmetov/","2590")</f>
      </c>
      <c r="B1521" s="8" t="s">
        <v>1515</v>
      </c>
      <c r="C1521" s="9">
        <v>1261</v>
      </c>
      <c r="D1521" s="0">
        <v>0</v>
      </c>
      <c r="E1521" s="10">
        <f>HYPERLINK("http://www.lingerieopt.ru/images/original/fff60006-dc0e-407f-af62-5abdd294b276.jpg","Фото")</f>
      </c>
    </row>
    <row r="1522">
      <c r="A1522" s="7">
        <f>HYPERLINK("http://www.lingerieopt.ru/item/2590-komplekt-iz-3-predmetov/","2590")</f>
      </c>
      <c r="B1522" s="8" t="s">
        <v>1516</v>
      </c>
      <c r="C1522" s="9">
        <v>1261</v>
      </c>
      <c r="D1522" s="0">
        <v>0</v>
      </c>
      <c r="E1522" s="10">
        <f>HYPERLINK("http://www.lingerieopt.ru/images/original/fff60006-dc0e-407f-af62-5abdd294b276.jpg","Фото")</f>
      </c>
    </row>
    <row r="1523">
      <c r="A1523" s="7">
        <f>HYPERLINK("http://www.lingerieopt.ru/item/2590-komplekt-iz-3-predmetov/","2590")</f>
      </c>
      <c r="B1523" s="8" t="s">
        <v>1517</v>
      </c>
      <c r="C1523" s="9">
        <v>1261</v>
      </c>
      <c r="D1523" s="0">
        <v>5</v>
      </c>
      <c r="E1523" s="10">
        <f>HYPERLINK("http://www.lingerieopt.ru/images/original/fff60006-dc0e-407f-af62-5abdd294b276.jpg","Фото")</f>
      </c>
    </row>
    <row r="1524">
      <c r="A1524" s="7">
        <f>HYPERLINK("http://www.lingerieopt.ru/item/2616-komplekt-so-shnurovkami/","2616")</f>
      </c>
      <c r="B1524" s="8" t="s">
        <v>1518</v>
      </c>
      <c r="C1524" s="9">
        <v>1199</v>
      </c>
      <c r="D1524" s="0">
        <v>0</v>
      </c>
      <c r="E1524" s="10">
        <f>HYPERLINK("http://www.lingerieopt.ru/images/original/1d3b042d-18e2-4e40-a44b-7093c5c0ce15.jpg","Фото")</f>
      </c>
    </row>
    <row r="1525">
      <c r="A1525" s="7">
        <f>HYPERLINK("http://www.lingerieopt.ru/item/2616-komplekt-so-shnurovkami/","2616")</f>
      </c>
      <c r="B1525" s="8" t="s">
        <v>1519</v>
      </c>
      <c r="C1525" s="9">
        <v>1199</v>
      </c>
      <c r="D1525" s="0">
        <v>4</v>
      </c>
      <c r="E1525" s="10">
        <f>HYPERLINK("http://www.lingerieopt.ru/images/original/1d3b042d-18e2-4e40-a44b-7093c5c0ce15.jpg","Фото")</f>
      </c>
    </row>
    <row r="1526">
      <c r="A1526" s="7">
        <f>HYPERLINK("http://www.lingerieopt.ru/item/2616-komplekt-so-shnurovkami/","2616")</f>
      </c>
      <c r="B1526" s="8" t="s">
        <v>1520</v>
      </c>
      <c r="C1526" s="9">
        <v>1199</v>
      </c>
      <c r="D1526" s="0">
        <v>0</v>
      </c>
      <c r="E1526" s="10">
        <f>HYPERLINK("http://www.lingerieopt.ru/images/original/1d3b042d-18e2-4e40-a44b-7093c5c0ce15.jpg","Фото")</f>
      </c>
    </row>
    <row r="1527">
      <c r="A1527" s="7">
        <f>HYPERLINK("http://www.lingerieopt.ru/item/2728-komplekt-iz-setki/","2728")</f>
      </c>
      <c r="B1527" s="8" t="s">
        <v>1521</v>
      </c>
      <c r="C1527" s="9">
        <v>631</v>
      </c>
      <c r="D1527" s="0">
        <v>28</v>
      </c>
      <c r="E1527" s="10">
        <f>HYPERLINK("http://www.lingerieopt.ru/images/original/87a7312a-f4ad-4672-8805-f7ee3ed99717.jpg","Фото")</f>
      </c>
    </row>
    <row r="1528">
      <c r="A1528" s="7">
        <f>HYPERLINK("http://www.lingerieopt.ru/item/2736-armeiskii-kostyum/","2736")</f>
      </c>
      <c r="B1528" s="8" t="s">
        <v>1522</v>
      </c>
      <c r="C1528" s="9">
        <v>1100</v>
      </c>
      <c r="D1528" s="0">
        <v>3</v>
      </c>
      <c r="E1528" s="10">
        <f>HYPERLINK("http://www.lingerieopt.ru/images/original/b77ac4eb-dc1d-4b7c-9b07-a4c12aebd8e7.jpg","Фото")</f>
      </c>
    </row>
    <row r="1529">
      <c r="A1529" s="7">
        <f>HYPERLINK("http://www.lingerieopt.ru/item/2822-komplekt-essence/","2822")</f>
      </c>
      <c r="B1529" s="8" t="s">
        <v>1523</v>
      </c>
      <c r="C1529" s="9">
        <v>2080</v>
      </c>
      <c r="D1529" s="0">
        <v>6</v>
      </c>
      <c r="E1529" s="10">
        <f>HYPERLINK("http://www.lingerieopt.ru/images/original/04bc6db8-5cf2-4943-b85c-ef6c29a369ad.jpg","Фото")</f>
      </c>
    </row>
    <row r="1530">
      <c r="A1530" s="7">
        <f>HYPERLINK("http://www.lingerieopt.ru/item/2822-komplekt-essence/","2822")</f>
      </c>
      <c r="B1530" s="8" t="s">
        <v>1524</v>
      </c>
      <c r="C1530" s="9">
        <v>2080</v>
      </c>
      <c r="D1530" s="0">
        <v>0</v>
      </c>
      <c r="E1530" s="10">
        <f>HYPERLINK("http://www.lingerieopt.ru/images/original/04bc6db8-5cf2-4943-b85c-ef6c29a369ad.jpg","Фото")</f>
      </c>
    </row>
    <row r="1531">
      <c r="A1531" s="7">
        <f>HYPERLINK("http://www.lingerieopt.ru/item/3095-komplekt-atlasnogo-belogo-belya-mirabelle/","3095")</f>
      </c>
      <c r="B1531" s="8" t="s">
        <v>1525</v>
      </c>
      <c r="C1531" s="9">
        <v>996</v>
      </c>
      <c r="D1531" s="0">
        <v>1</v>
      </c>
      <c r="E1531" s="10">
        <f>HYPERLINK("http://www.lingerieopt.ru/images/original/47aabacf-1fb1-43f4-b451-e48319afb541.jpg","Фото")</f>
      </c>
    </row>
    <row r="1532">
      <c r="A1532" s="7">
        <f>HYPERLINK("http://www.lingerieopt.ru/item/3095-komplekt-atlasnogo-belogo-belya-mirabelle/","3095")</f>
      </c>
      <c r="B1532" s="8" t="s">
        <v>1526</v>
      </c>
      <c r="C1532" s="9">
        <v>996</v>
      </c>
      <c r="D1532" s="0">
        <v>3</v>
      </c>
      <c r="E1532" s="10">
        <f>HYPERLINK("http://www.lingerieopt.ru/images/original/47aabacf-1fb1-43f4-b451-e48319afb541.jpg","Фото")</f>
      </c>
    </row>
    <row r="1533">
      <c r="A1533" s="7">
        <f>HYPERLINK("http://www.lingerieopt.ru/item/3330-komplekt-ashley/","3330")</f>
      </c>
      <c r="B1533" s="8" t="s">
        <v>1527</v>
      </c>
      <c r="C1533" s="9">
        <v>1919</v>
      </c>
      <c r="D1533" s="0">
        <v>0</v>
      </c>
      <c r="E1533" s="10">
        <f>HYPERLINK("http://www.lingerieopt.ru/images/original/ab414198-2196-43c5-9902-ba4e87160cda.jpg","Фото")</f>
      </c>
    </row>
    <row r="1534">
      <c r="A1534" s="7">
        <f>HYPERLINK("http://www.lingerieopt.ru/item/3330-komplekt-ashley/","3330")</f>
      </c>
      <c r="B1534" s="8" t="s">
        <v>1528</v>
      </c>
      <c r="C1534" s="9">
        <v>1919</v>
      </c>
      <c r="D1534" s="0">
        <v>1</v>
      </c>
      <c r="E1534" s="10">
        <f>HYPERLINK("http://www.lingerieopt.ru/images/original/ab414198-2196-43c5-9902-ba4e87160cda.jpg","Фото")</f>
      </c>
    </row>
    <row r="1535">
      <c r="A1535" s="7">
        <f>HYPERLINK("http://www.lingerieopt.ru/item/3330-komplekt-ashley/","3330")</f>
      </c>
      <c r="B1535" s="8" t="s">
        <v>1529</v>
      </c>
      <c r="C1535" s="9">
        <v>1919</v>
      </c>
      <c r="D1535" s="0">
        <v>0</v>
      </c>
      <c r="E1535" s="10">
        <f>HYPERLINK("http://www.lingerieopt.ru/images/original/ab414198-2196-43c5-9902-ba4e87160cda.jpg","Фото")</f>
      </c>
    </row>
    <row r="1536">
      <c r="A1536" s="7">
        <f>HYPERLINK("http://www.lingerieopt.ru/item/3354-chuvstvennji-komplekt-belya-violence/","3354")</f>
      </c>
      <c r="B1536" s="8" t="s">
        <v>1530</v>
      </c>
      <c r="C1536" s="9">
        <v>1296</v>
      </c>
      <c r="D1536" s="0">
        <v>2</v>
      </c>
      <c r="E1536" s="10">
        <f>HYPERLINK("http://www.lingerieopt.ru/images/original/f25f06b3-dd85-48e6-a31e-1f4d1ad90798.jpg","Фото")</f>
      </c>
    </row>
    <row r="1537">
      <c r="A1537" s="7">
        <f>HYPERLINK("http://www.lingerieopt.ru/item/3354-chuvstvennji-komplekt-belya-violence/","3354")</f>
      </c>
      <c r="B1537" s="8" t="s">
        <v>1531</v>
      </c>
      <c r="C1537" s="9">
        <v>1296</v>
      </c>
      <c r="D1537" s="0">
        <v>6</v>
      </c>
      <c r="E1537" s="10">
        <f>HYPERLINK("http://www.lingerieopt.ru/images/original/f25f06b3-dd85-48e6-a31e-1f4d1ad90798.jpg","Фото")</f>
      </c>
    </row>
    <row r="1538">
      <c r="A1538" s="7">
        <f>HYPERLINK("http://www.lingerieopt.ru/item/3357-nezhno-rozovji-komplekt-lolita/","3357")</f>
      </c>
      <c r="B1538" s="8" t="s">
        <v>1532</v>
      </c>
      <c r="C1538" s="9">
        <v>872</v>
      </c>
      <c r="D1538" s="0">
        <v>4</v>
      </c>
      <c r="E1538" s="10">
        <f>HYPERLINK("http://www.lingerieopt.ru/images/original/51a1a5bf-4243-461c-ad2b-247c2a3d058c.jpg","Фото")</f>
      </c>
    </row>
    <row r="1539">
      <c r="A1539" s="7">
        <f>HYPERLINK("http://www.lingerieopt.ru/item/3357-nezhno-rozovji-komplekt-lolita/","3357")</f>
      </c>
      <c r="B1539" s="8" t="s">
        <v>1533</v>
      </c>
      <c r="C1539" s="9">
        <v>872</v>
      </c>
      <c r="D1539" s="0">
        <v>0</v>
      </c>
      <c r="E1539" s="10">
        <f>HYPERLINK("http://www.lingerieopt.ru/images/original/51a1a5bf-4243-461c-ad2b-247c2a3d058c.jpg","Фото")</f>
      </c>
    </row>
    <row r="1540">
      <c r="A1540" s="7">
        <f>HYPERLINK("http://www.lingerieopt.ru/item/3358-atlasnji-komplekt-margo/","3358")</f>
      </c>
      <c r="B1540" s="8" t="s">
        <v>1534</v>
      </c>
      <c r="C1540" s="9">
        <v>786</v>
      </c>
      <c r="D1540" s="0">
        <v>3</v>
      </c>
      <c r="E1540" s="10">
        <f>HYPERLINK("http://www.lingerieopt.ru/images/original/a575971a-a7a8-469a-bd64-77ab7e32fffa.jpg","Фото")</f>
      </c>
    </row>
    <row r="1541">
      <c r="A1541" s="7">
        <f>HYPERLINK("http://www.lingerieopt.ru/item/3358-atlasnji-komplekt-margo/","3358")</f>
      </c>
      <c r="B1541" s="8" t="s">
        <v>1535</v>
      </c>
      <c r="C1541" s="9">
        <v>786</v>
      </c>
      <c r="D1541" s="0">
        <v>2</v>
      </c>
      <c r="E1541" s="10">
        <f>HYPERLINK("http://www.lingerieopt.ru/images/original/a575971a-a7a8-469a-bd64-77ab7e32fffa.jpg","Фото")</f>
      </c>
    </row>
    <row r="1542">
      <c r="A1542" s="7">
        <f>HYPERLINK("http://www.lingerieopt.ru/item/3442-setchatji-komplekt-top-s-rukavami-i-trusiki/","3442")</f>
      </c>
      <c r="B1542" s="8" t="s">
        <v>1536</v>
      </c>
      <c r="C1542" s="9">
        <v>394</v>
      </c>
      <c r="D1542" s="0">
        <v>30</v>
      </c>
      <c r="E1542" s="10">
        <f>HYPERLINK("http://www.lingerieopt.ru/images/original/6f45a5b5-68ca-4c04-9ec6-427d7ba5eb27.jpg","Фото")</f>
      </c>
    </row>
    <row r="1543">
      <c r="A1543" s="7">
        <f>HYPERLINK("http://www.lingerieopt.ru/item/3442-setchatji-komplekt-top-s-rukavami-i-trusiki/","3442")</f>
      </c>
      <c r="B1543" s="8" t="s">
        <v>1537</v>
      </c>
      <c r="C1543" s="9">
        <v>394</v>
      </c>
      <c r="D1543" s="0">
        <v>0</v>
      </c>
      <c r="E1543" s="10">
        <f>HYPERLINK("http://www.lingerieopt.ru/images/original/6f45a5b5-68ca-4c04-9ec6-427d7ba5eb27.jpg","Фото")</f>
      </c>
    </row>
    <row r="1544">
      <c r="A1544" s="7">
        <f>HYPERLINK("http://www.lingerieopt.ru/item/3468-rozovji-komplekt-top-s-pazhami-i-trusiki/","3468")</f>
      </c>
      <c r="B1544" s="8" t="s">
        <v>1538</v>
      </c>
      <c r="C1544" s="9">
        <v>572</v>
      </c>
      <c r="D1544" s="0">
        <v>6</v>
      </c>
      <c r="E1544" s="10">
        <f>HYPERLINK("http://www.lingerieopt.ru/images/original/4ede6a47-7a50-4469-bfc2-28ec9f52414d.jpg","Фото")</f>
      </c>
    </row>
    <row r="1545">
      <c r="A1545" s="7">
        <f>HYPERLINK("http://www.lingerieopt.ru/item/3470-komplekt-midnight-mesh/","3470")</f>
      </c>
      <c r="B1545" s="8" t="s">
        <v>1539</v>
      </c>
      <c r="C1545" s="9">
        <v>432</v>
      </c>
      <c r="D1545" s="0">
        <v>30</v>
      </c>
      <c r="E1545" s="10">
        <f>HYPERLINK("http://www.lingerieopt.ru/images/original/55bc4842-ff98-49cc-ac62-2796ba2797e5.jpg","Фото")</f>
      </c>
    </row>
    <row r="1546">
      <c r="A1546" s="7">
        <f>HYPERLINK("http://www.lingerieopt.ru/item/3470-komplekt-midnight-mesh/","3470")</f>
      </c>
      <c r="B1546" s="8" t="s">
        <v>1540</v>
      </c>
      <c r="C1546" s="9">
        <v>432</v>
      </c>
      <c r="D1546" s="0">
        <v>30</v>
      </c>
      <c r="E1546" s="10">
        <f>HYPERLINK("http://www.lingerieopt.ru/images/original/55bc4842-ff98-49cc-ac62-2796ba2797e5.jpg","Фото")</f>
      </c>
    </row>
    <row r="1547">
      <c r="A1547" s="7">
        <f>HYPERLINK("http://www.lingerieopt.ru/item/3475-kruzhevnoi-komplekt-s-rozovjm-satinom/","3475")</f>
      </c>
      <c r="B1547" s="8" t="s">
        <v>1541</v>
      </c>
      <c r="C1547" s="9">
        <v>660</v>
      </c>
      <c r="D1547" s="0">
        <v>1</v>
      </c>
      <c r="E1547" s="10">
        <f>HYPERLINK("http://www.lingerieopt.ru/images/original/798f7b41-9748-4f67-81e6-78181dbaaab1.jpg","Фото")</f>
      </c>
    </row>
    <row r="1548">
      <c r="A1548" s="7">
        <f>HYPERLINK("http://www.lingerieopt.ru/item/3492-komplekt-s-cepochkami/","3492")</f>
      </c>
      <c r="B1548" s="8" t="s">
        <v>1542</v>
      </c>
      <c r="C1548" s="9">
        <v>254</v>
      </c>
      <c r="D1548" s="0">
        <v>30</v>
      </c>
      <c r="E1548" s="10">
        <f>HYPERLINK("http://www.lingerieopt.ru/images/original/68c7272a-35cc-4cd4-8b23-bbcea4015623.jpg","Фото")</f>
      </c>
    </row>
    <row r="1549">
      <c r="A1549" s="7">
        <f>HYPERLINK("http://www.lingerieopt.ru/item/3500-setchatji-top-tuba-i-trusiki-na-zavyazochkah/","3500")</f>
      </c>
      <c r="B1549" s="8" t="s">
        <v>1543</v>
      </c>
      <c r="C1549" s="9">
        <v>419</v>
      </c>
      <c r="D1549" s="0">
        <v>6</v>
      </c>
      <c r="E1549" s="10">
        <f>HYPERLINK("http://www.lingerieopt.ru/images/original/eb8d3b85-8924-44c4-8380-20c0c8990b09.jpg","Фото")</f>
      </c>
    </row>
    <row r="1550">
      <c r="A1550" s="7">
        <f>HYPERLINK("http://www.lingerieopt.ru/item/3505-setchatji-komplekt-hhh/","3505")</f>
      </c>
      <c r="B1550" s="8" t="s">
        <v>1544</v>
      </c>
      <c r="C1550" s="9">
        <v>829</v>
      </c>
      <c r="D1550" s="0">
        <v>3</v>
      </c>
      <c r="E1550" s="10">
        <f>HYPERLINK("http://www.lingerieopt.ru/images/original/7fcff8f4-0d6f-474c-a9f9-20a27bfa85c4.jpg","Фото")</f>
      </c>
    </row>
    <row r="1551">
      <c r="A1551" s="7">
        <f>HYPERLINK("http://www.lingerieopt.ru/item/3546-lif-i-trusiki-s-uzorom-v-vide-melkih-serdec/","3546")</f>
      </c>
      <c r="B1551" s="8" t="s">
        <v>1545</v>
      </c>
      <c r="C1551" s="9">
        <v>1133</v>
      </c>
      <c r="D1551" s="0">
        <v>30</v>
      </c>
      <c r="E1551" s="10">
        <f>HYPERLINK("http://www.lingerieopt.ru/images/original/ab9b3a85-e868-4ed3-a02f-76b063102cb3.jpg","Фото")</f>
      </c>
    </row>
    <row r="1552">
      <c r="A1552" s="7">
        <f>HYPERLINK("http://www.lingerieopt.ru/item/3547-komplekt-sweet-kiss/","3547")</f>
      </c>
      <c r="B1552" s="8" t="s">
        <v>1546</v>
      </c>
      <c r="C1552" s="9">
        <v>1884</v>
      </c>
      <c r="D1552" s="0">
        <v>30</v>
      </c>
      <c r="E1552" s="10">
        <f>HYPERLINK("http://www.lingerieopt.ru/images/original/3ba10fb7-45a8-4d5a-a40d-c5ed2b438771.jpg","Фото")</f>
      </c>
    </row>
    <row r="1553">
      <c r="A1553" s="7">
        <f>HYPERLINK("http://www.lingerieopt.ru/item/3560-soblaznitelnji-komplekt/","3560")</f>
      </c>
      <c r="B1553" s="8" t="s">
        <v>1547</v>
      </c>
      <c r="C1553" s="9">
        <v>1133</v>
      </c>
      <c r="D1553" s="0">
        <v>6</v>
      </c>
      <c r="E1553" s="10">
        <f>HYPERLINK("http://www.lingerieopt.ru/images/original/e703311d-3738-433a-aac4-c3bc896644a4.jpg","Фото")</f>
      </c>
    </row>
    <row r="1554">
      <c r="A1554" s="7">
        <f>HYPERLINK("http://www.lingerieopt.ru/item/3575-znoinji-komplekt-safari/","3575")</f>
      </c>
      <c r="B1554" s="8" t="s">
        <v>1548</v>
      </c>
      <c r="C1554" s="9">
        <v>906</v>
      </c>
      <c r="D1554" s="0">
        <v>30</v>
      </c>
      <c r="E1554" s="10">
        <f>HYPERLINK("http://www.lingerieopt.ru/images/original/4d417bfd-7686-4e36-8e8f-90e8a3f49cbd.jpg","Фото")</f>
      </c>
    </row>
    <row r="1555">
      <c r="A1555" s="7">
        <f>HYPERLINK("http://www.lingerieopt.ru/item/3580-komplekt-iz-otkrjtogo-lifa-i-stringov-s-koketlivoi-shnurovkoi-szadi/","3580")</f>
      </c>
      <c r="B1555" s="8" t="s">
        <v>1549</v>
      </c>
      <c r="C1555" s="9">
        <v>444</v>
      </c>
      <c r="D1555" s="0">
        <v>30</v>
      </c>
      <c r="E1555" s="10">
        <f>HYPERLINK("http://www.lingerieopt.ru/images/original/966dba69-4844-480a-b660-1291548358ce.jpg","Фото")</f>
      </c>
    </row>
    <row r="1556">
      <c r="A1556" s="7">
        <f>HYPERLINK("http://www.lingerieopt.ru/item/3580-komplekt-iz-otkrjtogo-lifa-i-stringov-s-koketlivoi-shnurovkoi-szadi/","3580")</f>
      </c>
      <c r="B1556" s="8" t="s">
        <v>1550</v>
      </c>
      <c r="C1556" s="9">
        <v>444</v>
      </c>
      <c r="D1556" s="0">
        <v>0</v>
      </c>
      <c r="E1556" s="10">
        <f>HYPERLINK("http://www.lingerieopt.ru/images/original/966dba69-4844-480a-b660-1291548358ce.jpg","Фото")</f>
      </c>
    </row>
    <row r="1557">
      <c r="A1557" s="7">
        <f>HYPERLINK("http://www.lingerieopt.ru/item/3582-azhurnji-lif-i-mini-yubochka/","3582")</f>
      </c>
      <c r="B1557" s="8" t="s">
        <v>1551</v>
      </c>
      <c r="C1557" s="9">
        <v>906</v>
      </c>
      <c r="D1557" s="0">
        <v>0</v>
      </c>
      <c r="E1557" s="10">
        <f>HYPERLINK("http://www.lingerieopt.ru/images/original/8d731109-ba6a-4994-acd3-d670759f39b5.jpg","Фото")</f>
      </c>
    </row>
    <row r="1558">
      <c r="A1558" s="7">
        <f>HYPERLINK("http://www.lingerieopt.ru/item/3582-azhurnji-lif-i-mini-yubochka/","3582")</f>
      </c>
      <c r="B1558" s="8" t="s">
        <v>1552</v>
      </c>
      <c r="C1558" s="9">
        <v>906</v>
      </c>
      <c r="D1558" s="0">
        <v>1</v>
      </c>
      <c r="E1558" s="10">
        <f>HYPERLINK("http://www.lingerieopt.ru/images/original/8d731109-ba6a-4994-acd3-d670759f39b5.jpg","Фото")</f>
      </c>
    </row>
    <row r="1559">
      <c r="A1559" s="7">
        <f>HYPERLINK("http://www.lingerieopt.ru/item/3583-lif-i-trusiki-s-yarkoi-dekorativnoi-shnurovkoi/","3583")</f>
      </c>
      <c r="B1559" s="8" t="s">
        <v>1553</v>
      </c>
      <c r="C1559" s="9">
        <v>928</v>
      </c>
      <c r="D1559" s="0">
        <v>30</v>
      </c>
      <c r="E1559" s="10">
        <f>HYPERLINK("http://www.lingerieopt.ru/images/original/ae807a00-2359-40ee-a1a4-f5845ad1592b.jpg","Фото")</f>
      </c>
    </row>
    <row r="1560">
      <c r="A1560" s="7">
        <f>HYPERLINK("http://www.lingerieopt.ru/item/3587-sverkayuschii-komplekt-nizhnego-belya-sexy-shine/","3587")</f>
      </c>
      <c r="B1560" s="8" t="s">
        <v>1554</v>
      </c>
      <c r="C1560" s="9">
        <v>635</v>
      </c>
      <c r="D1560" s="0">
        <v>30</v>
      </c>
      <c r="E1560" s="10">
        <f>HYPERLINK("http://www.lingerieopt.ru/images/original/8fd3c0b7-a9ca-4ea9-b06f-c8efb3c904ce.jpg","Фото")</f>
      </c>
    </row>
    <row r="1561">
      <c r="A1561" s="7">
        <f>HYPERLINK("http://www.lingerieopt.ru/item/3587-sverkayuschii-komplekt-nizhnego-belya-sexy-shine/","3587")</f>
      </c>
      <c r="B1561" s="8" t="s">
        <v>1555</v>
      </c>
      <c r="C1561" s="9">
        <v>635</v>
      </c>
      <c r="D1561" s="0">
        <v>0</v>
      </c>
      <c r="E1561" s="10">
        <f>HYPERLINK("http://www.lingerieopt.ru/images/original/8fd3c0b7-a9ca-4ea9-b06f-c8efb3c904ce.jpg","Фото")</f>
      </c>
    </row>
    <row r="1562">
      <c r="A1562" s="7">
        <f>HYPERLINK("http://www.lingerieopt.ru/item/3587-sverkayuschii-komplekt-nizhnego-belya-sexy-shine/","3587")</f>
      </c>
      <c r="B1562" s="8" t="s">
        <v>1556</v>
      </c>
      <c r="C1562" s="9">
        <v>635</v>
      </c>
      <c r="D1562" s="0">
        <v>3</v>
      </c>
      <c r="E1562" s="10">
        <f>HYPERLINK("http://www.lingerieopt.ru/images/original/8fd3c0b7-a9ca-4ea9-b06f-c8efb3c904ce.jpg","Фото")</f>
      </c>
    </row>
    <row r="1563">
      <c r="A1563" s="7">
        <f>HYPERLINK("http://www.lingerieopt.ru/item/3787-kruzhevnoi-komplekt-s-ryushami/","3787")</f>
      </c>
      <c r="B1563" s="8" t="s">
        <v>1557</v>
      </c>
      <c r="C1563" s="9">
        <v>1570</v>
      </c>
      <c r="D1563" s="0">
        <v>0</v>
      </c>
      <c r="E1563" s="10">
        <f>HYPERLINK("http://www.lingerieopt.ru/images/original/c0b7009b-f965-41e7-9262-3fd10f37df65.jpg","Фото")</f>
      </c>
    </row>
    <row r="1564">
      <c r="A1564" s="7">
        <f>HYPERLINK("http://www.lingerieopt.ru/item/3787-kruzhevnoi-komplekt-s-ryushami/","3787")</f>
      </c>
      <c r="B1564" s="8" t="s">
        <v>1558</v>
      </c>
      <c r="C1564" s="9">
        <v>1570</v>
      </c>
      <c r="D1564" s="0">
        <v>1</v>
      </c>
      <c r="E1564" s="10">
        <f>HYPERLINK("http://www.lingerieopt.ru/images/original/c0b7009b-f965-41e7-9262-3fd10f37df65.jpg","Фото")</f>
      </c>
    </row>
    <row r="1565">
      <c r="A1565" s="7">
        <f>HYPERLINK("http://www.lingerieopt.ru/item/3787-kruzhevnoi-komplekt-s-ryushami/","3787")</f>
      </c>
      <c r="B1565" s="8" t="s">
        <v>1559</v>
      </c>
      <c r="C1565" s="9">
        <v>1570</v>
      </c>
      <c r="D1565" s="0">
        <v>0</v>
      </c>
      <c r="E1565" s="10">
        <f>HYPERLINK("http://www.lingerieopt.ru/images/original/c0b7009b-f965-41e7-9262-3fd10f37df65.jpg","Фото")</f>
      </c>
    </row>
    <row r="1566">
      <c r="A1566" s="7">
        <f>HYPERLINK("http://www.lingerieopt.ru/item/3789-leopardovji-lif-i-trusiki-s-paietkami/","3789")</f>
      </c>
      <c r="B1566" s="8" t="s">
        <v>1560</v>
      </c>
      <c r="C1566" s="9">
        <v>1441</v>
      </c>
      <c r="D1566" s="0">
        <v>3</v>
      </c>
      <c r="E1566" s="10">
        <f>HYPERLINK("http://www.lingerieopt.ru/images/original/1a86dd9a-4521-480d-b141-6ae124afb100.jpg","Фото")</f>
      </c>
    </row>
    <row r="1567">
      <c r="A1567" s="7">
        <f>HYPERLINK("http://www.lingerieopt.ru/item/3789-leopardovji-lif-i-trusiki-s-paietkami/","3789")</f>
      </c>
      <c r="B1567" s="8" t="s">
        <v>1561</v>
      </c>
      <c r="C1567" s="9">
        <v>1441</v>
      </c>
      <c r="D1567" s="0">
        <v>5</v>
      </c>
      <c r="E1567" s="10">
        <f>HYPERLINK("http://www.lingerieopt.ru/images/original/1a86dd9a-4521-480d-b141-6ae124afb100.jpg","Фото")</f>
      </c>
    </row>
    <row r="1568">
      <c r="A1568" s="7">
        <f>HYPERLINK("http://www.lingerieopt.ru/item/3789-leopardovji-lif-i-trusiki-s-paietkami/","3789")</f>
      </c>
      <c r="B1568" s="8" t="s">
        <v>1562</v>
      </c>
      <c r="C1568" s="9">
        <v>1441</v>
      </c>
      <c r="D1568" s="0">
        <v>4</v>
      </c>
      <c r="E1568" s="10">
        <f>HYPERLINK("http://www.lingerieopt.ru/images/original/1a86dd9a-4521-480d-b141-6ae124afb100.jpg","Фото")</f>
      </c>
    </row>
    <row r="1569">
      <c r="A1569" s="7">
        <f>HYPERLINK("http://www.lingerieopt.ru/item/3958-bodisyut-chernogo-cveta/","3958")</f>
      </c>
      <c r="B1569" s="8" t="s">
        <v>1563</v>
      </c>
      <c r="C1569" s="9">
        <v>1785</v>
      </c>
      <c r="D1569" s="0">
        <v>30</v>
      </c>
      <c r="E1569" s="10">
        <f>HYPERLINK("http://www.lingerieopt.ru/images/original/26bf3719-09a3-48d0-86b6-81ad072a4059.jpg","Фото")</f>
      </c>
    </row>
    <row r="1570">
      <c r="A1570" s="7">
        <f>HYPERLINK("http://www.lingerieopt.ru/item/3984-lif-i-yubochka-iz-blestyaschei-tkani/","3984")</f>
      </c>
      <c r="B1570" s="8" t="s">
        <v>1564</v>
      </c>
      <c r="C1570" s="9">
        <v>1104</v>
      </c>
      <c r="D1570" s="0">
        <v>31</v>
      </c>
      <c r="E1570" s="10">
        <f>HYPERLINK("http://www.lingerieopt.ru/images/original/e09b90bd-b709-4d0e-a93b-9663432b12ca.jpg","Фото")</f>
      </c>
    </row>
    <row r="1571">
      <c r="A1571" s="7">
        <f>HYPERLINK("http://www.lingerieopt.ru/item/3987-blestyaschii-lif-i-trusiki-s-poyaskom/","3987")</f>
      </c>
      <c r="B1571" s="8" t="s">
        <v>1565</v>
      </c>
      <c r="C1571" s="9">
        <v>1060</v>
      </c>
      <c r="D1571" s="0">
        <v>6</v>
      </c>
      <c r="E1571" s="10">
        <f>HYPERLINK("http://www.lingerieopt.ru/images/original/b51d8a7e-5666-42eb-98f0-08b3c7b18aea.jpg","Фото")</f>
      </c>
    </row>
    <row r="1572">
      <c r="A1572" s="7">
        <f>HYPERLINK("http://www.lingerieopt.ru/item/3990-komplekt-s-perekrestnoi-shnurovkoi/","3990")</f>
      </c>
      <c r="B1572" s="8" t="s">
        <v>1566</v>
      </c>
      <c r="C1572" s="9">
        <v>1317</v>
      </c>
      <c r="D1572" s="0">
        <v>31</v>
      </c>
      <c r="E1572" s="10">
        <f>HYPERLINK("http://www.lingerieopt.ru/images/original/cd49e3b3-d2b9-41a6-9338-d772c28c9365.jpg","Фото")</f>
      </c>
    </row>
    <row r="1573">
      <c r="A1573" s="7">
        <f>HYPERLINK("http://www.lingerieopt.ru/item/4033-kruzhevnoi-top-s-podvyazkami-dlya-chulok-i-trusiki/","4033")</f>
      </c>
      <c r="B1573" s="8" t="s">
        <v>1567</v>
      </c>
      <c r="C1573" s="9">
        <v>1949</v>
      </c>
      <c r="D1573" s="0">
        <v>0</v>
      </c>
      <c r="E1573" s="10">
        <f>HYPERLINK("http://www.lingerieopt.ru/images/original/573e76c3-4ee5-43ac-a185-92610068930d.jpg","Фото")</f>
      </c>
    </row>
    <row r="1574">
      <c r="A1574" s="7">
        <f>HYPERLINK("http://www.lingerieopt.ru/item/4033-kruzhevnoi-top-s-podvyazkami-dlya-chulok-i-trusiki/","4033")</f>
      </c>
      <c r="B1574" s="8" t="s">
        <v>1568</v>
      </c>
      <c r="C1574" s="9">
        <v>1949</v>
      </c>
      <c r="D1574" s="0">
        <v>0</v>
      </c>
      <c r="E1574" s="10">
        <f>HYPERLINK("http://www.lingerieopt.ru/images/original/573e76c3-4ee5-43ac-a185-92610068930d.jpg","Фото")</f>
      </c>
    </row>
    <row r="1575">
      <c r="A1575" s="7">
        <f>HYPERLINK("http://www.lingerieopt.ru/item/4033-kruzhevnoi-top-s-podvyazkami-dlya-chulok-i-trusiki/","4033")</f>
      </c>
      <c r="B1575" s="8" t="s">
        <v>1569</v>
      </c>
      <c r="C1575" s="9">
        <v>1949</v>
      </c>
      <c r="D1575" s="0">
        <v>30</v>
      </c>
      <c r="E1575" s="10">
        <f>HYPERLINK("http://www.lingerieopt.ru/images/original/573e76c3-4ee5-43ac-a185-92610068930d.jpg","Фото")</f>
      </c>
    </row>
    <row r="1576">
      <c r="A1576" s="7">
        <f>HYPERLINK("http://www.lingerieopt.ru/item/4065-komplekt-s-leopardovjm-printom/","4065")</f>
      </c>
      <c r="B1576" s="8" t="s">
        <v>1570</v>
      </c>
      <c r="C1576" s="9">
        <v>1949</v>
      </c>
      <c r="D1576" s="0">
        <v>30</v>
      </c>
      <c r="E1576" s="10">
        <f>HYPERLINK("http://www.lingerieopt.ru/images/original/eb20e2f0-ec17-4527-9b27-30b64fd9f2ee.jpg","Фото")</f>
      </c>
    </row>
    <row r="1577">
      <c r="A1577" s="7">
        <f>HYPERLINK("http://www.lingerieopt.ru/item/4131-pizhamnji-komplekt-iz-maechki-i-shortikov/","4131")</f>
      </c>
      <c r="B1577" s="8" t="s">
        <v>1571</v>
      </c>
      <c r="C1577" s="9">
        <v>2275</v>
      </c>
      <c r="D1577" s="0">
        <v>0</v>
      </c>
      <c r="E1577" s="10">
        <f>HYPERLINK("http://www.lingerieopt.ru/images/original/a368e8d7-9e90-40df-8c30-20d181d63fe5.jpg","Фото")</f>
      </c>
    </row>
    <row r="1578">
      <c r="A1578" s="7">
        <f>HYPERLINK("http://www.lingerieopt.ru/item/4131-pizhamnji-komplekt-iz-maechki-i-shortikov/","4131")</f>
      </c>
      <c r="B1578" s="8" t="s">
        <v>1572</v>
      </c>
      <c r="C1578" s="9">
        <v>2275</v>
      </c>
      <c r="D1578" s="0">
        <v>0</v>
      </c>
      <c r="E1578" s="10">
        <f>HYPERLINK("http://www.lingerieopt.ru/images/original/a368e8d7-9e90-40df-8c30-20d181d63fe5.jpg","Фото")</f>
      </c>
    </row>
    <row r="1579">
      <c r="A1579" s="7">
        <f>HYPERLINK("http://www.lingerieopt.ru/item/4131-pizhamnji-komplekt-iz-maechki-i-shortikov/","4131")</f>
      </c>
      <c r="B1579" s="8" t="s">
        <v>1573</v>
      </c>
      <c r="C1579" s="9">
        <v>2275</v>
      </c>
      <c r="D1579" s="0">
        <v>0</v>
      </c>
      <c r="E1579" s="10">
        <f>HYPERLINK("http://www.lingerieopt.ru/images/original/a368e8d7-9e90-40df-8c30-20d181d63fe5.jpg","Фото")</f>
      </c>
    </row>
    <row r="1580">
      <c r="A1580" s="7">
        <f>HYPERLINK("http://www.lingerieopt.ru/item/4131-pizhamnji-komplekt-iz-maechki-i-shortikov/","4131")</f>
      </c>
      <c r="B1580" s="8" t="s">
        <v>1574</v>
      </c>
      <c r="C1580" s="9">
        <v>2275</v>
      </c>
      <c r="D1580" s="0">
        <v>0</v>
      </c>
      <c r="E1580" s="10">
        <f>HYPERLINK("http://www.lingerieopt.ru/images/original/a368e8d7-9e90-40df-8c30-20d181d63fe5.jpg","Фото")</f>
      </c>
    </row>
    <row r="1581">
      <c r="A1581" s="7">
        <f>HYPERLINK("http://www.lingerieopt.ru/item/4131-pizhamnji-komplekt-iz-maechki-i-shortikov/","4131")</f>
      </c>
      <c r="B1581" s="8" t="s">
        <v>1575</v>
      </c>
      <c r="C1581" s="9">
        <v>2275</v>
      </c>
      <c r="D1581" s="0">
        <v>0</v>
      </c>
      <c r="E1581" s="10">
        <f>HYPERLINK("http://www.lingerieopt.ru/images/original/a368e8d7-9e90-40df-8c30-20d181d63fe5.jpg","Фото")</f>
      </c>
    </row>
    <row r="1582">
      <c r="A1582" s="7">
        <f>HYPERLINK("http://www.lingerieopt.ru/item/4131-pizhamnji-komplekt-iz-maechki-i-shortikov/","4131")</f>
      </c>
      <c r="B1582" s="8" t="s">
        <v>1576</v>
      </c>
      <c r="C1582" s="9">
        <v>2275</v>
      </c>
      <c r="D1582" s="0">
        <v>0</v>
      </c>
      <c r="E1582" s="10">
        <f>HYPERLINK("http://www.lingerieopt.ru/images/original/a368e8d7-9e90-40df-8c30-20d181d63fe5.jpg","Фото")</f>
      </c>
    </row>
    <row r="1583">
      <c r="A1583" s="7">
        <f>HYPERLINK("http://www.lingerieopt.ru/item/4131-pizhamnji-komplekt-iz-maechki-i-shortikov/","4131")</f>
      </c>
      <c r="B1583" s="8" t="s">
        <v>1577</v>
      </c>
      <c r="C1583" s="9">
        <v>2275</v>
      </c>
      <c r="D1583" s="0">
        <v>0</v>
      </c>
      <c r="E1583" s="10">
        <f>HYPERLINK("http://www.lingerieopt.ru/images/original/a368e8d7-9e90-40df-8c30-20d181d63fe5.jpg","Фото")</f>
      </c>
    </row>
    <row r="1584">
      <c r="A1584" s="7">
        <f>HYPERLINK("http://www.lingerieopt.ru/item/4131-pizhamnji-komplekt-iz-maechki-i-shortikov/","4131")</f>
      </c>
      <c r="B1584" s="8" t="s">
        <v>1578</v>
      </c>
      <c r="C1584" s="9">
        <v>2275</v>
      </c>
      <c r="D1584" s="0">
        <v>6</v>
      </c>
      <c r="E1584" s="10">
        <f>HYPERLINK("http://www.lingerieopt.ru/images/original/a368e8d7-9e90-40df-8c30-20d181d63fe5.jpg","Фото")</f>
      </c>
    </row>
    <row r="1585">
      <c r="A1585" s="7">
        <f>HYPERLINK("http://www.lingerieopt.ru/item/4131-pizhamnji-komplekt-iz-maechki-i-shortikov/","4131")</f>
      </c>
      <c r="B1585" s="8" t="s">
        <v>1579</v>
      </c>
      <c r="C1585" s="9">
        <v>2275</v>
      </c>
      <c r="D1585" s="0">
        <v>6</v>
      </c>
      <c r="E1585" s="10">
        <f>HYPERLINK("http://www.lingerieopt.ru/images/original/a368e8d7-9e90-40df-8c30-20d181d63fe5.jpg","Фото")</f>
      </c>
    </row>
    <row r="1586">
      <c r="A1586" s="7">
        <f>HYPERLINK("http://www.lingerieopt.ru/item/4131-pizhamnji-komplekt-iz-maechki-i-shortikov/","4131")</f>
      </c>
      <c r="B1586" s="8" t="s">
        <v>1580</v>
      </c>
      <c r="C1586" s="9">
        <v>2275</v>
      </c>
      <c r="D1586" s="0">
        <v>0</v>
      </c>
      <c r="E1586" s="10">
        <f>HYPERLINK("http://www.lingerieopt.ru/images/original/a368e8d7-9e90-40df-8c30-20d181d63fe5.jpg","Фото")</f>
      </c>
    </row>
    <row r="1587">
      <c r="A1587" s="7">
        <f>HYPERLINK("http://www.lingerieopt.ru/item/4131-pizhamnji-komplekt-iz-maechki-i-shortikov/","4131")</f>
      </c>
      <c r="B1587" s="8" t="s">
        <v>1581</v>
      </c>
      <c r="C1587" s="9">
        <v>2275</v>
      </c>
      <c r="D1587" s="0">
        <v>3</v>
      </c>
      <c r="E1587" s="10">
        <f>HYPERLINK("http://www.lingerieopt.ru/images/original/a368e8d7-9e90-40df-8c30-20d181d63fe5.jpg","Фото")</f>
      </c>
    </row>
    <row r="1588">
      <c r="A1588" s="7">
        <f>HYPERLINK("http://www.lingerieopt.ru/item/4131-pizhamnji-komplekt-iz-maechki-i-shortikov/","4131")</f>
      </c>
      <c r="B1588" s="8" t="s">
        <v>1582</v>
      </c>
      <c r="C1588" s="9">
        <v>2275</v>
      </c>
      <c r="D1588" s="0">
        <v>6</v>
      </c>
      <c r="E1588" s="10">
        <f>HYPERLINK("http://www.lingerieopt.ru/images/original/a368e8d7-9e90-40df-8c30-20d181d63fe5.jpg","Фото")</f>
      </c>
    </row>
    <row r="1589">
      <c r="A1589" s="7">
        <f>HYPERLINK("http://www.lingerieopt.ru/item/4131-pizhamnji-komplekt-iz-maechki-i-shortikov/","4131")</f>
      </c>
      <c r="B1589" s="8" t="s">
        <v>1583</v>
      </c>
      <c r="C1589" s="9">
        <v>2275</v>
      </c>
      <c r="D1589" s="0">
        <v>6</v>
      </c>
      <c r="E1589" s="10">
        <f>HYPERLINK("http://www.lingerieopt.ru/images/original/a368e8d7-9e90-40df-8c30-20d181d63fe5.jpg","Фото")</f>
      </c>
    </row>
    <row r="1590">
      <c r="A1590" s="7">
        <f>HYPERLINK("http://www.lingerieopt.ru/item/4131-pizhamnji-komplekt-iz-maechki-i-shortikov/","4131")</f>
      </c>
      <c r="B1590" s="8" t="s">
        <v>1584</v>
      </c>
      <c r="C1590" s="9">
        <v>2275</v>
      </c>
      <c r="D1590" s="0">
        <v>6</v>
      </c>
      <c r="E1590" s="10">
        <f>HYPERLINK("http://www.lingerieopt.ru/images/original/a368e8d7-9e90-40df-8c30-20d181d63fe5.jpg","Фото")</f>
      </c>
    </row>
    <row r="1591">
      <c r="A1591" s="7">
        <f>HYPERLINK("http://www.lingerieopt.ru/item/4131-pizhamnji-komplekt-iz-maechki-i-shortikov/","4131")</f>
      </c>
      <c r="B1591" s="8" t="s">
        <v>1585</v>
      </c>
      <c r="C1591" s="9">
        <v>2275</v>
      </c>
      <c r="D1591" s="0">
        <v>0</v>
      </c>
      <c r="E1591" s="10">
        <f>HYPERLINK("http://www.lingerieopt.ru/images/original/a368e8d7-9e90-40df-8c30-20d181d63fe5.jpg","Фото")</f>
      </c>
    </row>
    <row r="1592">
      <c r="A1592" s="7">
        <f>HYPERLINK("http://www.lingerieopt.ru/item/4161-kruzhevnoi-top-s-glubokim-vjrezom/","4161")</f>
      </c>
      <c r="B1592" s="8" t="s">
        <v>1586</v>
      </c>
      <c r="C1592" s="9">
        <v>2111</v>
      </c>
      <c r="D1592" s="0">
        <v>0</v>
      </c>
      <c r="E1592" s="10">
        <f>HYPERLINK("http://www.lingerieopt.ru/images/original/d5e825fe-265f-40a9-ad37-afdcffa573a5.jpg","Фото")</f>
      </c>
    </row>
    <row r="1593">
      <c r="A1593" s="7">
        <f>HYPERLINK("http://www.lingerieopt.ru/item/4161-kruzhevnoi-top-s-glubokim-vjrezom/","4161")</f>
      </c>
      <c r="B1593" s="8" t="s">
        <v>1587</v>
      </c>
      <c r="C1593" s="9">
        <v>2111</v>
      </c>
      <c r="D1593" s="0">
        <v>1</v>
      </c>
      <c r="E1593" s="10">
        <f>HYPERLINK("http://www.lingerieopt.ru/images/original/d5e825fe-265f-40a9-ad37-afdcffa573a5.jpg","Фото")</f>
      </c>
    </row>
    <row r="1594">
      <c r="A1594" s="7">
        <f>HYPERLINK("http://www.lingerieopt.ru/item/4161-kruzhevnoi-top-s-glubokim-vjrezom/","4161")</f>
      </c>
      <c r="B1594" s="8" t="s">
        <v>1588</v>
      </c>
      <c r="C1594" s="9">
        <v>2111</v>
      </c>
      <c r="D1594" s="0">
        <v>0</v>
      </c>
      <c r="E1594" s="10">
        <f>HYPERLINK("http://www.lingerieopt.ru/images/original/d5e825fe-265f-40a9-ad37-afdcffa573a5.jpg","Фото")</f>
      </c>
    </row>
    <row r="1595">
      <c r="A1595" s="7">
        <f>HYPERLINK("http://www.lingerieopt.ru/item/4413-komplekt-belya-intensa/","4413")</f>
      </c>
      <c r="B1595" s="8" t="s">
        <v>1589</v>
      </c>
      <c r="C1595" s="9">
        <v>1226</v>
      </c>
      <c r="D1595" s="0">
        <v>12</v>
      </c>
      <c r="E1595" s="10">
        <f>HYPERLINK("http://www.lingerieopt.ru/images/original/4ad189ff-fa5b-4b22-a169-dd44c6d2b8ac.jpg","Фото")</f>
      </c>
    </row>
    <row r="1596">
      <c r="A1596" s="7">
        <f>HYPERLINK("http://www.lingerieopt.ru/item/4413-komplekt-belya-intensa/","4413")</f>
      </c>
      <c r="B1596" s="8" t="s">
        <v>1590</v>
      </c>
      <c r="C1596" s="9">
        <v>1226</v>
      </c>
      <c r="D1596" s="0">
        <v>10</v>
      </c>
      <c r="E1596" s="10">
        <f>HYPERLINK("http://www.lingerieopt.ru/images/original/4ad189ff-fa5b-4b22-a169-dd44c6d2b8ac.jpg","Фото")</f>
      </c>
    </row>
    <row r="1597">
      <c r="A1597" s="7">
        <f>HYPERLINK("http://www.lingerieopt.ru/item/4435-leopardovje-top-maechka-i-shortiki/","4435")</f>
      </c>
      <c r="B1597" s="8" t="s">
        <v>1591</v>
      </c>
      <c r="C1597" s="9">
        <v>2111</v>
      </c>
      <c r="D1597" s="0">
        <v>30</v>
      </c>
      <c r="E1597" s="10">
        <f>HYPERLINK("http://www.lingerieopt.ru/images/original/b3434533-d473-4774-a89f-dbf9f5ddf34f.jpg","Фото")</f>
      </c>
    </row>
    <row r="1598">
      <c r="A1598" s="7">
        <f>HYPERLINK("http://www.lingerieopt.ru/item/4671-kruzhevnoi-komplekt-s-lentoi-maskoi-na-glaza/","4671")</f>
      </c>
      <c r="B1598" s="8" t="s">
        <v>1592</v>
      </c>
      <c r="C1598" s="9">
        <v>1653</v>
      </c>
      <c r="D1598" s="0">
        <v>1</v>
      </c>
      <c r="E1598" s="10">
        <f>HYPERLINK("http://www.lingerieopt.ru/images/original/ed892a31-4968-426b-8e3c-1eade75b0751.jpg","Фото")</f>
      </c>
    </row>
    <row r="1599">
      <c r="A1599" s="7">
        <f>HYPERLINK("http://www.lingerieopt.ru/item/4709-poluprozrachnji-komplekt-libby-s-bantikami/","4709")</f>
      </c>
      <c r="B1599" s="8" t="s">
        <v>1593</v>
      </c>
      <c r="C1599" s="9">
        <v>1158</v>
      </c>
      <c r="D1599" s="0">
        <v>5</v>
      </c>
      <c r="E1599" s="10">
        <f>HYPERLINK("http://www.lingerieopt.ru/images/original/8abc6592-a994-4bc9-bfea-fa54fff16995.jpg","Фото")</f>
      </c>
    </row>
    <row r="1600">
      <c r="A1600" s="7">
        <f>HYPERLINK("http://www.lingerieopt.ru/item/4709-poluprozrachnji-komplekt-libby-s-bantikami/","4709")</f>
      </c>
      <c r="B1600" s="8" t="s">
        <v>1594</v>
      </c>
      <c r="C1600" s="9">
        <v>1158</v>
      </c>
      <c r="D1600" s="0">
        <v>4</v>
      </c>
      <c r="E1600" s="10">
        <f>HYPERLINK("http://www.lingerieopt.ru/images/original/8abc6592-a994-4bc9-bfea-fa54fff16995.jpg","Фото")</f>
      </c>
    </row>
    <row r="1601">
      <c r="A1601" s="7">
        <f>HYPERLINK("http://www.lingerieopt.ru/item/4763-komplekt-rayen-s-kruzhevami-i-shirokim-poyasom-dlya-chulok/","4763")</f>
      </c>
      <c r="B1601" s="8" t="s">
        <v>1595</v>
      </c>
      <c r="C1601" s="9">
        <v>1244</v>
      </c>
      <c r="D1601" s="0">
        <v>2</v>
      </c>
      <c r="E1601" s="10">
        <f>HYPERLINK("http://www.lingerieopt.ru/images/original/16fdb962-20d2-4192-9b9c-50bddd5ec1bf.jpg","Фото")</f>
      </c>
    </row>
    <row r="1602">
      <c r="A1602" s="7">
        <f>HYPERLINK("http://www.lingerieopt.ru/item/4763-komplekt-rayen-s-kruzhevami-i-shirokim-poyasom-dlya-chulok/","4763")</f>
      </c>
      <c r="B1602" s="8" t="s">
        <v>1596</v>
      </c>
      <c r="C1602" s="9">
        <v>1244</v>
      </c>
      <c r="D1602" s="0">
        <v>1</v>
      </c>
      <c r="E1602" s="10">
        <f>HYPERLINK("http://www.lingerieopt.ru/images/original/16fdb962-20d2-4192-9b9c-50bddd5ec1bf.jpg","Фото")</f>
      </c>
    </row>
    <row r="1603">
      <c r="A1603" s="7">
        <f>HYPERLINK("http://www.lingerieopt.ru/item/4763-komplekt-rayen-s-kruzhevami-i-shirokim-poyasom-dlya-chulok/","4763")</f>
      </c>
      <c r="B1603" s="8" t="s">
        <v>1597</v>
      </c>
      <c r="C1603" s="9">
        <v>1244</v>
      </c>
      <c r="D1603" s="0">
        <v>3</v>
      </c>
      <c r="E1603" s="10">
        <f>HYPERLINK("http://www.lingerieopt.ru/images/original/16fdb962-20d2-4192-9b9c-50bddd5ec1bf.jpg","Фото")</f>
      </c>
    </row>
    <row r="1604">
      <c r="A1604" s="7">
        <f>HYPERLINK("http://www.lingerieopt.ru/item/4763-komplekt-rayen-s-kruzhevami-i-shirokim-poyasom-dlya-chulok/","4763")</f>
      </c>
      <c r="B1604" s="8" t="s">
        <v>1598</v>
      </c>
      <c r="C1604" s="9">
        <v>1244</v>
      </c>
      <c r="D1604" s="0">
        <v>1</v>
      </c>
      <c r="E1604" s="10">
        <f>HYPERLINK("http://www.lingerieopt.ru/images/original/16fdb962-20d2-4192-9b9c-50bddd5ec1bf.jpg","Фото")</f>
      </c>
    </row>
    <row r="1605">
      <c r="A1605" s="7">
        <f>HYPERLINK("http://www.lingerieopt.ru/item/4796-komplekt-sonya-s-metallicheskimi-vstavkami/","4796")</f>
      </c>
      <c r="B1605" s="8" t="s">
        <v>1599</v>
      </c>
      <c r="C1605" s="9">
        <v>1075</v>
      </c>
      <c r="D1605" s="0">
        <v>4</v>
      </c>
      <c r="E1605" s="10">
        <f>HYPERLINK("http://www.lingerieopt.ru/images/original/49592815-c173-4308-a2cb-ad8dab1e3dcb.jpg","Фото")</f>
      </c>
    </row>
    <row r="1606">
      <c r="A1606" s="7">
        <f>HYPERLINK("http://www.lingerieopt.ru/item/4796-komplekt-sonya-s-metallicheskimi-vstavkami/","4796")</f>
      </c>
      <c r="B1606" s="8" t="s">
        <v>1600</v>
      </c>
      <c r="C1606" s="9">
        <v>1075</v>
      </c>
      <c r="D1606" s="0">
        <v>5</v>
      </c>
      <c r="E1606" s="10">
        <f>HYPERLINK("http://www.lingerieopt.ru/images/original/49592815-c173-4308-a2cb-ad8dab1e3dcb.jpg","Фото")</f>
      </c>
    </row>
    <row r="1607">
      <c r="A1607" s="7">
        <f>HYPERLINK("http://www.lingerieopt.ru/item/4796-komplekt-sonya-s-metallicheskimi-vstavkami/","4796")</f>
      </c>
      <c r="B1607" s="8" t="s">
        <v>1601</v>
      </c>
      <c r="C1607" s="9">
        <v>1075</v>
      </c>
      <c r="D1607" s="0">
        <v>5</v>
      </c>
      <c r="E1607" s="10">
        <f>HYPERLINK("http://www.lingerieopt.ru/images/original/49592815-c173-4308-a2cb-ad8dab1e3dcb.jpg","Фото")</f>
      </c>
    </row>
    <row r="1608">
      <c r="A1608" s="7">
        <f>HYPERLINK("http://www.lingerieopt.ru/item/4796-komplekt-sonya-s-metallicheskimi-vstavkami/","4796")</f>
      </c>
      <c r="B1608" s="8" t="s">
        <v>1602</v>
      </c>
      <c r="C1608" s="9">
        <v>1075</v>
      </c>
      <c r="D1608" s="0">
        <v>3</v>
      </c>
      <c r="E1608" s="10">
        <f>HYPERLINK("http://www.lingerieopt.ru/images/original/49592815-c173-4308-a2cb-ad8dab1e3dcb.jpg","Фото")</f>
      </c>
    </row>
    <row r="1609">
      <c r="A1609" s="7">
        <f>HYPERLINK("http://www.lingerieopt.ru/item/4797-komplekt-gina-iz-trusikov-i-lifa-s-otkrjtjmi-chashechkami/","4797")</f>
      </c>
      <c r="B1609" s="8" t="s">
        <v>1603</v>
      </c>
      <c r="C1609" s="9">
        <v>839</v>
      </c>
      <c r="D1609" s="0">
        <v>4</v>
      </c>
      <c r="E1609" s="10">
        <f>HYPERLINK("http://www.lingerieopt.ru/images/original/855b79a5-eddf-4cd2-94a8-d8434c5d9b9d.jpg","Фото")</f>
      </c>
    </row>
    <row r="1610">
      <c r="A1610" s="7">
        <f>HYPERLINK("http://www.lingerieopt.ru/item/4797-komplekt-gina-iz-trusikov-i-lifa-s-otkrjtjmi-chashechkami/","4797")</f>
      </c>
      <c r="B1610" s="8" t="s">
        <v>1604</v>
      </c>
      <c r="C1610" s="9">
        <v>839</v>
      </c>
      <c r="D1610" s="0">
        <v>5</v>
      </c>
      <c r="E1610" s="10">
        <f>HYPERLINK("http://www.lingerieopt.ru/images/original/855b79a5-eddf-4cd2-94a8-d8434c5d9b9d.jpg","Фото")</f>
      </c>
    </row>
    <row r="1611">
      <c r="A1611" s="7">
        <f>HYPERLINK("http://www.lingerieopt.ru/item/4797-komplekt-gina-iz-trusikov-i-lifa-s-otkrjtjmi-chashechkami/","4797")</f>
      </c>
      <c r="B1611" s="8" t="s">
        <v>1605</v>
      </c>
      <c r="C1611" s="9">
        <v>839</v>
      </c>
      <c r="D1611" s="0">
        <v>7</v>
      </c>
      <c r="E1611" s="10">
        <f>HYPERLINK("http://www.lingerieopt.ru/images/original/855b79a5-eddf-4cd2-94a8-d8434c5d9b9d.jpg","Фото")</f>
      </c>
    </row>
    <row r="1612">
      <c r="A1612" s="7">
        <f>HYPERLINK("http://www.lingerieopt.ru/item/4797-komplekt-gina-iz-trusikov-i-lifa-s-otkrjtjmi-chashechkami/","4797")</f>
      </c>
      <c r="B1612" s="8" t="s">
        <v>1606</v>
      </c>
      <c r="C1612" s="9">
        <v>839</v>
      </c>
      <c r="D1612" s="0">
        <v>6</v>
      </c>
      <c r="E1612" s="10">
        <f>HYPERLINK("http://www.lingerieopt.ru/images/original/855b79a5-eddf-4cd2-94a8-d8434c5d9b9d.jpg","Фото")</f>
      </c>
    </row>
    <row r="1613">
      <c r="A1613" s="7">
        <f>HYPERLINK("http://www.lingerieopt.ru/item/4868-komplekt-iz-treh-predmetov-empressia/","4868")</f>
      </c>
      <c r="B1613" s="8" t="s">
        <v>1607</v>
      </c>
      <c r="C1613" s="9">
        <v>1696</v>
      </c>
      <c r="D1613" s="0">
        <v>12</v>
      </c>
      <c r="E1613" s="10">
        <f>HYPERLINK("http://www.lingerieopt.ru/images/original/7880fe4d-808d-4a57-9347-5986c7796392.jpg","Фото")</f>
      </c>
    </row>
    <row r="1614">
      <c r="A1614" s="7">
        <f>HYPERLINK("http://www.lingerieopt.ru/item/4868-komplekt-iz-treh-predmetov-empressia/","4868")</f>
      </c>
      <c r="B1614" s="8" t="s">
        <v>1608</v>
      </c>
      <c r="C1614" s="9">
        <v>1696</v>
      </c>
      <c r="D1614" s="0">
        <v>12</v>
      </c>
      <c r="E1614" s="10">
        <f>HYPERLINK("http://www.lingerieopt.ru/images/original/7880fe4d-808d-4a57-9347-5986c7796392.jpg","Фото")</f>
      </c>
    </row>
    <row r="1615">
      <c r="A1615" s="7">
        <f>HYPERLINK("http://www.lingerieopt.ru/item/4874-komplekt-v-stile-burlesk-roxana/","4874")</f>
      </c>
      <c r="B1615" s="8" t="s">
        <v>1609</v>
      </c>
      <c r="C1615" s="9">
        <v>394</v>
      </c>
      <c r="D1615" s="0">
        <v>8</v>
      </c>
      <c r="E1615" s="10">
        <f>HYPERLINK("http://www.lingerieopt.ru/images/original/20a43795-339f-4113-b53b-44cafed22775.jpg","Фото")</f>
      </c>
    </row>
    <row r="1616">
      <c r="A1616" s="7">
        <f>HYPERLINK("http://www.lingerieopt.ru/item/4874-komplekt-v-stile-burlesk-roxana/","4874")</f>
      </c>
      <c r="B1616" s="8" t="s">
        <v>1610</v>
      </c>
      <c r="C1616" s="9">
        <v>394</v>
      </c>
      <c r="D1616" s="0">
        <v>51</v>
      </c>
      <c r="E1616" s="10">
        <f>HYPERLINK("http://www.lingerieopt.ru/images/original/20a43795-339f-4113-b53b-44cafed22775.jpg","Фото")</f>
      </c>
    </row>
    <row r="1617">
      <c r="A1617" s="7">
        <f>HYPERLINK("http://www.lingerieopt.ru/item/4895-komplekt-iz-4-predmetov/","4895")</f>
      </c>
      <c r="B1617" s="8" t="s">
        <v>1611</v>
      </c>
      <c r="C1617" s="9">
        <v>2111</v>
      </c>
      <c r="D1617" s="0">
        <v>6</v>
      </c>
      <c r="E1617" s="10">
        <f>HYPERLINK("http://www.lingerieopt.ru/images/original/5303fadf-6296-4d90-9ef6-0e7897ec4b13.jpg","Фото")</f>
      </c>
    </row>
    <row r="1618">
      <c r="A1618" s="7">
        <f>HYPERLINK("http://www.lingerieopt.ru/item/4899-komlekt-iz-3-predmetov/","4899")</f>
      </c>
      <c r="B1618" s="8" t="s">
        <v>1612</v>
      </c>
      <c r="C1618" s="9">
        <v>1949</v>
      </c>
      <c r="D1618" s="0">
        <v>6</v>
      </c>
      <c r="E1618" s="10">
        <f>HYPERLINK("http://www.lingerieopt.ru/images/original/1dea1e0a-3ba9-4734-a010-f716f194f750.jpg","Фото")</f>
      </c>
    </row>
    <row r="1619">
      <c r="A1619" s="7">
        <f>HYPERLINK("http://www.lingerieopt.ru/item/4929-komplekt-belya-lora-iz-elastichnjh-lent/","4929")</f>
      </c>
      <c r="B1619" s="8" t="s">
        <v>1613</v>
      </c>
      <c r="C1619" s="9">
        <v>1522</v>
      </c>
      <c r="D1619" s="0">
        <v>9</v>
      </c>
      <c r="E1619" s="10">
        <f>HYPERLINK("http://www.lingerieopt.ru/images/original/b36e066b-20f5-4915-b42a-4b90505136ff.jpg","Фото")</f>
      </c>
    </row>
    <row r="1620">
      <c r="A1620" s="7">
        <f>HYPERLINK("http://www.lingerieopt.ru/item/4930-komplekt-belya-solo-iz-elastichnjh-lent/","4930")</f>
      </c>
      <c r="B1620" s="8" t="s">
        <v>1614</v>
      </c>
      <c r="C1620" s="9">
        <v>808</v>
      </c>
      <c r="D1620" s="0">
        <v>20</v>
      </c>
      <c r="E1620" s="10">
        <f>HYPERLINK("http://www.lingerieopt.ru/images/original/5b914811-03af-4bd3-a9ab-688a590cfbaf.jpg","Фото")</f>
      </c>
    </row>
    <row r="1621">
      <c r="A1621" s="7">
        <f>HYPERLINK("http://www.lingerieopt.ru/item/4943-komplekt-marlen-s-cvetochnjm-uzorom/","4943")</f>
      </c>
      <c r="B1621" s="8" t="s">
        <v>1615</v>
      </c>
      <c r="C1621" s="9">
        <v>1178</v>
      </c>
      <c r="D1621" s="0">
        <v>6</v>
      </c>
      <c r="E1621" s="10">
        <f>HYPERLINK("http://www.lingerieopt.ru/images/original/19d05031-c503-4be2-b20a-c7e5c6dbf2f6.jpg","Фото")</f>
      </c>
    </row>
    <row r="1622">
      <c r="A1622" s="7">
        <f>HYPERLINK("http://www.lingerieopt.ru/item/4943-komplekt-marlen-s-cvetochnjm-uzorom/","4943")</f>
      </c>
      <c r="B1622" s="8" t="s">
        <v>1616</v>
      </c>
      <c r="C1622" s="9">
        <v>1178</v>
      </c>
      <c r="D1622" s="0">
        <v>7</v>
      </c>
      <c r="E1622" s="10">
        <f>HYPERLINK("http://www.lingerieopt.ru/images/original/19d05031-c503-4be2-b20a-c7e5c6dbf2f6.jpg","Фото")</f>
      </c>
    </row>
    <row r="1623">
      <c r="A1623" s="7">
        <f>HYPERLINK("http://www.lingerieopt.ru/item/4943-komplekt-marlen-s-cvetochnjm-uzorom/","4943")</f>
      </c>
      <c r="B1623" s="8" t="s">
        <v>1617</v>
      </c>
      <c r="C1623" s="9">
        <v>1178</v>
      </c>
      <c r="D1623" s="0">
        <v>4</v>
      </c>
      <c r="E1623" s="10">
        <f>HYPERLINK("http://www.lingerieopt.ru/images/original/19d05031-c503-4be2-b20a-c7e5c6dbf2f6.jpg","Фото")</f>
      </c>
    </row>
    <row r="1624">
      <c r="A1624" s="7">
        <f>HYPERLINK("http://www.lingerieopt.ru/item/4943-komplekt-marlen-s-cvetochnjm-uzorom/","4943")</f>
      </c>
      <c r="B1624" s="8" t="s">
        <v>1618</v>
      </c>
      <c r="C1624" s="9">
        <v>1178</v>
      </c>
      <c r="D1624" s="0">
        <v>0</v>
      </c>
      <c r="E1624" s="10">
        <f>HYPERLINK("http://www.lingerieopt.ru/images/original/19d05031-c503-4be2-b20a-c7e5c6dbf2f6.jpg","Фото")</f>
      </c>
    </row>
    <row r="1625">
      <c r="A1625" s="7">
        <f>HYPERLINK("http://www.lingerieopt.ru/item/4972-igrivji-komplekt-belya-s-bantom-na-life/","4972")</f>
      </c>
      <c r="B1625" s="8" t="s">
        <v>1619</v>
      </c>
      <c r="C1625" s="9">
        <v>1391</v>
      </c>
      <c r="D1625" s="0">
        <v>4</v>
      </c>
      <c r="E1625" s="10">
        <f>HYPERLINK("http://www.lingerieopt.ru/images/original/23b20fd4-7c76-4720-803b-c5472a3cec27.jpg","Фото")</f>
      </c>
    </row>
    <row r="1626">
      <c r="A1626" s="7">
        <f>HYPERLINK("http://www.lingerieopt.ru/item/4972-igrivji-komplekt-belya-s-bantom-na-life/","4972")</f>
      </c>
      <c r="B1626" s="8" t="s">
        <v>1620</v>
      </c>
      <c r="C1626" s="9">
        <v>1391</v>
      </c>
      <c r="D1626" s="0">
        <v>7</v>
      </c>
      <c r="E1626" s="10">
        <f>HYPERLINK("http://www.lingerieopt.ru/images/original/23b20fd4-7c76-4720-803b-c5472a3cec27.jpg","Фото")</f>
      </c>
    </row>
    <row r="1627">
      <c r="A1627" s="7">
        <f>HYPERLINK("http://www.lingerieopt.ru/item/5028-komplekt-azhurnogo-zhenskogo-belya-evette/","5028")</f>
      </c>
      <c r="B1627" s="8" t="s">
        <v>1621</v>
      </c>
      <c r="C1627" s="9">
        <v>1031</v>
      </c>
      <c r="D1627" s="0">
        <v>2</v>
      </c>
      <c r="E1627" s="10">
        <f>HYPERLINK("http://www.lingerieopt.ru/images/original/e1246e72-8923-4a6f-a361-85c45cd2c1b0.jpg","Фото")</f>
      </c>
    </row>
    <row r="1628">
      <c r="A1628" s="7">
        <f>HYPERLINK("http://www.lingerieopt.ru/item/5028-komplekt-azhurnogo-zhenskogo-belya-evette/","5028")</f>
      </c>
      <c r="B1628" s="8" t="s">
        <v>1622</v>
      </c>
      <c r="C1628" s="9">
        <v>1031</v>
      </c>
      <c r="D1628" s="0">
        <v>3</v>
      </c>
      <c r="E1628" s="10">
        <f>HYPERLINK("http://www.lingerieopt.ru/images/original/e1246e72-8923-4a6f-a361-85c45cd2c1b0.jpg","Фото")</f>
      </c>
    </row>
    <row r="1629">
      <c r="A1629" s="7">
        <f>HYPERLINK("http://www.lingerieopt.ru/item/5030-leopardovji-komplekt-belya-kora/","5030")</f>
      </c>
      <c r="B1629" s="8" t="s">
        <v>1623</v>
      </c>
      <c r="C1629" s="9">
        <v>1171</v>
      </c>
      <c r="D1629" s="0">
        <v>1</v>
      </c>
      <c r="E1629" s="10">
        <f>HYPERLINK("http://www.lingerieopt.ru/images/original/03ea51cf-8469-4453-aae9-099e7b403122.jpg","Фото")</f>
      </c>
    </row>
    <row r="1630">
      <c r="A1630" s="7">
        <f>HYPERLINK("http://www.lingerieopt.ru/item/5030-leopardovji-komplekt-belya-kora/","5030")</f>
      </c>
      <c r="B1630" s="8" t="s">
        <v>1624</v>
      </c>
      <c r="C1630" s="9">
        <v>1171</v>
      </c>
      <c r="D1630" s="0">
        <v>4</v>
      </c>
      <c r="E1630" s="10">
        <f>HYPERLINK("http://www.lingerieopt.ru/images/original/03ea51cf-8469-4453-aae9-099e7b403122.jpg","Фото")</f>
      </c>
    </row>
    <row r="1631">
      <c r="A1631" s="7">
        <f>HYPERLINK("http://www.lingerieopt.ru/item/5031-yarkii-azhurnji-kruzhevnoi-komplekt-nizhnego-belya-malena/","5031")</f>
      </c>
      <c r="B1631" s="8" t="s">
        <v>1625</v>
      </c>
      <c r="C1631" s="9">
        <v>1048</v>
      </c>
      <c r="D1631" s="0">
        <v>0</v>
      </c>
      <c r="E1631" s="10">
        <f>HYPERLINK("http://www.lingerieopt.ru/images/original/bfb422bd-bec9-433f-9c65-9125587f75c6.jpg","Фото")</f>
      </c>
    </row>
    <row r="1632">
      <c r="A1632" s="7">
        <f>HYPERLINK("http://www.lingerieopt.ru/item/5031-yarkii-azhurnji-kruzhevnoi-komplekt-nizhnego-belya-malena/","5031")</f>
      </c>
      <c r="B1632" s="8" t="s">
        <v>1626</v>
      </c>
      <c r="C1632" s="9">
        <v>1048</v>
      </c>
      <c r="D1632" s="0">
        <v>6</v>
      </c>
      <c r="E1632" s="10">
        <f>HYPERLINK("http://www.lingerieopt.ru/images/original/bfb422bd-bec9-433f-9c65-9125587f75c6.jpg","Фото")</f>
      </c>
    </row>
    <row r="1633">
      <c r="A1633" s="7">
        <f>HYPERLINK("http://www.lingerieopt.ru/item/5033-komplekt-nizhnego-belya-sharon-s-nezhno-rozovjm-azhurnjm-dopolneniem/","5033")</f>
      </c>
      <c r="B1633" s="8" t="s">
        <v>1627</v>
      </c>
      <c r="C1633" s="9">
        <v>1299</v>
      </c>
      <c r="D1633" s="0">
        <v>2</v>
      </c>
      <c r="E1633" s="10">
        <f>HYPERLINK("http://www.lingerieopt.ru/images/original/b90a0c60-723d-4103-85ab-6ef6be9152b7.jpg","Фото")</f>
      </c>
    </row>
    <row r="1634">
      <c r="A1634" s="7">
        <f>HYPERLINK("http://www.lingerieopt.ru/item/5033-komplekt-nizhnego-belya-sharon-s-nezhno-rozovjm-azhurnjm-dopolneniem/","5033")</f>
      </c>
      <c r="B1634" s="8" t="s">
        <v>1628</v>
      </c>
      <c r="C1634" s="9">
        <v>1299</v>
      </c>
      <c r="D1634" s="0">
        <v>0</v>
      </c>
      <c r="E1634" s="10">
        <f>HYPERLINK("http://www.lingerieopt.ru/images/original/b90a0c60-723d-4103-85ab-6ef6be9152b7.jpg","Фото")</f>
      </c>
    </row>
    <row r="1635">
      <c r="A1635" s="7">
        <f>HYPERLINK("http://www.lingerieopt.ru/item/5037-komplekt-belya-eveline-nebesnogo-cveta/","5037")</f>
      </c>
      <c r="B1635" s="8" t="s">
        <v>1629</v>
      </c>
      <c r="C1635" s="9">
        <v>1163</v>
      </c>
      <c r="D1635" s="0">
        <v>0</v>
      </c>
      <c r="E1635" s="10">
        <f>HYPERLINK("http://www.lingerieopt.ru/images/original/b756ce17-515a-45b8-b909-84d96f329897.jpg","Фото")</f>
      </c>
    </row>
    <row r="1636">
      <c r="A1636" s="7">
        <f>HYPERLINK("http://www.lingerieopt.ru/item/5037-komplekt-belya-eveline-nebesnogo-cveta/","5037")</f>
      </c>
      <c r="B1636" s="8" t="s">
        <v>1630</v>
      </c>
      <c r="C1636" s="9">
        <v>1163</v>
      </c>
      <c r="D1636" s="0">
        <v>1</v>
      </c>
      <c r="E1636" s="10">
        <f>HYPERLINK("http://www.lingerieopt.ru/images/original/b756ce17-515a-45b8-b909-84d96f329897.jpg","Фото")</f>
      </c>
    </row>
    <row r="1637">
      <c r="A1637" s="7">
        <f>HYPERLINK("http://www.lingerieopt.ru/item/5038-komplekt-nizhnego-belya-lolita/","5038")</f>
      </c>
      <c r="B1637" s="8" t="s">
        <v>1631</v>
      </c>
      <c r="C1637" s="9">
        <v>629</v>
      </c>
      <c r="D1637" s="0">
        <v>4</v>
      </c>
      <c r="E1637" s="10">
        <f>HYPERLINK("http://www.lingerieopt.ru/images/original/d8adb7ff-e3f5-4380-b021-0f63a59ecea9.jpg","Фото")</f>
      </c>
    </row>
    <row r="1638">
      <c r="A1638" s="7">
        <f>HYPERLINK("http://www.lingerieopt.ru/item/5038-komplekt-nizhnego-belya-lolita/","5038")</f>
      </c>
      <c r="B1638" s="8" t="s">
        <v>1632</v>
      </c>
      <c r="C1638" s="9">
        <v>629</v>
      </c>
      <c r="D1638" s="0">
        <v>5</v>
      </c>
      <c r="E1638" s="10">
        <f>HYPERLINK("http://www.lingerieopt.ru/images/original/d8adb7ff-e3f5-4380-b021-0f63a59ecea9.jpg","Фото")</f>
      </c>
    </row>
    <row r="1639">
      <c r="A1639" s="7">
        <f>HYPERLINK("http://www.lingerieopt.ru/item/5092-dvuhcvetnji-komplekt-belya-danny/","5092")</f>
      </c>
      <c r="B1639" s="8" t="s">
        <v>1633</v>
      </c>
      <c r="C1639" s="9">
        <v>2077</v>
      </c>
      <c r="D1639" s="0">
        <v>9</v>
      </c>
      <c r="E1639" s="10">
        <f>HYPERLINK("http://www.lingerieopt.ru/images/original/564f7a06-6180-404a-bb50-c890bcb588bc.jpg","Фото")</f>
      </c>
    </row>
    <row r="1640">
      <c r="A1640" s="7">
        <f>HYPERLINK("http://www.lingerieopt.ru/item/5092-dvuhcvetnji-komplekt-belya-danny/","5092")</f>
      </c>
      <c r="B1640" s="8" t="s">
        <v>1634</v>
      </c>
      <c r="C1640" s="9">
        <v>2077</v>
      </c>
      <c r="D1640" s="0">
        <v>5</v>
      </c>
      <c r="E1640" s="10">
        <f>HYPERLINK("http://www.lingerieopt.ru/images/original/564f7a06-6180-404a-bb50-c890bcb588bc.jpg","Фото")</f>
      </c>
    </row>
    <row r="1641">
      <c r="A1641" s="7">
        <f>HYPERLINK("http://www.lingerieopt.ru/item/5093-azhurnji-komplekt-belya-jessie-iz-3-predmetov/","5093")</f>
      </c>
      <c r="B1641" s="8" t="s">
        <v>1635</v>
      </c>
      <c r="C1641" s="9">
        <v>2016</v>
      </c>
      <c r="D1641" s="0">
        <v>0</v>
      </c>
      <c r="E1641" s="10">
        <f>HYPERLINK("http://www.lingerieopt.ru/images/original/ec6fb2e9-eece-439b-bac6-0da902786ac3.jpg","Фото")</f>
      </c>
    </row>
    <row r="1642">
      <c r="A1642" s="7">
        <f>HYPERLINK("http://www.lingerieopt.ru/item/5093-azhurnji-komplekt-belya-jessie-iz-3-predmetov/","5093")</f>
      </c>
      <c r="B1642" s="8" t="s">
        <v>1636</v>
      </c>
      <c r="C1642" s="9">
        <v>2016</v>
      </c>
      <c r="D1642" s="0">
        <v>1</v>
      </c>
      <c r="E1642" s="10">
        <f>HYPERLINK("http://www.lingerieopt.ru/images/original/ec6fb2e9-eece-439b-bac6-0da902786ac3.jpg","Фото")</f>
      </c>
    </row>
    <row r="1643">
      <c r="A1643" s="7">
        <f>HYPERLINK("http://www.lingerieopt.ru/item/5120-azhurnji-komplekt-keith/","5120")</f>
      </c>
      <c r="B1643" s="8" t="s">
        <v>1637</v>
      </c>
      <c r="C1643" s="9">
        <v>2269</v>
      </c>
      <c r="D1643" s="0">
        <v>20</v>
      </c>
      <c r="E1643" s="10">
        <f>HYPERLINK("http://www.lingerieopt.ru/images/original/e7c79c14-138a-4956-867e-4de20ddb5fb8.jpg","Фото")</f>
      </c>
    </row>
    <row r="1644">
      <c r="A1644" s="7">
        <f>HYPERLINK("http://www.lingerieopt.ru/item/5120-azhurnji-komplekt-keith/","5120")</f>
      </c>
      <c r="B1644" s="8" t="s">
        <v>1638</v>
      </c>
      <c r="C1644" s="9">
        <v>2269</v>
      </c>
      <c r="D1644" s="0">
        <v>0</v>
      </c>
      <c r="E1644" s="10">
        <f>HYPERLINK("http://www.lingerieopt.ru/images/original/e7c79c14-138a-4956-867e-4de20ddb5fb8.jpg","Фото")</f>
      </c>
    </row>
    <row r="1645">
      <c r="A1645" s="7">
        <f>HYPERLINK("http://www.lingerieopt.ru/item/5141-komplekt-celia-s-prozrachnjmi-vstavkami/","5141")</f>
      </c>
      <c r="B1645" s="8" t="s">
        <v>1639</v>
      </c>
      <c r="C1645" s="9">
        <v>1267</v>
      </c>
      <c r="D1645" s="0">
        <v>4</v>
      </c>
      <c r="E1645" s="10">
        <f>HYPERLINK("http://www.lingerieopt.ru/images/original/f31cd51c-a5a0-4085-bdb5-1f1932041473.jpg","Фото")</f>
      </c>
    </row>
    <row r="1646">
      <c r="A1646" s="7">
        <f>HYPERLINK("http://www.lingerieopt.ru/item/5141-komplekt-celia-s-prozrachnjmi-vstavkami/","5141")</f>
      </c>
      <c r="B1646" s="8" t="s">
        <v>1640</v>
      </c>
      <c r="C1646" s="9">
        <v>1267</v>
      </c>
      <c r="D1646" s="0">
        <v>3</v>
      </c>
      <c r="E1646" s="10">
        <f>HYPERLINK("http://www.lingerieopt.ru/images/original/f31cd51c-a5a0-4085-bdb5-1f1932041473.jpg","Фото")</f>
      </c>
    </row>
    <row r="1647">
      <c r="A1647" s="7">
        <f>HYPERLINK("http://www.lingerieopt.ru/item/5141-komplekt-celia-s-prozrachnjmi-vstavkami/","5141")</f>
      </c>
      <c r="B1647" s="8" t="s">
        <v>1641</v>
      </c>
      <c r="C1647" s="9">
        <v>1267</v>
      </c>
      <c r="D1647" s="0">
        <v>2</v>
      </c>
      <c r="E1647" s="10">
        <f>HYPERLINK("http://www.lingerieopt.ru/images/original/f31cd51c-a5a0-4085-bdb5-1f1932041473.jpg","Фото")</f>
      </c>
    </row>
    <row r="1648">
      <c r="A1648" s="7">
        <f>HYPERLINK("http://www.lingerieopt.ru/item/5141-komplekt-celia-s-prozrachnjmi-vstavkami/","5141")</f>
      </c>
      <c r="B1648" s="8" t="s">
        <v>1642</v>
      </c>
      <c r="C1648" s="9">
        <v>1267</v>
      </c>
      <c r="D1648" s="0">
        <v>3</v>
      </c>
      <c r="E1648" s="10">
        <f>HYPERLINK("http://www.lingerieopt.ru/images/original/f31cd51c-a5a0-4085-bdb5-1f1932041473.jpg","Фото")</f>
      </c>
    </row>
    <row r="1649">
      <c r="A1649" s="7">
        <f>HYPERLINK("http://www.lingerieopt.ru/item/5162-poluprozrachnji-top-mysterious-s-kruzhevnjm-verhom-i-stringi/","5162")</f>
      </c>
      <c r="B1649" s="8" t="s">
        <v>1643</v>
      </c>
      <c r="C1649" s="9">
        <v>2398</v>
      </c>
      <c r="D1649" s="0">
        <v>2</v>
      </c>
      <c r="E1649" s="10">
        <f>HYPERLINK("http://www.lingerieopt.ru/images/original/1cb4e4b5-477c-4753-9ffe-543f0f30c7f8.jpg","Фото")</f>
      </c>
    </row>
    <row r="1650">
      <c r="A1650" s="7">
        <f>HYPERLINK("http://www.lingerieopt.ru/item/5162-poluprozrachnji-top-mysterious-s-kruzhevnjm-verhom-i-stringi/","5162")</f>
      </c>
      <c r="B1650" s="8" t="s">
        <v>1644</v>
      </c>
      <c r="C1650" s="9">
        <v>2398</v>
      </c>
      <c r="D1650" s="0">
        <v>0</v>
      </c>
      <c r="E1650" s="10">
        <f>HYPERLINK("http://www.lingerieopt.ru/images/original/1cb4e4b5-477c-4753-9ffe-543f0f30c7f8.jpg","Фото")</f>
      </c>
    </row>
    <row r="1651">
      <c r="A1651" s="7">
        <f>HYPERLINK("http://www.lingerieopt.ru/item/5162-poluprozrachnji-top-mysterious-s-kruzhevnjm-verhom-i-stringi/","5162")</f>
      </c>
      <c r="B1651" s="8" t="s">
        <v>1645</v>
      </c>
      <c r="C1651" s="9">
        <v>2398</v>
      </c>
      <c r="D1651" s="0">
        <v>0</v>
      </c>
      <c r="E1651" s="10">
        <f>HYPERLINK("http://www.lingerieopt.ru/images/original/1cb4e4b5-477c-4753-9ffe-543f0f30c7f8.jpg","Фото")</f>
      </c>
    </row>
    <row r="1652">
      <c r="A1652" s="7">
        <f>HYPERLINK("http://www.lingerieopt.ru/item/5163-top-s-amerikanskoi-proimoi-i-podveskoi-kristallom-i-stringi-spice-up/","5163")</f>
      </c>
      <c r="B1652" s="8" t="s">
        <v>1646</v>
      </c>
      <c r="C1652" s="9">
        <v>2340</v>
      </c>
      <c r="D1652" s="0">
        <v>2</v>
      </c>
      <c r="E1652" s="10">
        <f>HYPERLINK("http://www.lingerieopt.ru/images/original/d21f07d3-b8c7-4574-9360-8b03cb660997.jpg","Фото")</f>
      </c>
    </row>
    <row r="1653">
      <c r="A1653" s="7">
        <f>HYPERLINK("http://www.lingerieopt.ru/item/5163-top-s-amerikanskoi-proimoi-i-podveskoi-kristallom-i-stringi-spice-up/","5163")</f>
      </c>
      <c r="B1653" s="8" t="s">
        <v>1647</v>
      </c>
      <c r="C1653" s="9">
        <v>2340</v>
      </c>
      <c r="D1653" s="0">
        <v>0</v>
      </c>
      <c r="E1653" s="10">
        <f>HYPERLINK("http://www.lingerieopt.ru/images/original/d21f07d3-b8c7-4574-9360-8b03cb660997.jpg","Фото")</f>
      </c>
    </row>
    <row r="1654">
      <c r="A1654" s="7">
        <f>HYPERLINK("http://www.lingerieopt.ru/item/5163-top-s-amerikanskoi-proimoi-i-podveskoi-kristallom-i-stringi-spice-up/","5163")</f>
      </c>
      <c r="B1654" s="8" t="s">
        <v>1648</v>
      </c>
      <c r="C1654" s="9">
        <v>2340</v>
      </c>
      <c r="D1654" s="0">
        <v>2</v>
      </c>
      <c r="E1654" s="10">
        <f>HYPERLINK("http://www.lingerieopt.ru/images/original/d21f07d3-b8c7-4574-9360-8b03cb660997.jpg","Фото")</f>
      </c>
    </row>
    <row r="1655">
      <c r="A1655" s="7">
        <f>HYPERLINK("http://www.lingerieopt.ru/item/5208-kruzhevnoi-komplekt-eliza-iz-treh-predmetov/","5208")</f>
      </c>
      <c r="B1655" s="8" t="s">
        <v>1649</v>
      </c>
      <c r="C1655" s="9">
        <v>1816</v>
      </c>
      <c r="D1655" s="0">
        <v>4</v>
      </c>
      <c r="E1655" s="10">
        <f>HYPERLINK("http://www.lingerieopt.ru/images/original/f492d31a-e72c-4cbc-88ba-ae2b93e6b90c.jpg","Фото")</f>
      </c>
    </row>
    <row r="1656">
      <c r="A1656" s="7">
        <f>HYPERLINK("http://www.lingerieopt.ru/item/5208-kruzhevnoi-komplekt-eliza-iz-treh-predmetov/","5208")</f>
      </c>
      <c r="B1656" s="8" t="s">
        <v>1650</v>
      </c>
      <c r="C1656" s="9">
        <v>1816</v>
      </c>
      <c r="D1656" s="0">
        <v>3</v>
      </c>
      <c r="E1656" s="10">
        <f>HYPERLINK("http://www.lingerieopt.ru/images/original/f492d31a-e72c-4cbc-88ba-ae2b93e6b90c.jpg","Фото")</f>
      </c>
    </row>
    <row r="1657">
      <c r="A1657" s="7">
        <f>HYPERLINK("http://www.lingerieopt.ru/item/5208-kruzhevnoi-komplekt-eliza-iz-treh-predmetov/","5208")</f>
      </c>
      <c r="B1657" s="8" t="s">
        <v>1651</v>
      </c>
      <c r="C1657" s="9">
        <v>1816</v>
      </c>
      <c r="D1657" s="0">
        <v>0</v>
      </c>
      <c r="E1657" s="10">
        <f>HYPERLINK("http://www.lingerieopt.ru/images/original/f492d31a-e72c-4cbc-88ba-ae2b93e6b90c.jpg","Фото")</f>
      </c>
    </row>
    <row r="1658">
      <c r="A1658" s="7">
        <f>HYPERLINK("http://www.lingerieopt.ru/item/5208-kruzhevnoi-komplekt-eliza-iz-treh-predmetov/","5208")</f>
      </c>
      <c r="B1658" s="8" t="s">
        <v>1652</v>
      </c>
      <c r="C1658" s="9">
        <v>1816</v>
      </c>
      <c r="D1658" s="0">
        <v>2</v>
      </c>
      <c r="E1658" s="10">
        <f>HYPERLINK("http://www.lingerieopt.ru/images/original/f492d31a-e72c-4cbc-88ba-ae2b93e6b90c.jpg","Фото")</f>
      </c>
    </row>
    <row r="1659">
      <c r="A1659" s="7">
        <f>HYPERLINK("http://www.lingerieopt.ru/item/5322-komplekt-belya-harriet-iz-3-predmetov/","5322")</f>
      </c>
      <c r="B1659" s="8" t="s">
        <v>1653</v>
      </c>
      <c r="C1659" s="9">
        <v>2004</v>
      </c>
      <c r="D1659" s="0">
        <v>0</v>
      </c>
      <c r="E1659" s="10">
        <f>HYPERLINK("http://www.lingerieopt.ru/images/original/54f9ce50-489e-43cd-b9d8-b560dd32b613.jpg","Фото")</f>
      </c>
    </row>
    <row r="1660">
      <c r="A1660" s="7">
        <f>HYPERLINK("http://www.lingerieopt.ru/item/5322-komplekt-belya-harriet-iz-3-predmetov/","5322")</f>
      </c>
      <c r="B1660" s="8" t="s">
        <v>1654</v>
      </c>
      <c r="C1660" s="9">
        <v>2004</v>
      </c>
      <c r="D1660" s="0">
        <v>2</v>
      </c>
      <c r="E1660" s="10">
        <f>HYPERLINK("http://www.lingerieopt.ru/images/original/54f9ce50-489e-43cd-b9d8-b560dd32b613.jpg","Фото")</f>
      </c>
    </row>
    <row r="1661">
      <c r="A1661" s="7">
        <f>HYPERLINK("http://www.lingerieopt.ru/item/5371-azhurnje-perchatki-mitenki-s-oborkami-i-trusiki-stringi/","5371")</f>
      </c>
      <c r="B1661" s="8" t="s">
        <v>1655</v>
      </c>
      <c r="C1661" s="9">
        <v>1030</v>
      </c>
      <c r="D1661" s="0">
        <v>2</v>
      </c>
      <c r="E1661" s="10">
        <f>HYPERLINK("http://www.lingerieopt.ru/images/original/8aa8b28e-de22-4db6-802f-726449d79bb8.jpg","Фото")</f>
      </c>
    </row>
    <row r="1662">
      <c r="A1662" s="7">
        <f>HYPERLINK("http://www.lingerieopt.ru/item/5371-azhurnje-perchatki-mitenki-s-oborkami-i-trusiki-stringi/","5371")</f>
      </c>
      <c r="B1662" s="8" t="s">
        <v>1656</v>
      </c>
      <c r="C1662" s="9">
        <v>1030</v>
      </c>
      <c r="D1662" s="0">
        <v>3</v>
      </c>
      <c r="E1662" s="10">
        <f>HYPERLINK("http://www.lingerieopt.ru/images/original/8aa8b28e-de22-4db6-802f-726449d79bb8.jpg","Фото")</f>
      </c>
    </row>
    <row r="1663">
      <c r="A1663" s="7">
        <f>HYPERLINK("http://www.lingerieopt.ru/item/5371-azhurnje-perchatki-mitenki-s-oborkami-i-trusiki-stringi/","5371")</f>
      </c>
      <c r="B1663" s="8" t="s">
        <v>1657</v>
      </c>
      <c r="C1663" s="9">
        <v>1030</v>
      </c>
      <c r="D1663" s="0">
        <v>0</v>
      </c>
      <c r="E1663" s="10">
        <f>HYPERLINK("http://www.lingerieopt.ru/images/original/8aa8b28e-de22-4db6-802f-726449d79bb8.jpg","Фото")</f>
      </c>
    </row>
    <row r="1664">
      <c r="A1664" s="7">
        <f>HYPERLINK("http://www.lingerieopt.ru/item/5371-azhurnje-perchatki-mitenki-s-oborkami-i-trusiki-stringi/","5371")</f>
      </c>
      <c r="B1664" s="8" t="s">
        <v>1658</v>
      </c>
      <c r="C1664" s="9">
        <v>1030</v>
      </c>
      <c r="D1664" s="0">
        <v>0</v>
      </c>
      <c r="E1664" s="10">
        <f>HYPERLINK("http://www.lingerieopt.ru/images/original/8aa8b28e-de22-4db6-802f-726449d79bb8.jpg","Фото")</f>
      </c>
    </row>
    <row r="1665">
      <c r="A1665" s="7">
        <f>HYPERLINK("http://www.lingerieopt.ru/item/5382-pikantnji-komplekt-ukorochennji-top-i-mini-yubka/","5382")</f>
      </c>
      <c r="B1665" s="8" t="s">
        <v>1659</v>
      </c>
      <c r="C1665" s="9">
        <v>2482</v>
      </c>
      <c r="D1665" s="0">
        <v>3</v>
      </c>
      <c r="E1665" s="10">
        <f>HYPERLINK("http://www.lingerieopt.ru/images/original/0bd2aa70-48a4-4834-affc-2836fab131d0.jpg","Фото")</f>
      </c>
    </row>
    <row r="1666">
      <c r="A1666" s="7">
        <f>HYPERLINK("http://www.lingerieopt.ru/item/5382-pikantnji-komplekt-ukorochennji-top-i-mini-yubka/","5382")</f>
      </c>
      <c r="B1666" s="8" t="s">
        <v>1660</v>
      </c>
      <c r="C1666" s="9">
        <v>2482</v>
      </c>
      <c r="D1666" s="0">
        <v>0</v>
      </c>
      <c r="E1666" s="10">
        <f>HYPERLINK("http://www.lingerieopt.ru/images/original/0bd2aa70-48a4-4834-affc-2836fab131d0.jpg","Фото")</f>
      </c>
    </row>
    <row r="1667">
      <c r="A1667" s="7">
        <f>HYPERLINK("http://www.lingerieopt.ru/item/5505-igrivji-komplekt-v-polosku/","5505")</f>
      </c>
      <c r="B1667" s="8" t="s">
        <v>1661</v>
      </c>
      <c r="C1667" s="9">
        <v>908</v>
      </c>
      <c r="D1667" s="0">
        <v>20</v>
      </c>
      <c r="E1667" s="10">
        <f>HYPERLINK("http://www.lingerieopt.ru/images/original/37e38fbd-182e-4aaf-9629-0ac92a4e0725.jpg","Фото")</f>
      </c>
    </row>
    <row r="1668">
      <c r="A1668" s="7">
        <f>HYPERLINK("http://www.lingerieopt.ru/item/5903-soblaznitelnji-komplekt-s-kruzhevom/","5903")</f>
      </c>
      <c r="B1668" s="8" t="s">
        <v>1662</v>
      </c>
      <c r="C1668" s="9">
        <v>1021</v>
      </c>
      <c r="D1668" s="0">
        <v>1</v>
      </c>
      <c r="E1668" s="10">
        <f>HYPERLINK("http://www.lingerieopt.ru/images/original/e9cb05ef-1d6a-40a6-8181-d016ce7b7682.jpg","Фото")</f>
      </c>
    </row>
    <row r="1669">
      <c r="A1669" s="7">
        <f>HYPERLINK("http://www.lingerieopt.ru/item/5926-izjskannji-komplekt-belya-zahara/","5926")</f>
      </c>
      <c r="B1669" s="8" t="s">
        <v>1663</v>
      </c>
      <c r="C1669" s="9">
        <v>2141</v>
      </c>
      <c r="D1669" s="0">
        <v>3</v>
      </c>
      <c r="E1669" s="10">
        <f>HYPERLINK("http://www.lingerieopt.ru/images/original/0d6bfa25-f804-4fc7-bce4-eeeea0563883.jpg","Фото")</f>
      </c>
    </row>
    <row r="1670">
      <c r="A1670" s="7">
        <f>HYPERLINK("http://www.lingerieopt.ru/item/5927-elegantnji-komplekt-belya-kalia-iz-3-predmetov/","5927")</f>
      </c>
      <c r="B1670" s="8" t="s">
        <v>1664</v>
      </c>
      <c r="C1670" s="9">
        <v>2157</v>
      </c>
      <c r="D1670" s="0">
        <v>3</v>
      </c>
      <c r="E1670" s="10">
        <f>HYPERLINK("http://www.lingerieopt.ru/images/original/3f369637-7d76-436d-8c04-da1f3d73e2cb.jpg","Фото")</f>
      </c>
    </row>
    <row r="1671">
      <c r="A1671" s="7">
        <f>HYPERLINK("http://www.lingerieopt.ru/item/5928-chuvstvennji-komplekt-belya-creda-iz-3-predmetov/","5928")</f>
      </c>
      <c r="B1671" s="8" t="s">
        <v>1665</v>
      </c>
      <c r="C1671" s="9">
        <v>2152</v>
      </c>
      <c r="D1671" s="0">
        <v>4</v>
      </c>
      <c r="E1671" s="10">
        <f>HYPERLINK("http://www.lingerieopt.ru/images/original/41304940-1c43-41a5-8287-6df7b881618d.jpg","Фото")</f>
      </c>
    </row>
    <row r="1672">
      <c r="A1672" s="7">
        <f>HYPERLINK("http://www.lingerieopt.ru/item/5928-chuvstvennji-komplekt-belya-creda-iz-3-predmetov/","5928")</f>
      </c>
      <c r="B1672" s="8" t="s">
        <v>1666</v>
      </c>
      <c r="C1672" s="9">
        <v>2152</v>
      </c>
      <c r="D1672" s="0">
        <v>2</v>
      </c>
      <c r="E1672" s="10">
        <f>HYPERLINK("http://www.lingerieopt.ru/images/original/41304940-1c43-41a5-8287-6df7b881618d.jpg","Фото")</f>
      </c>
    </row>
    <row r="1673">
      <c r="A1673" s="7">
        <f>HYPERLINK("http://www.lingerieopt.ru/item/5929-serebristji-komplekt-avena-top-i-trusiki/","5929")</f>
      </c>
      <c r="B1673" s="8" t="s">
        <v>1667</v>
      </c>
      <c r="C1673" s="9">
        <v>2117</v>
      </c>
      <c r="D1673" s="0">
        <v>5</v>
      </c>
      <c r="E1673" s="10">
        <f>HYPERLINK("http://www.lingerieopt.ru/images/original/3ffe6f84-b5ef-47ee-a34b-95460ff68830.jpg","Фото")</f>
      </c>
    </row>
    <row r="1674">
      <c r="A1674" s="7">
        <f>HYPERLINK("http://www.lingerieopt.ru/item/6111-satinovji-komplekt-belya-so-vstavkami-iz-kruzheva-v-goroshek/","6111")</f>
      </c>
      <c r="B1674" s="8" t="s">
        <v>1668</v>
      </c>
      <c r="C1674" s="9">
        <v>2111</v>
      </c>
      <c r="D1674" s="0">
        <v>6</v>
      </c>
      <c r="E1674" s="10">
        <f>HYPERLINK("http://www.lingerieopt.ru/images/original/dd87ff7d-ce22-4a44-a7e4-a4666582041b.jpg","Фото")</f>
      </c>
    </row>
    <row r="1675">
      <c r="A1675" s="7">
        <f>HYPERLINK("http://www.lingerieopt.ru/item/6111-satinovji-komplekt-belya-so-vstavkami-iz-kruzheva-v-goroshek/","6111")</f>
      </c>
      <c r="B1675" s="8" t="s">
        <v>1669</v>
      </c>
      <c r="C1675" s="9">
        <v>2111</v>
      </c>
      <c r="D1675" s="0">
        <v>0</v>
      </c>
      <c r="E1675" s="10">
        <f>HYPERLINK("http://www.lingerieopt.ru/images/original/dd87ff7d-ce22-4a44-a7e4-a4666582041b.jpg","Фото")</f>
      </c>
    </row>
    <row r="1676">
      <c r="A1676" s="7">
        <f>HYPERLINK("http://www.lingerieopt.ru/item/6111-satinovji-komplekt-belya-so-vstavkami-iz-kruzheva-v-goroshek/","6111")</f>
      </c>
      <c r="B1676" s="8" t="s">
        <v>1670</v>
      </c>
      <c r="C1676" s="9">
        <v>2111</v>
      </c>
      <c r="D1676" s="0">
        <v>3</v>
      </c>
      <c r="E1676" s="10">
        <f>HYPERLINK("http://www.lingerieopt.ru/images/original/dd87ff7d-ce22-4a44-a7e4-a4666582041b.jpg","Фото")</f>
      </c>
    </row>
    <row r="1677">
      <c r="A1677" s="7">
        <f>HYPERLINK("http://www.lingerieopt.ru/item/6137-kruzhevnoi-komplekt-zhenskogo-belya/","6137")</f>
      </c>
      <c r="B1677" s="8" t="s">
        <v>1671</v>
      </c>
      <c r="C1677" s="9">
        <v>3511</v>
      </c>
      <c r="D1677" s="0">
        <v>1</v>
      </c>
      <c r="E1677" s="10">
        <f>HYPERLINK("http://www.lingerieopt.ru/images/original/921098ae-2e3b-4e3c-9a69-56a5d8231540.jpg","Фото")</f>
      </c>
    </row>
    <row r="1678">
      <c r="A1678" s="7">
        <f>HYPERLINK("http://www.lingerieopt.ru/item/6137-kruzhevnoi-komplekt-zhenskogo-belya/","6137")</f>
      </c>
      <c r="B1678" s="8" t="s">
        <v>1672</v>
      </c>
      <c r="C1678" s="9">
        <v>3511</v>
      </c>
      <c r="D1678" s="0">
        <v>0</v>
      </c>
      <c r="E1678" s="10">
        <f>HYPERLINK("http://www.lingerieopt.ru/images/original/921098ae-2e3b-4e3c-9a69-56a5d8231540.jpg","Фото")</f>
      </c>
    </row>
    <row r="1679">
      <c r="A1679" s="7">
        <f>HYPERLINK("http://www.lingerieopt.ru/item/6137-kruzhevnoi-komplekt-zhenskogo-belya/","6137")</f>
      </c>
      <c r="B1679" s="8" t="s">
        <v>1673</v>
      </c>
      <c r="C1679" s="9">
        <v>3511</v>
      </c>
      <c r="D1679" s="0">
        <v>0</v>
      </c>
      <c r="E1679" s="10">
        <f>HYPERLINK("http://www.lingerieopt.ru/images/original/921098ae-2e3b-4e3c-9a69-56a5d8231540.jpg","Фото")</f>
      </c>
    </row>
    <row r="1680">
      <c r="A1680" s="7">
        <f>HYPERLINK("http://www.lingerieopt.ru/item/6289-komplekt-veronique-2-s-cepochkami/","6289")</f>
      </c>
      <c r="B1680" s="8" t="s">
        <v>1674</v>
      </c>
      <c r="C1680" s="9">
        <v>1956</v>
      </c>
      <c r="D1680" s="0">
        <v>13</v>
      </c>
      <c r="E1680" s="10">
        <f>HYPERLINK("http://www.lingerieopt.ru/images/original/c08f5878-ef9b-4e00-a8e3-4b662954695f.jpg","Фото")</f>
      </c>
    </row>
    <row r="1681">
      <c r="A1681" s="7">
        <f>HYPERLINK("http://www.lingerieopt.ru/item/6289-komplekt-veronique-2-s-cepochkami/","6289")</f>
      </c>
      <c r="B1681" s="8" t="s">
        <v>1675</v>
      </c>
      <c r="C1681" s="9">
        <v>1956</v>
      </c>
      <c r="D1681" s="0">
        <v>8</v>
      </c>
      <c r="E1681" s="10">
        <f>HYPERLINK("http://www.lingerieopt.ru/images/original/c08f5878-ef9b-4e00-a8e3-4b662954695f.jpg","Фото")</f>
      </c>
    </row>
    <row r="1682">
      <c r="A1682" s="7">
        <f>HYPERLINK("http://www.lingerieopt.ru/item/6290-komplekt-belya-nika-s-cepyami/","6290")</f>
      </c>
      <c r="B1682" s="8" t="s">
        <v>1676</v>
      </c>
      <c r="C1682" s="9">
        <v>3253</v>
      </c>
      <c r="D1682" s="0">
        <v>5</v>
      </c>
      <c r="E1682" s="10">
        <f>HYPERLINK("http://www.lingerieopt.ru/images/original/9feabd9c-88d6-4bc2-a156-481734e1aeab.jpg","Фото")</f>
      </c>
    </row>
    <row r="1683">
      <c r="A1683" s="7">
        <f>HYPERLINK("http://www.lingerieopt.ru/item/6290-komplekt-belya-nika-s-cepyami/","6290")</f>
      </c>
      <c r="B1683" s="8" t="s">
        <v>1677</v>
      </c>
      <c r="C1683" s="9">
        <v>3253</v>
      </c>
      <c r="D1683" s="0">
        <v>4</v>
      </c>
      <c r="E1683" s="10">
        <f>HYPERLINK("http://www.lingerieopt.ru/images/original/9feabd9c-88d6-4bc2-a156-481734e1aeab.jpg","Фото")</f>
      </c>
    </row>
    <row r="1684">
      <c r="A1684" s="7">
        <f>HYPERLINK("http://www.lingerieopt.ru/item/6291-komplekt-salome-s-korsazhem-iz-cepei/","6291")</f>
      </c>
      <c r="B1684" s="8" t="s">
        <v>1678</v>
      </c>
      <c r="C1684" s="9">
        <v>3098</v>
      </c>
      <c r="D1684" s="0">
        <v>6</v>
      </c>
      <c r="E1684" s="10">
        <f>HYPERLINK("http://www.lingerieopt.ru/images/original/70e53387-4f21-492e-a9ee-11c50b246048.jpg","Фото")</f>
      </c>
    </row>
    <row r="1685">
      <c r="A1685" s="7">
        <f>HYPERLINK("http://www.lingerieopt.ru/item/6292-derzkii-komplekt-anita-s-maikoi-i-shortami/","6292")</f>
      </c>
      <c r="B1685" s="8" t="s">
        <v>1679</v>
      </c>
      <c r="C1685" s="9">
        <v>2183</v>
      </c>
      <c r="D1685" s="0">
        <v>12</v>
      </c>
      <c r="E1685" s="10">
        <f>HYPERLINK("http://www.lingerieopt.ru/images/original/bf1a935d-a1fb-44ac-8936-022ab79ea343.jpg","Фото")</f>
      </c>
    </row>
    <row r="1686">
      <c r="A1686" s="7">
        <f>HYPERLINK("http://www.lingerieopt.ru/item/6293-komplekt-amanda-s-uzenkimi-vstavkami-setki/","6293")</f>
      </c>
      <c r="B1686" s="8" t="s">
        <v>1680</v>
      </c>
      <c r="C1686" s="9">
        <v>2183</v>
      </c>
      <c r="D1686" s="0">
        <v>14</v>
      </c>
      <c r="E1686" s="10">
        <f>HYPERLINK("http://www.lingerieopt.ru/images/original/e84fc6a2-6fc0-4767-9fb6-2d529bd3c302.jpg","Фото")</f>
      </c>
    </row>
    <row r="1687">
      <c r="A1687" s="7">
        <f>HYPERLINK("http://www.lingerieopt.ru/item/6293-komplekt-amanda-s-uzenkimi-vstavkami-setki/","6293")</f>
      </c>
      <c r="B1687" s="8" t="s">
        <v>1681</v>
      </c>
      <c r="C1687" s="9">
        <v>2183</v>
      </c>
      <c r="D1687" s="0">
        <v>10</v>
      </c>
      <c r="E1687" s="10">
        <f>HYPERLINK("http://www.lingerieopt.ru/images/original/e84fc6a2-6fc0-4767-9fb6-2d529bd3c302.jpg","Фото")</f>
      </c>
    </row>
    <row r="1688">
      <c r="A1688" s="7">
        <f>HYPERLINK("http://www.lingerieopt.ru/item/6293-komplekt-amanda-s-uzenkimi-vstavkami-setki/","6293")</f>
      </c>
      <c r="B1688" s="8" t="s">
        <v>1682</v>
      </c>
      <c r="C1688" s="9">
        <v>2183</v>
      </c>
      <c r="D1688" s="0">
        <v>19</v>
      </c>
      <c r="E1688" s="10">
        <f>HYPERLINK("http://www.lingerieopt.ru/images/original/e84fc6a2-6fc0-4767-9fb6-2d529bd3c302.jpg","Фото")</f>
      </c>
    </row>
    <row r="1689">
      <c r="A1689" s="7">
        <f>HYPERLINK("http://www.lingerieopt.ru/item/6293-komplekt-amanda-s-uzenkimi-vstavkami-setki/","6293")</f>
      </c>
      <c r="B1689" s="8" t="s">
        <v>1683</v>
      </c>
      <c r="C1689" s="9">
        <v>2183</v>
      </c>
      <c r="D1689" s="0">
        <v>23</v>
      </c>
      <c r="E1689" s="10">
        <f>HYPERLINK("http://www.lingerieopt.ru/images/original/e84fc6a2-6fc0-4767-9fb6-2d529bd3c302.jpg","Фото")</f>
      </c>
    </row>
    <row r="1690">
      <c r="A1690" s="7">
        <f>HYPERLINK("http://www.lingerieopt.ru/item/6294-setchatji-komplekt-sandra/","6294")</f>
      </c>
      <c r="B1690" s="8" t="s">
        <v>1684</v>
      </c>
      <c r="C1690" s="9">
        <v>2138</v>
      </c>
      <c r="D1690" s="0">
        <v>0</v>
      </c>
      <c r="E1690" s="10">
        <f>HYPERLINK("http://www.lingerieopt.ru/images/original/58a92b5f-42f0-4956-96b2-18536a61f7f4.jpg","Фото")</f>
      </c>
    </row>
    <row r="1691">
      <c r="A1691" s="7">
        <f>HYPERLINK("http://www.lingerieopt.ru/item/6294-setchatji-komplekt-sandra/","6294")</f>
      </c>
      <c r="B1691" s="8" t="s">
        <v>1685</v>
      </c>
      <c r="C1691" s="9">
        <v>2138</v>
      </c>
      <c r="D1691" s="0">
        <v>7</v>
      </c>
      <c r="E1691" s="10">
        <f>HYPERLINK("http://www.lingerieopt.ru/images/original/58a92b5f-42f0-4956-96b2-18536a61f7f4.jpg","Фото")</f>
      </c>
    </row>
    <row r="1692">
      <c r="A1692" s="7">
        <f>HYPERLINK("http://www.lingerieopt.ru/item/6310-komplekt-belya-karen-s-pikantnjm-vjrezom-mezhdu-nozhek/","6310")</f>
      </c>
      <c r="B1692" s="8" t="s">
        <v>1686</v>
      </c>
      <c r="C1692" s="9">
        <v>1726</v>
      </c>
      <c r="D1692" s="0">
        <v>5</v>
      </c>
      <c r="E1692" s="10">
        <f>HYPERLINK("http://www.lingerieopt.ru/images/original/597eac72-8610-4788-a961-8cbf674774cc.jpg","Фото")</f>
      </c>
    </row>
    <row r="1693">
      <c r="A1693" s="7">
        <f>HYPERLINK("http://www.lingerieopt.ru/item/6310-komplekt-belya-karen-s-pikantnjm-vjrezom-mezhdu-nozhek/","6310")</f>
      </c>
      <c r="B1693" s="8" t="s">
        <v>1687</v>
      </c>
      <c r="C1693" s="9">
        <v>1726</v>
      </c>
      <c r="D1693" s="0">
        <v>3</v>
      </c>
      <c r="E1693" s="10">
        <f>HYPERLINK("http://www.lingerieopt.ru/images/original/597eac72-8610-4788-a961-8cbf674774cc.jpg","Фото")</f>
      </c>
    </row>
    <row r="1694">
      <c r="A1694" s="7">
        <f>HYPERLINK("http://www.lingerieopt.ru/item/6310-komplekt-belya-karen-s-pikantnjm-vjrezom-mezhdu-nozhek/","6310")</f>
      </c>
      <c r="B1694" s="8" t="s">
        <v>1688</v>
      </c>
      <c r="C1694" s="9">
        <v>1726</v>
      </c>
      <c r="D1694" s="0">
        <v>0</v>
      </c>
      <c r="E1694" s="10">
        <f>HYPERLINK("http://www.lingerieopt.ru/images/original/597eac72-8610-4788-a961-8cbf674774cc.jpg","Фото")</f>
      </c>
    </row>
    <row r="1695">
      <c r="A1695" s="7">
        <f>HYPERLINK("http://www.lingerieopt.ru/item/6310-komplekt-belya-karen-s-pikantnjm-vjrezom-mezhdu-nozhek/","6310")</f>
      </c>
      <c r="B1695" s="8" t="s">
        <v>1689</v>
      </c>
      <c r="C1695" s="9">
        <v>1726</v>
      </c>
      <c r="D1695" s="0">
        <v>5</v>
      </c>
      <c r="E1695" s="10">
        <f>HYPERLINK("http://www.lingerieopt.ru/images/original/597eac72-8610-4788-a961-8cbf674774cc.jpg","Фото")</f>
      </c>
    </row>
    <row r="1696">
      <c r="A1696" s="7">
        <f>HYPERLINK("http://www.lingerieopt.ru/item/6310-komplekt-belya-karen-s-pikantnjm-vjrezom-mezhdu-nozhek/","6310")</f>
      </c>
      <c r="B1696" s="8" t="s">
        <v>1690</v>
      </c>
      <c r="C1696" s="9">
        <v>1726</v>
      </c>
      <c r="D1696" s="0">
        <v>3</v>
      </c>
      <c r="E1696" s="10">
        <f>HYPERLINK("http://www.lingerieopt.ru/images/original/597eac72-8610-4788-a961-8cbf674774cc.jpg","Фото")</f>
      </c>
    </row>
    <row r="1697">
      <c r="A1697" s="7">
        <f>HYPERLINK("http://www.lingerieopt.ru/item/6310-komplekt-belya-karen-s-pikantnjm-vjrezom-mezhdu-nozhek/","6310")</f>
      </c>
      <c r="B1697" s="8" t="s">
        <v>1691</v>
      </c>
      <c r="C1697" s="9">
        <v>1726</v>
      </c>
      <c r="D1697" s="0">
        <v>0</v>
      </c>
      <c r="E1697" s="10">
        <f>HYPERLINK("http://www.lingerieopt.ru/images/original/597eac72-8610-4788-a961-8cbf674774cc.jpg","Фото")</f>
      </c>
    </row>
    <row r="1698">
      <c r="A1698" s="7">
        <f>HYPERLINK("http://www.lingerieopt.ru/item/6310-komplekt-belya-karen-s-pikantnjm-vjrezom-mezhdu-nozhek/","6310")</f>
      </c>
      <c r="B1698" s="8" t="s">
        <v>1692</v>
      </c>
      <c r="C1698" s="9">
        <v>1726</v>
      </c>
      <c r="D1698" s="0">
        <v>3</v>
      </c>
      <c r="E1698" s="10">
        <f>HYPERLINK("http://www.lingerieopt.ru/images/original/597eac72-8610-4788-a961-8cbf674774cc.jpg","Фото")</f>
      </c>
    </row>
    <row r="1699">
      <c r="A1699" s="7">
        <f>HYPERLINK("http://www.lingerieopt.ru/item/6311-kruzhevnoi-komplekt-belya-oliwia/","6311")</f>
      </c>
      <c r="B1699" s="8" t="s">
        <v>1693</v>
      </c>
      <c r="C1699" s="9">
        <v>1439</v>
      </c>
      <c r="D1699" s="0">
        <v>3</v>
      </c>
      <c r="E1699" s="10">
        <f>HYPERLINK("http://www.lingerieopt.ru/images/original/ba5b8f24-b7aa-452c-b4d6-9b3c17773eee.jpg","Фото")</f>
      </c>
    </row>
    <row r="1700">
      <c r="A1700" s="7">
        <f>HYPERLINK("http://www.lingerieopt.ru/item/6311-kruzhevnoi-komplekt-belya-oliwia/","6311")</f>
      </c>
      <c r="B1700" s="8" t="s">
        <v>1694</v>
      </c>
      <c r="C1700" s="9">
        <v>1439</v>
      </c>
      <c r="D1700" s="0">
        <v>4</v>
      </c>
      <c r="E1700" s="10">
        <f>HYPERLINK("http://www.lingerieopt.ru/images/original/ba5b8f24-b7aa-452c-b4d6-9b3c17773eee.jpg","Фото")</f>
      </c>
    </row>
    <row r="1701">
      <c r="A1701" s="7">
        <f>HYPERLINK("http://www.lingerieopt.ru/item/6311-kruzhevnoi-komplekt-belya-oliwia/","6311")</f>
      </c>
      <c r="B1701" s="8" t="s">
        <v>1695</v>
      </c>
      <c r="C1701" s="9">
        <v>1439</v>
      </c>
      <c r="D1701" s="0">
        <v>1</v>
      </c>
      <c r="E1701" s="10">
        <f>HYPERLINK("http://www.lingerieopt.ru/images/original/ba5b8f24-b7aa-452c-b4d6-9b3c17773eee.jpg","Фото")</f>
      </c>
    </row>
    <row r="1702">
      <c r="A1702" s="7">
        <f>HYPERLINK("http://www.lingerieopt.ru/item/6312-kruzhevnoi-komplekt-belya-stella/","6312")</f>
      </c>
      <c r="B1702" s="8" t="s">
        <v>1696</v>
      </c>
      <c r="C1702" s="9">
        <v>1632</v>
      </c>
      <c r="D1702" s="0">
        <v>0</v>
      </c>
      <c r="E1702" s="10">
        <f>HYPERLINK("http://www.lingerieopt.ru/images/original/e1eed5f5-f5d2-491b-91d5-43e35a21cf2d.jpg","Фото")</f>
      </c>
    </row>
    <row r="1703">
      <c r="A1703" s="7">
        <f>HYPERLINK("http://www.lingerieopt.ru/item/6312-kruzhevnoi-komplekt-belya-stella/","6312")</f>
      </c>
      <c r="B1703" s="8" t="s">
        <v>1697</v>
      </c>
      <c r="C1703" s="9">
        <v>1632</v>
      </c>
      <c r="D1703" s="0">
        <v>1</v>
      </c>
      <c r="E1703" s="10">
        <f>HYPERLINK("http://www.lingerieopt.ru/images/original/e1eed5f5-f5d2-491b-91d5-43e35a21cf2d.jpg","Фото")</f>
      </c>
    </row>
    <row r="1704">
      <c r="A1704" s="7">
        <f>HYPERLINK("http://www.lingerieopt.ru/item/6312-kruzhevnoi-komplekt-belya-stella/","6312")</f>
      </c>
      <c r="B1704" s="8" t="s">
        <v>1698</v>
      </c>
      <c r="C1704" s="9">
        <v>1632</v>
      </c>
      <c r="D1704" s="0">
        <v>0</v>
      </c>
      <c r="E1704" s="10">
        <f>HYPERLINK("http://www.lingerieopt.ru/images/original/e1eed5f5-f5d2-491b-91d5-43e35a21cf2d.jpg","Фото")</f>
      </c>
    </row>
    <row r="1705">
      <c r="A1705" s="7">
        <f>HYPERLINK("http://www.lingerieopt.ru/item/6312-kruzhevnoi-komplekt-belya-stella/","6312")</f>
      </c>
      <c r="B1705" s="8" t="s">
        <v>1699</v>
      </c>
      <c r="C1705" s="9">
        <v>1632</v>
      </c>
      <c r="D1705" s="0">
        <v>0</v>
      </c>
      <c r="E1705" s="10">
        <f>HYPERLINK("http://www.lingerieopt.ru/images/original/e1eed5f5-f5d2-491b-91d5-43e35a21cf2d.jpg","Фото")</f>
      </c>
    </row>
    <row r="1706">
      <c r="A1706" s="7">
        <f>HYPERLINK("http://www.lingerieopt.ru/item/6312-kruzhevnoi-komplekt-belya-stella/","6312")</f>
      </c>
      <c r="B1706" s="8" t="s">
        <v>1700</v>
      </c>
      <c r="C1706" s="9">
        <v>1632</v>
      </c>
      <c r="D1706" s="0">
        <v>0</v>
      </c>
      <c r="E1706" s="10">
        <f>HYPERLINK("http://www.lingerieopt.ru/images/original/e1eed5f5-f5d2-491b-91d5-43e35a21cf2d.jpg","Фото")</f>
      </c>
    </row>
    <row r="1707">
      <c r="A1707" s="7">
        <f>HYPERLINK("http://www.lingerieopt.ru/item/6312-kruzhevnoi-komplekt-belya-stella/","6312")</f>
      </c>
      <c r="B1707" s="8" t="s">
        <v>1701</v>
      </c>
      <c r="C1707" s="9">
        <v>1632</v>
      </c>
      <c r="D1707" s="0">
        <v>3</v>
      </c>
      <c r="E1707" s="10">
        <f>HYPERLINK("http://www.lingerieopt.ru/images/original/e1eed5f5-f5d2-491b-91d5-43e35a21cf2d.jpg","Фото")</f>
      </c>
    </row>
    <row r="1708">
      <c r="A1708" s="7">
        <f>HYPERLINK("http://www.lingerieopt.ru/item/6313-komplekt-belya-s-poyasom-dlya-chulok-sarah/","6313")</f>
      </c>
      <c r="B1708" s="8" t="s">
        <v>1702</v>
      </c>
      <c r="C1708" s="9">
        <v>1835</v>
      </c>
      <c r="D1708" s="0">
        <v>1</v>
      </c>
      <c r="E1708" s="10">
        <f>HYPERLINK("http://www.lingerieopt.ru/images/original/1f703053-dc9a-4870-9d59-7b9836060375.jpg","Фото")</f>
      </c>
    </row>
    <row r="1709">
      <c r="A1709" s="7">
        <f>HYPERLINK("http://www.lingerieopt.ru/item/6313-komplekt-belya-s-poyasom-dlya-chulok-sarah/","6313")</f>
      </c>
      <c r="B1709" s="8" t="s">
        <v>1703</v>
      </c>
      <c r="C1709" s="9">
        <v>1835</v>
      </c>
      <c r="D1709" s="0">
        <v>11</v>
      </c>
      <c r="E1709" s="10">
        <f>HYPERLINK("http://www.lingerieopt.ru/images/original/1f703053-dc9a-4870-9d59-7b9836060375.jpg","Фото")</f>
      </c>
    </row>
    <row r="1710">
      <c r="A1710" s="7">
        <f>HYPERLINK("http://www.lingerieopt.ru/item/6313-komplekt-belya-s-poyasom-dlya-chulok-sarah/","6313")</f>
      </c>
      <c r="B1710" s="8" t="s">
        <v>1704</v>
      </c>
      <c r="C1710" s="9">
        <v>1835</v>
      </c>
      <c r="D1710" s="0">
        <v>3</v>
      </c>
      <c r="E1710" s="10">
        <f>HYPERLINK("http://www.lingerieopt.ru/images/original/1f703053-dc9a-4870-9d59-7b9836060375.jpg","Фото")</f>
      </c>
    </row>
    <row r="1711">
      <c r="A1711" s="7">
        <f>HYPERLINK("http://www.lingerieopt.ru/item/6314-kruzhevnoi-komplekt-belya-blanka-s-vjsokim-poyasom/","6314")</f>
      </c>
      <c r="B1711" s="8" t="s">
        <v>1705</v>
      </c>
      <c r="C1711" s="9">
        <v>1746</v>
      </c>
      <c r="D1711" s="0">
        <v>6</v>
      </c>
      <c r="E1711" s="10">
        <f>HYPERLINK("http://www.lingerieopt.ru/images/original/f04111b0-d05b-45f7-83b9-9417126113b2.jpg","Фото")</f>
      </c>
    </row>
    <row r="1712">
      <c r="A1712" s="7">
        <f>HYPERLINK("http://www.lingerieopt.ru/item/6314-kruzhevnoi-komplekt-belya-blanka-s-vjsokim-poyasom/","6314")</f>
      </c>
      <c r="B1712" s="8" t="s">
        <v>1706</v>
      </c>
      <c r="C1712" s="9">
        <v>1746</v>
      </c>
      <c r="D1712" s="0">
        <v>0</v>
      </c>
      <c r="E1712" s="10">
        <f>HYPERLINK("http://www.lingerieopt.ru/images/original/f04111b0-d05b-45f7-83b9-9417126113b2.jpg","Фото")</f>
      </c>
    </row>
    <row r="1713">
      <c r="A1713" s="7">
        <f>HYPERLINK("http://www.lingerieopt.ru/item/6314-kruzhevnoi-komplekt-belya-blanka-s-vjsokim-poyasom/","6314")</f>
      </c>
      <c r="B1713" s="8" t="s">
        <v>1707</v>
      </c>
      <c r="C1713" s="9">
        <v>1746</v>
      </c>
      <c r="D1713" s="0">
        <v>0</v>
      </c>
      <c r="E1713" s="10">
        <f>HYPERLINK("http://www.lingerieopt.ru/images/original/f04111b0-d05b-45f7-83b9-9417126113b2.jpg","Фото")</f>
      </c>
    </row>
    <row r="1714">
      <c r="A1714" s="7">
        <f>HYPERLINK("http://www.lingerieopt.ru/item/6314-kruzhevnoi-komplekt-belya-blanka-s-vjsokim-poyasom/","6314")</f>
      </c>
      <c r="B1714" s="8" t="s">
        <v>1708</v>
      </c>
      <c r="C1714" s="9">
        <v>1746</v>
      </c>
      <c r="D1714" s="0">
        <v>0</v>
      </c>
      <c r="E1714" s="10">
        <f>HYPERLINK("http://www.lingerieopt.ru/images/original/f04111b0-d05b-45f7-83b9-9417126113b2.jpg","Фото")</f>
      </c>
    </row>
    <row r="1715">
      <c r="A1715" s="7">
        <f>HYPERLINK("http://www.lingerieopt.ru/item/6314-kruzhevnoi-komplekt-belya-blanka-s-vjsokim-poyasom/","6314")</f>
      </c>
      <c r="B1715" s="8" t="s">
        <v>1709</v>
      </c>
      <c r="C1715" s="9">
        <v>1746</v>
      </c>
      <c r="D1715" s="0">
        <v>1</v>
      </c>
      <c r="E1715" s="10">
        <f>HYPERLINK("http://www.lingerieopt.ru/images/original/f04111b0-d05b-45f7-83b9-9417126113b2.jpg","Фото")</f>
      </c>
    </row>
    <row r="1716">
      <c r="A1716" s="7">
        <f>HYPERLINK("http://www.lingerieopt.ru/item/6315-izjskannji-kruzhevnoi-komplekt-iga-s-poyasom/","6315")</f>
      </c>
      <c r="B1716" s="8" t="s">
        <v>1710</v>
      </c>
      <c r="C1716" s="9">
        <v>2027</v>
      </c>
      <c r="D1716" s="0">
        <v>0</v>
      </c>
      <c r="E1716" s="10">
        <f>HYPERLINK("http://www.lingerieopt.ru/images/original/21b8d853-35b0-4dbc-908a-0996daec50dd.jpg","Фото")</f>
      </c>
    </row>
    <row r="1717">
      <c r="A1717" s="7">
        <f>HYPERLINK("http://www.lingerieopt.ru/item/6315-izjskannji-kruzhevnoi-komplekt-iga-s-poyasom/","6315")</f>
      </c>
      <c r="B1717" s="8" t="s">
        <v>1711</v>
      </c>
      <c r="C1717" s="9">
        <v>2027</v>
      </c>
      <c r="D1717" s="0">
        <v>0</v>
      </c>
      <c r="E1717" s="10">
        <f>HYPERLINK("http://www.lingerieopt.ru/images/original/21b8d853-35b0-4dbc-908a-0996daec50dd.jpg","Фото")</f>
      </c>
    </row>
    <row r="1718">
      <c r="A1718" s="7">
        <f>HYPERLINK("http://www.lingerieopt.ru/item/6315-izjskannji-kruzhevnoi-komplekt-iga-s-poyasom/","6315")</f>
      </c>
      <c r="B1718" s="8" t="s">
        <v>1712</v>
      </c>
      <c r="C1718" s="9">
        <v>2027</v>
      </c>
      <c r="D1718" s="0">
        <v>0</v>
      </c>
      <c r="E1718" s="10">
        <f>HYPERLINK("http://www.lingerieopt.ru/images/original/21b8d853-35b0-4dbc-908a-0996daec50dd.jpg","Фото")</f>
      </c>
    </row>
    <row r="1719">
      <c r="A1719" s="7">
        <f>HYPERLINK("http://www.lingerieopt.ru/item/6315-izjskannji-kruzhevnoi-komplekt-iga-s-poyasom/","6315")</f>
      </c>
      <c r="B1719" s="8" t="s">
        <v>1713</v>
      </c>
      <c r="C1719" s="9">
        <v>2027</v>
      </c>
      <c r="D1719" s="0">
        <v>0</v>
      </c>
      <c r="E1719" s="10">
        <f>HYPERLINK("http://www.lingerieopt.ru/images/original/21b8d853-35b0-4dbc-908a-0996daec50dd.jpg","Фото")</f>
      </c>
    </row>
    <row r="1720">
      <c r="A1720" s="7">
        <f>HYPERLINK("http://www.lingerieopt.ru/item/6315-izjskannji-kruzhevnoi-komplekt-iga-s-poyasom/","6315")</f>
      </c>
      <c r="B1720" s="8" t="s">
        <v>1714</v>
      </c>
      <c r="C1720" s="9">
        <v>2027</v>
      </c>
      <c r="D1720" s="0">
        <v>0</v>
      </c>
      <c r="E1720" s="10">
        <f>HYPERLINK("http://www.lingerieopt.ru/images/original/21b8d853-35b0-4dbc-908a-0996daec50dd.jpg","Фото")</f>
      </c>
    </row>
    <row r="1721">
      <c r="A1721" s="7">
        <f>HYPERLINK("http://www.lingerieopt.ru/item/6315-izjskannji-kruzhevnoi-komplekt-iga-s-poyasom/","6315")</f>
      </c>
      <c r="B1721" s="8" t="s">
        <v>1715</v>
      </c>
      <c r="C1721" s="9">
        <v>2027</v>
      </c>
      <c r="D1721" s="0">
        <v>1</v>
      </c>
      <c r="E1721" s="10">
        <f>HYPERLINK("http://www.lingerieopt.ru/images/original/21b8d853-35b0-4dbc-908a-0996daec50dd.jpg","Фото")</f>
      </c>
    </row>
    <row r="1722">
      <c r="A1722" s="7">
        <f>HYPERLINK("http://www.lingerieopt.ru/item/6325-otkrovennji-komplekt-belya-iz-setki-noemi/","6325")</f>
      </c>
      <c r="B1722" s="8" t="s">
        <v>1716</v>
      </c>
      <c r="C1722" s="9">
        <v>1898</v>
      </c>
      <c r="D1722" s="0">
        <v>2</v>
      </c>
      <c r="E1722" s="10">
        <f>HYPERLINK("http://www.lingerieopt.ru/images/original/2dc1d269-b746-4aa3-8541-af5078b97f5c.jpg","Фото")</f>
      </c>
    </row>
    <row r="1723">
      <c r="A1723" s="7">
        <f>HYPERLINK("http://www.lingerieopt.ru/item/6325-otkrovennji-komplekt-belya-iz-setki-noemi/","6325")</f>
      </c>
      <c r="B1723" s="8" t="s">
        <v>1717</v>
      </c>
      <c r="C1723" s="9">
        <v>1898</v>
      </c>
      <c r="D1723" s="0">
        <v>7</v>
      </c>
      <c r="E1723" s="10">
        <f>HYPERLINK("http://www.lingerieopt.ru/images/original/2dc1d269-b746-4aa3-8541-af5078b97f5c.jpg","Фото")</f>
      </c>
    </row>
    <row r="1724">
      <c r="A1724" s="7">
        <f>HYPERLINK("http://www.lingerieopt.ru/item/6326-komplekt-v-setku-doris-iz-treh-predmetov/","6326")</f>
      </c>
      <c r="B1724" s="8" t="s">
        <v>1718</v>
      </c>
      <c r="C1724" s="9">
        <v>2183</v>
      </c>
      <c r="D1724" s="0">
        <v>2</v>
      </c>
      <c r="E1724" s="10">
        <f>HYPERLINK("http://www.lingerieopt.ru/images/original/c06d88b9-f4a4-46b8-ab0f-cea665f9111b.jpg","Фото")</f>
      </c>
    </row>
    <row r="1725">
      <c r="A1725" s="7">
        <f>HYPERLINK("http://www.lingerieopt.ru/item/6326-komplekt-v-setku-doris-iz-treh-predmetov/","6326")</f>
      </c>
      <c r="B1725" s="8" t="s">
        <v>1719</v>
      </c>
      <c r="C1725" s="9">
        <v>2183</v>
      </c>
      <c r="D1725" s="0">
        <v>4</v>
      </c>
      <c r="E1725" s="10">
        <f>HYPERLINK("http://www.lingerieopt.ru/images/original/c06d88b9-f4a4-46b8-ab0f-cea665f9111b.jpg","Фото")</f>
      </c>
    </row>
    <row r="1726">
      <c r="A1726" s="7">
        <f>HYPERLINK("http://www.lingerieopt.ru/item/6356-elastichnji-komplekt-belya-krasotka/","6356")</f>
      </c>
      <c r="B1726" s="8" t="s">
        <v>1720</v>
      </c>
      <c r="C1726" s="9">
        <v>1379</v>
      </c>
      <c r="D1726" s="0">
        <v>10</v>
      </c>
      <c r="E1726" s="10">
        <f>HYPERLINK("http://www.lingerieopt.ru/images/original/ff9a291c-7d88-4882-ac88-17d0d3feaf59.jpg","Фото")</f>
      </c>
    </row>
    <row r="1727">
      <c r="A1727" s="7">
        <f>HYPERLINK("http://www.lingerieopt.ru/item/6389-komplekt-belya-candice-iz-3-predmetov/","6389")</f>
      </c>
      <c r="B1727" s="8" t="s">
        <v>1721</v>
      </c>
      <c r="C1727" s="9">
        <v>2324</v>
      </c>
      <c r="D1727" s="0">
        <v>20</v>
      </c>
      <c r="E1727" s="10">
        <f>HYPERLINK("http://www.lingerieopt.ru/images/original/4a8c8f82-6748-46ae-8275-626448302c1a.jpg","Фото")</f>
      </c>
    </row>
    <row r="1728">
      <c r="A1728" s="7">
        <f>HYPERLINK("http://www.lingerieopt.ru/item/6389-komplekt-belya-candice-iz-3-predmetov/","6389")</f>
      </c>
      <c r="B1728" s="8" t="s">
        <v>1722</v>
      </c>
      <c r="C1728" s="9">
        <v>2324</v>
      </c>
      <c r="D1728" s="0">
        <v>10</v>
      </c>
      <c r="E1728" s="10">
        <f>HYPERLINK("http://www.lingerieopt.ru/images/original/4a8c8f82-6748-46ae-8275-626448302c1a.jpg","Фото")</f>
      </c>
    </row>
    <row r="1729">
      <c r="A1729" s="7">
        <f>HYPERLINK("http://www.lingerieopt.ru/item/6389-komplekt-belya-candice-iz-3-predmetov/","6389")</f>
      </c>
      <c r="B1729" s="8" t="s">
        <v>1723</v>
      </c>
      <c r="C1729" s="9">
        <v>2324</v>
      </c>
      <c r="D1729" s="0">
        <v>5</v>
      </c>
      <c r="E1729" s="10">
        <f>HYPERLINK("http://www.lingerieopt.ru/images/original/4a8c8f82-6748-46ae-8275-626448302c1a.jpg","Фото")</f>
      </c>
    </row>
    <row r="1730">
      <c r="A1730" s="7">
        <f>HYPERLINK("http://www.lingerieopt.ru/item/6390-komplekt-belya-clarisse-iz-3-predmetov/","6390")</f>
      </c>
      <c r="B1730" s="8" t="s">
        <v>1724</v>
      </c>
      <c r="C1730" s="9">
        <v>2601</v>
      </c>
      <c r="D1730" s="0">
        <v>7</v>
      </c>
      <c r="E1730" s="10">
        <f>HYPERLINK("http://www.lingerieopt.ru/images/original/d2ae3687-0fd9-45ec-9372-05f652be9bbf.jpg","Фото")</f>
      </c>
    </row>
    <row r="1731">
      <c r="A1731" s="7">
        <f>HYPERLINK("http://www.lingerieopt.ru/item/6390-komplekt-belya-clarisse-iz-3-predmetov/","6390")</f>
      </c>
      <c r="B1731" s="8" t="s">
        <v>1725</v>
      </c>
      <c r="C1731" s="9">
        <v>2601</v>
      </c>
      <c r="D1731" s="0">
        <v>11</v>
      </c>
      <c r="E1731" s="10">
        <f>HYPERLINK("http://www.lingerieopt.ru/images/original/d2ae3687-0fd9-45ec-9372-05f652be9bbf.jpg","Фото")</f>
      </c>
    </row>
    <row r="1732">
      <c r="A1732" s="7">
        <f>HYPERLINK("http://www.lingerieopt.ru/item/6390-komplekt-belya-clarisse-iz-3-predmetov/","6390")</f>
      </c>
      <c r="B1732" s="8" t="s">
        <v>1726</v>
      </c>
      <c r="C1732" s="9">
        <v>2601</v>
      </c>
      <c r="D1732" s="0">
        <v>2</v>
      </c>
      <c r="E1732" s="10">
        <f>HYPERLINK("http://www.lingerieopt.ru/images/original/d2ae3687-0fd9-45ec-9372-05f652be9bbf.jpg","Фото")</f>
      </c>
    </row>
    <row r="1733">
      <c r="A1733" s="7">
        <f>HYPERLINK("http://www.lingerieopt.ru/item/6391-chuvstvennji-komplekt-belya-liliane/","6391")</f>
      </c>
      <c r="B1733" s="8" t="s">
        <v>1727</v>
      </c>
      <c r="C1733" s="9">
        <v>1998</v>
      </c>
      <c r="D1733" s="0">
        <v>3</v>
      </c>
      <c r="E1733" s="10">
        <f>HYPERLINK("http://www.lingerieopt.ru/images/original/48caf3df-dfe4-4072-9ff9-2be3d0f2eacb.jpg","Фото")</f>
      </c>
    </row>
    <row r="1734">
      <c r="A1734" s="7">
        <f>HYPERLINK("http://www.lingerieopt.ru/item/6391-chuvstvennji-komplekt-belya-liliane/","6391")</f>
      </c>
      <c r="B1734" s="8" t="s">
        <v>1728</v>
      </c>
      <c r="C1734" s="9">
        <v>1998</v>
      </c>
      <c r="D1734" s="0">
        <v>3</v>
      </c>
      <c r="E1734" s="10">
        <f>HYPERLINK("http://www.lingerieopt.ru/images/original/48caf3df-dfe4-4072-9ff9-2be3d0f2eacb.jpg","Фото")</f>
      </c>
    </row>
    <row r="1735">
      <c r="A1735" s="7">
        <f>HYPERLINK("http://www.lingerieopt.ru/item/6392-igrivji-azhurnji-komplekt-sabine/","6392")</f>
      </c>
      <c r="B1735" s="8" t="s">
        <v>1729</v>
      </c>
      <c r="C1735" s="9">
        <v>1598</v>
      </c>
      <c r="D1735" s="0">
        <v>0</v>
      </c>
      <c r="E1735" s="10">
        <f>HYPERLINK("http://www.lingerieopt.ru/images/original/3f6c9508-2fa9-437d-ba7c-cc7a0ba9b099.jpg","Фото")</f>
      </c>
    </row>
    <row r="1736">
      <c r="A1736" s="7">
        <f>HYPERLINK("http://www.lingerieopt.ru/item/6392-igrivji-azhurnji-komplekt-sabine/","6392")</f>
      </c>
      <c r="B1736" s="8" t="s">
        <v>1730</v>
      </c>
      <c r="C1736" s="9">
        <v>1598</v>
      </c>
      <c r="D1736" s="0">
        <v>1</v>
      </c>
      <c r="E1736" s="10">
        <f>HYPERLINK("http://www.lingerieopt.ru/images/original/3f6c9508-2fa9-437d-ba7c-cc7a0ba9b099.jpg","Фото")</f>
      </c>
    </row>
    <row r="1737">
      <c r="A1737" s="7">
        <f>HYPERLINK("http://www.lingerieopt.ru/item/6393-komplekt-salome-premium-s-korsazhem-iz-cepei/","6393")</f>
      </c>
      <c r="B1737" s="8" t="s">
        <v>1731</v>
      </c>
      <c r="C1737" s="9">
        <v>3653</v>
      </c>
      <c r="D1737" s="0">
        <v>3</v>
      </c>
      <c r="E1737" s="10">
        <f>HYPERLINK("http://www.lingerieopt.ru/images/original/3e2016fa-dcf2-4369-af38-6447e97aff13.jpg","Фото")</f>
      </c>
    </row>
    <row r="1738">
      <c r="A1738" s="7">
        <f>HYPERLINK("http://www.lingerieopt.ru/item/6394-izjskannji-kruzhevnoi-komplekt-iga-premium-s-poyasom-i-chulkami/","6394")</f>
      </c>
      <c r="B1738" s="8" t="s">
        <v>1732</v>
      </c>
      <c r="C1738" s="9">
        <v>2358</v>
      </c>
      <c r="D1738" s="0">
        <v>5</v>
      </c>
      <c r="E1738" s="10">
        <f>HYPERLINK("http://www.lingerieopt.ru/images/original/d8ec0a9a-84ca-4e94-845d-cb506927bff3.jpg","Фото")</f>
      </c>
    </row>
    <row r="1739">
      <c r="A1739" s="7">
        <f>HYPERLINK("http://www.lingerieopt.ru/item/6394-izjskannji-kruzhevnoi-komplekt-iga-premium-s-poyasom-i-chulkami/","6394")</f>
      </c>
      <c r="B1739" s="8" t="s">
        <v>1733</v>
      </c>
      <c r="C1739" s="9">
        <v>2358</v>
      </c>
      <c r="D1739" s="0">
        <v>0</v>
      </c>
      <c r="E1739" s="10">
        <f>HYPERLINK("http://www.lingerieopt.ru/images/original/d8ec0a9a-84ca-4e94-845d-cb506927bff3.jpg","Фото")</f>
      </c>
    </row>
    <row r="1740">
      <c r="A1740" s="7">
        <f>HYPERLINK("http://www.lingerieopt.ru/item/6395-komplekt-amanda-premium-s-uzkimi-vstavkami-setki-i-chulkami/","6395")</f>
      </c>
      <c r="B1740" s="8" t="s">
        <v>1734</v>
      </c>
      <c r="C1740" s="9">
        <v>2601</v>
      </c>
      <c r="D1740" s="0">
        <v>9</v>
      </c>
      <c r="E1740" s="10">
        <f>HYPERLINK("http://www.lingerieopt.ru/images/original/f0ca2514-e1b8-4354-8098-5fac4be2a309.jpg","Фото")</f>
      </c>
    </row>
    <row r="1741">
      <c r="A1741" s="7">
        <f>HYPERLINK("http://www.lingerieopt.ru/item/6395-komplekt-amanda-premium-s-uzkimi-vstavkami-setki-i-chulkami/","6395")</f>
      </c>
      <c r="B1741" s="8" t="s">
        <v>1735</v>
      </c>
      <c r="C1741" s="9">
        <v>2601</v>
      </c>
      <c r="D1741" s="0">
        <v>5</v>
      </c>
      <c r="E1741" s="10">
        <f>HYPERLINK("http://www.lingerieopt.ru/images/original/f0ca2514-e1b8-4354-8098-5fac4be2a309.jpg","Фото")</f>
      </c>
    </row>
    <row r="1742">
      <c r="A1742" s="7">
        <f>HYPERLINK("http://www.lingerieopt.ru/item/6399-roskoshnji-komplekt-calixte-premium/","6399")</f>
      </c>
      <c r="B1742" s="8" t="s">
        <v>1736</v>
      </c>
      <c r="C1742" s="9">
        <v>3653</v>
      </c>
      <c r="D1742" s="0">
        <v>5</v>
      </c>
      <c r="E1742" s="10">
        <f>HYPERLINK("http://www.lingerieopt.ru/images/original/01559b75-5179-4087-bcc0-50771b67b341.jpg","Фото")</f>
      </c>
    </row>
    <row r="1743">
      <c r="A1743" s="7">
        <f>HYPERLINK("http://www.lingerieopt.ru/item/6404-nezhnji-kruzhevnoi-komplekt-belya-brigitte/","6404")</f>
      </c>
      <c r="B1743" s="8" t="s">
        <v>1737</v>
      </c>
      <c r="C1743" s="9">
        <v>2075</v>
      </c>
      <c r="D1743" s="0">
        <v>0</v>
      </c>
      <c r="E1743" s="10">
        <f>HYPERLINK("http://www.lingerieopt.ru/images/original/d8378fca-e5a6-433d-941b-c0127dcc6285.jpg","Фото")</f>
      </c>
    </row>
    <row r="1744">
      <c r="A1744" s="7">
        <f>HYPERLINK("http://www.lingerieopt.ru/item/6404-nezhnji-kruzhevnoi-komplekt-belya-brigitte/","6404")</f>
      </c>
      <c r="B1744" s="8" t="s">
        <v>1738</v>
      </c>
      <c r="C1744" s="9">
        <v>2075</v>
      </c>
      <c r="D1744" s="0">
        <v>1</v>
      </c>
      <c r="E1744" s="10">
        <f>HYPERLINK("http://www.lingerieopt.ru/images/original/d8378fca-e5a6-433d-941b-c0127dcc6285.jpg","Фото")</f>
      </c>
    </row>
    <row r="1745">
      <c r="A1745" s="7">
        <f>HYPERLINK("http://www.lingerieopt.ru/item/6405-komplekt-belya-sophie/","6405")</f>
      </c>
      <c r="B1745" s="8" t="s">
        <v>1739</v>
      </c>
      <c r="C1745" s="9">
        <v>2027</v>
      </c>
      <c r="D1745" s="0">
        <v>0</v>
      </c>
      <c r="E1745" s="10">
        <f>HYPERLINK("http://www.lingerieopt.ru/images/original/3596ae3c-9224-44b6-9c18-eca3191ce30c.jpg","Фото")</f>
      </c>
    </row>
    <row r="1746">
      <c r="A1746" s="7">
        <f>HYPERLINK("http://www.lingerieopt.ru/item/6405-komplekt-belya-sophie/","6405")</f>
      </c>
      <c r="B1746" s="8" t="s">
        <v>1740</v>
      </c>
      <c r="C1746" s="9">
        <v>2027</v>
      </c>
      <c r="D1746" s="0">
        <v>2</v>
      </c>
      <c r="E1746" s="10">
        <f>HYPERLINK("http://www.lingerieopt.ru/images/original/3596ae3c-9224-44b6-9c18-eca3191ce30c.jpg","Фото")</f>
      </c>
    </row>
    <row r="1747">
      <c r="A1747" s="7">
        <f>HYPERLINK("http://www.lingerieopt.ru/item/6405-komplekt-belya-sophie/","6405")</f>
      </c>
      <c r="B1747" s="8" t="s">
        <v>1741</v>
      </c>
      <c r="C1747" s="9">
        <v>2027</v>
      </c>
      <c r="D1747" s="0">
        <v>0</v>
      </c>
      <c r="E1747" s="10">
        <f>HYPERLINK("http://www.lingerieopt.ru/images/original/3596ae3c-9224-44b6-9c18-eca3191ce30c.jpg","Фото")</f>
      </c>
    </row>
    <row r="1748">
      <c r="A1748" s="7">
        <f>HYPERLINK("http://www.lingerieopt.ru/item/6405-komplekt-belya-sophie/","6405")</f>
      </c>
      <c r="B1748" s="8" t="s">
        <v>1742</v>
      </c>
      <c r="C1748" s="9">
        <v>2027</v>
      </c>
      <c r="D1748" s="0">
        <v>0</v>
      </c>
      <c r="E1748" s="10">
        <f>HYPERLINK("http://www.lingerieopt.ru/images/original/3596ae3c-9224-44b6-9c18-eca3191ce30c.jpg","Фото")</f>
      </c>
    </row>
    <row r="1749">
      <c r="A1749" s="7">
        <f>HYPERLINK("http://www.lingerieopt.ru/item/6411-komplekt-belya-loretta-s-setchatjmi-ryushami/","6411")</f>
      </c>
      <c r="B1749" s="8" t="s">
        <v>1743</v>
      </c>
      <c r="C1749" s="9">
        <v>1122</v>
      </c>
      <c r="D1749" s="0">
        <v>3</v>
      </c>
      <c r="E1749" s="10">
        <f>HYPERLINK("http://www.lingerieopt.ru/images/original/9c6b864a-d938-47ba-90c2-24b5ab520dcb.jpg","Фото")</f>
      </c>
    </row>
    <row r="1750">
      <c r="A1750" s="7">
        <f>HYPERLINK("http://www.lingerieopt.ru/item/6411-komplekt-belya-loretta-s-setchatjmi-ryushami/","6411")</f>
      </c>
      <c r="B1750" s="8" t="s">
        <v>1744</v>
      </c>
      <c r="C1750" s="9">
        <v>1122</v>
      </c>
      <c r="D1750" s="0">
        <v>1</v>
      </c>
      <c r="E1750" s="10">
        <f>HYPERLINK("http://www.lingerieopt.ru/images/original/9c6b864a-d938-47ba-90c2-24b5ab520dcb.jpg","Фото")</f>
      </c>
    </row>
    <row r="1751">
      <c r="A1751" s="7">
        <f>HYPERLINK("http://www.lingerieopt.ru/item/6416-atlasnji-komplekt-belya-irma-s-kruzhevnjmi-vstavkami/","6416")</f>
      </c>
      <c r="B1751" s="8" t="s">
        <v>1745</v>
      </c>
      <c r="C1751" s="9">
        <v>2178</v>
      </c>
      <c r="D1751" s="0">
        <v>0</v>
      </c>
      <c r="E1751" s="10">
        <f>HYPERLINK("http://www.lingerieopt.ru/images/original/7beaefd8-00f4-43cc-8b25-ada0ace8d9d2.jpg","Фото")</f>
      </c>
    </row>
    <row r="1752">
      <c r="A1752" s="7">
        <f>HYPERLINK("http://www.lingerieopt.ru/item/6416-atlasnji-komplekt-belya-irma-s-kruzhevnjmi-vstavkami/","6416")</f>
      </c>
      <c r="B1752" s="8" t="s">
        <v>1746</v>
      </c>
      <c r="C1752" s="9">
        <v>2178</v>
      </c>
      <c r="D1752" s="0">
        <v>1</v>
      </c>
      <c r="E1752" s="10">
        <f>HYPERLINK("http://www.lingerieopt.ru/images/original/7beaefd8-00f4-43cc-8b25-ada0ace8d9d2.jpg","Фото")</f>
      </c>
    </row>
    <row r="1753">
      <c r="A1753" s="7">
        <f>HYPERLINK("http://www.lingerieopt.ru/item/6451-komplekt-belya-isabelle-lif-i-yubka/","6451")</f>
      </c>
      <c r="B1753" s="8" t="s">
        <v>1747</v>
      </c>
      <c r="C1753" s="9">
        <v>1136</v>
      </c>
      <c r="D1753" s="0">
        <v>4</v>
      </c>
      <c r="E1753" s="10">
        <f>HYPERLINK("http://www.lingerieopt.ru/images/original/64f261a3-85de-4e7a-84e9-96d69ae4f5a2.jpg","Фото")</f>
      </c>
    </row>
    <row r="1754">
      <c r="A1754" s="7">
        <f>HYPERLINK("http://www.lingerieopt.ru/item/6451-komplekt-belya-isabelle-lif-i-yubka/","6451")</f>
      </c>
      <c r="B1754" s="8" t="s">
        <v>1748</v>
      </c>
      <c r="C1754" s="9">
        <v>1136</v>
      </c>
      <c r="D1754" s="0">
        <v>1</v>
      </c>
      <c r="E1754" s="10">
        <f>HYPERLINK("http://www.lingerieopt.ru/images/original/64f261a3-85de-4e7a-84e9-96d69ae4f5a2.jpg","Фото")</f>
      </c>
    </row>
    <row r="1755">
      <c r="A1755" s="7">
        <f>HYPERLINK("http://www.lingerieopt.ru/item/6452-charuyuschii-komplekt-belya-s-otkrjtoi-grudyu-aurelia/","6452")</f>
      </c>
      <c r="B1755" s="8" t="s">
        <v>1749</v>
      </c>
      <c r="C1755" s="9">
        <v>1755</v>
      </c>
      <c r="D1755" s="0">
        <v>7</v>
      </c>
      <c r="E1755" s="10">
        <f>HYPERLINK("http://www.lingerieopt.ru/images/original/517d2b4b-bd9c-4084-8579-31a8411f3da1.jpg","Фото")</f>
      </c>
    </row>
    <row r="1756">
      <c r="A1756" s="7">
        <f>HYPERLINK("http://www.lingerieopt.ru/item/6452-charuyuschii-komplekt-belya-s-otkrjtoi-grudyu-aurelia/","6452")</f>
      </c>
      <c r="B1756" s="8" t="s">
        <v>1750</v>
      </c>
      <c r="C1756" s="9">
        <v>1755</v>
      </c>
      <c r="D1756" s="0">
        <v>3</v>
      </c>
      <c r="E1756" s="10">
        <f>HYPERLINK("http://www.lingerieopt.ru/images/original/517d2b4b-bd9c-4084-8579-31a8411f3da1.jpg","Фото")</f>
      </c>
    </row>
    <row r="1757">
      <c r="A1757" s="7">
        <f>HYPERLINK("http://www.lingerieopt.ru/item/6481-elegantnji-komplekt-nizhnego-belya-kisselent-s-kruzhevom/","6481")</f>
      </c>
      <c r="B1757" s="8" t="s">
        <v>1751</v>
      </c>
      <c r="C1757" s="9">
        <v>2479</v>
      </c>
      <c r="D1757" s="0">
        <v>6</v>
      </c>
      <c r="E1757" s="10">
        <f>HYPERLINK("http://www.lingerieopt.ru/images/original/042fcefe-fc3c-432a-80ed-d2c17f5c2727.jpg","Фото")</f>
      </c>
    </row>
    <row r="1758">
      <c r="A1758" s="7">
        <f>HYPERLINK("http://www.lingerieopt.ru/item/6481-elegantnji-komplekt-nizhnego-belya-kisselent-s-kruzhevom/","6481")</f>
      </c>
      <c r="B1758" s="8" t="s">
        <v>1752</v>
      </c>
      <c r="C1758" s="9">
        <v>2479</v>
      </c>
      <c r="D1758" s="0">
        <v>0</v>
      </c>
      <c r="E1758" s="10">
        <f>HYPERLINK("http://www.lingerieopt.ru/images/original/042fcefe-fc3c-432a-80ed-d2c17f5c2727.jpg","Фото")</f>
      </c>
    </row>
    <row r="1759">
      <c r="A1759" s="7">
        <f>HYPERLINK("http://www.lingerieopt.ru/item/6489-effektnji-komplekt-iz-setki-v-goroshek/","6489")</f>
      </c>
      <c r="B1759" s="8" t="s">
        <v>1753</v>
      </c>
      <c r="C1759" s="9">
        <v>1448</v>
      </c>
      <c r="D1759" s="0">
        <v>30</v>
      </c>
      <c r="E1759" s="10">
        <f>HYPERLINK("http://www.lingerieopt.ru/images/original/9e80b7af-15d4-47ba-bdc4-e644de261812.jpg","Фото")</f>
      </c>
    </row>
    <row r="1760">
      <c r="A1760" s="7">
        <f>HYPERLINK("http://www.lingerieopt.ru/item/6490-komplekt-iz-setki-lif-bando-i-yubochka/","6490")</f>
      </c>
      <c r="B1760" s="8" t="s">
        <v>1754</v>
      </c>
      <c r="C1760" s="9">
        <v>602</v>
      </c>
      <c r="D1760" s="0">
        <v>6</v>
      </c>
      <c r="E1760" s="10">
        <f>HYPERLINK("http://www.lingerieopt.ru/images/original/ec7b52a6-27b0-414d-9e3f-2832d5c8cc63.jpg","Фото")</f>
      </c>
    </row>
    <row r="1761">
      <c r="A1761" s="7">
        <f>HYPERLINK("http://www.lingerieopt.ru/item/6543-chuvstvennji-komplekt-miamor-iz-dvuh-predmetov/","6543")</f>
      </c>
      <c r="B1761" s="8" t="s">
        <v>1755</v>
      </c>
      <c r="C1761" s="9">
        <v>1568</v>
      </c>
      <c r="D1761" s="0">
        <v>2</v>
      </c>
      <c r="E1761" s="10">
        <f>HYPERLINK("http://www.lingerieopt.ru/images/original/fcf20e4b-09a2-4904-9787-654e2c56ef87.jpg","Фото")</f>
      </c>
    </row>
    <row r="1762">
      <c r="A1762" s="7">
        <f>HYPERLINK("http://www.lingerieopt.ru/item/6543-chuvstvennji-komplekt-miamor-iz-dvuh-predmetov/","6543")</f>
      </c>
      <c r="B1762" s="8" t="s">
        <v>1756</v>
      </c>
      <c r="C1762" s="9">
        <v>1568</v>
      </c>
      <c r="D1762" s="0">
        <v>3</v>
      </c>
      <c r="E1762" s="10">
        <f>HYPERLINK("http://www.lingerieopt.ru/images/original/fcf20e4b-09a2-4904-9787-654e2c56ef87.jpg","Фото")</f>
      </c>
    </row>
    <row r="1763">
      <c r="A1763" s="7">
        <f>HYPERLINK("http://www.lingerieopt.ru/item/6584-otkrjtji-komplekt-hope-s-kruzhevnjm-ukrasheniem-na-sheyu/","6584")</f>
      </c>
      <c r="B1763" s="8" t="s">
        <v>1757</v>
      </c>
      <c r="C1763" s="9">
        <v>2392</v>
      </c>
      <c r="D1763" s="0">
        <v>6</v>
      </c>
      <c r="E1763" s="10">
        <f>HYPERLINK("http://www.lingerieopt.ru/images/original/74dc950c-f8b5-4a58-af0f-25461d033a6c.jpg","Фото")</f>
      </c>
    </row>
    <row r="1764">
      <c r="A1764" s="7">
        <f>HYPERLINK("http://www.lingerieopt.ru/item/6584-otkrjtji-komplekt-hope-s-kruzhevnjm-ukrasheniem-na-sheyu/","6584")</f>
      </c>
      <c r="B1764" s="8" t="s">
        <v>1758</v>
      </c>
      <c r="C1764" s="9">
        <v>2392</v>
      </c>
      <c r="D1764" s="0">
        <v>4</v>
      </c>
      <c r="E1764" s="10">
        <f>HYPERLINK("http://www.lingerieopt.ru/images/original/74dc950c-f8b5-4a58-af0f-25461d033a6c.jpg","Фото")</f>
      </c>
    </row>
    <row r="1765">
      <c r="A1765" s="7">
        <f>HYPERLINK("http://www.lingerieopt.ru/item/6584-otkrjtji-komplekt-hope-s-kruzhevnjm-ukrasheniem-na-sheyu/","6584")</f>
      </c>
      <c r="B1765" s="8" t="s">
        <v>1759</v>
      </c>
      <c r="C1765" s="9">
        <v>2392</v>
      </c>
      <c r="D1765" s="0">
        <v>6</v>
      </c>
      <c r="E1765" s="10">
        <f>HYPERLINK("http://www.lingerieopt.ru/images/original/74dc950c-f8b5-4a58-af0f-25461d033a6c.jpg","Фото")</f>
      </c>
    </row>
    <row r="1766">
      <c r="A1766" s="7">
        <f>HYPERLINK("http://www.lingerieopt.ru/item/6584-otkrjtji-komplekt-hope-s-kruzhevnjm-ukrasheniem-na-sheyu/","6584")</f>
      </c>
      <c r="B1766" s="8" t="s">
        <v>1760</v>
      </c>
      <c r="C1766" s="9">
        <v>2392</v>
      </c>
      <c r="D1766" s="0">
        <v>3</v>
      </c>
      <c r="E1766" s="10">
        <f>HYPERLINK("http://www.lingerieopt.ru/images/original/74dc950c-f8b5-4a58-af0f-25461d033a6c.jpg","Фото")</f>
      </c>
    </row>
    <row r="1767">
      <c r="A1767" s="7">
        <f>HYPERLINK("http://www.lingerieopt.ru/item/6584-otkrjtji-komplekt-hope-s-kruzhevnjm-ukrasheniem-na-sheyu/","6584")</f>
      </c>
      <c r="B1767" s="8" t="s">
        <v>1761</v>
      </c>
      <c r="C1767" s="9">
        <v>2392</v>
      </c>
      <c r="D1767" s="0">
        <v>5</v>
      </c>
      <c r="E1767" s="10">
        <f>HYPERLINK("http://www.lingerieopt.ru/images/original/74dc950c-f8b5-4a58-af0f-25461d033a6c.jpg","Фото")</f>
      </c>
    </row>
    <row r="1768">
      <c r="A1768" s="7">
        <f>HYPERLINK("http://www.lingerieopt.ru/item/6584-otkrjtji-komplekt-hope-s-kruzhevnjm-ukrasheniem-na-sheyu/","6584")</f>
      </c>
      <c r="B1768" s="8" t="s">
        <v>1762</v>
      </c>
      <c r="C1768" s="9">
        <v>2392</v>
      </c>
      <c r="D1768" s="0">
        <v>5</v>
      </c>
      <c r="E1768" s="10">
        <f>HYPERLINK("http://www.lingerieopt.ru/images/original/74dc950c-f8b5-4a58-af0f-25461d033a6c.jpg","Фото")</f>
      </c>
    </row>
    <row r="1769">
      <c r="A1769" s="7">
        <f>HYPERLINK("http://www.lingerieopt.ru/item/6584-otkrjtji-komplekt-hope-s-kruzhevnjm-ukrasheniem-na-sheyu/","6584")</f>
      </c>
      <c r="B1769" s="8" t="s">
        <v>1763</v>
      </c>
      <c r="C1769" s="9">
        <v>2392</v>
      </c>
      <c r="D1769" s="0">
        <v>1</v>
      </c>
      <c r="E1769" s="10">
        <f>HYPERLINK("http://www.lingerieopt.ru/images/original/74dc950c-f8b5-4a58-af0f-25461d033a6c.jpg","Фото")</f>
      </c>
    </row>
    <row r="1770">
      <c r="A1770" s="7">
        <f>HYPERLINK("http://www.lingerieopt.ru/item/6584-otkrjtji-komplekt-hope-s-kruzhevnjm-ukrasheniem-na-sheyu/","6584")</f>
      </c>
      <c r="B1770" s="8" t="s">
        <v>1764</v>
      </c>
      <c r="C1770" s="9">
        <v>2392</v>
      </c>
      <c r="D1770" s="0">
        <v>7</v>
      </c>
      <c r="E1770" s="10">
        <f>HYPERLINK("http://www.lingerieopt.ru/images/original/74dc950c-f8b5-4a58-af0f-25461d033a6c.jpg","Фото")</f>
      </c>
    </row>
    <row r="1771">
      <c r="A1771" s="7">
        <f>HYPERLINK("http://www.lingerieopt.ru/item/6586-soblaznitelnji-komplekt-belya-feromoni-iz-3-predmetov/","6586")</f>
      </c>
      <c r="B1771" s="8" t="s">
        <v>1765</v>
      </c>
      <c r="C1771" s="9">
        <v>2244</v>
      </c>
      <c r="D1771" s="0">
        <v>4</v>
      </c>
      <c r="E1771" s="10">
        <f>HYPERLINK("http://www.lingerieopt.ru/images/original/10c6f156-85e5-4f97-88d0-ed8a24b2ec43.jpg","Фото")</f>
      </c>
    </row>
    <row r="1772">
      <c r="A1772" s="7">
        <f>HYPERLINK("http://www.lingerieopt.ru/item/6586-soblaznitelnji-komplekt-belya-feromoni-iz-3-predmetov/","6586")</f>
      </c>
      <c r="B1772" s="8" t="s">
        <v>1766</v>
      </c>
      <c r="C1772" s="9">
        <v>2244</v>
      </c>
      <c r="D1772" s="0">
        <v>4</v>
      </c>
      <c r="E1772" s="10">
        <f>HYPERLINK("http://www.lingerieopt.ru/images/original/10c6f156-85e5-4f97-88d0-ed8a24b2ec43.jpg","Фото")</f>
      </c>
    </row>
    <row r="1773">
      <c r="A1773" s="7">
        <f>HYPERLINK("http://www.lingerieopt.ru/item/6586-soblaznitelnji-komplekt-belya-feromoni-iz-3-predmetov/","6586")</f>
      </c>
      <c r="B1773" s="8" t="s">
        <v>1767</v>
      </c>
      <c r="C1773" s="9">
        <v>2244</v>
      </c>
      <c r="D1773" s="0">
        <v>4</v>
      </c>
      <c r="E1773" s="10">
        <f>HYPERLINK("http://www.lingerieopt.ru/images/original/10c6f156-85e5-4f97-88d0-ed8a24b2ec43.jpg","Фото")</f>
      </c>
    </row>
    <row r="1774">
      <c r="A1774" s="7">
        <f>HYPERLINK("http://www.lingerieopt.ru/item/6589-top-i-shortiki-charlize-s-kruzhevnoi-otorochkoi/","6589")</f>
      </c>
      <c r="B1774" s="8" t="s">
        <v>1768</v>
      </c>
      <c r="C1774" s="9">
        <v>1313</v>
      </c>
      <c r="D1774" s="0">
        <v>6</v>
      </c>
      <c r="E1774" s="10">
        <f>HYPERLINK("http://www.lingerieopt.ru/images/original/13caa7c8-afa3-460d-83b0-1c435d2c2014.jpg","Фото")</f>
      </c>
    </row>
    <row r="1775">
      <c r="A1775" s="7">
        <f>HYPERLINK("http://www.lingerieopt.ru/item/6589-top-i-shortiki-charlize-s-kruzhevnoi-otorochkoi/","6589")</f>
      </c>
      <c r="B1775" s="8" t="s">
        <v>1769</v>
      </c>
      <c r="C1775" s="9">
        <v>1313</v>
      </c>
      <c r="D1775" s="0">
        <v>7</v>
      </c>
      <c r="E1775" s="10">
        <f>HYPERLINK("http://www.lingerieopt.ru/images/original/13caa7c8-afa3-460d-83b0-1c435d2c2014.jpg","Фото")</f>
      </c>
    </row>
    <row r="1776">
      <c r="A1776" s="7">
        <f>HYPERLINK("http://www.lingerieopt.ru/item/6589-top-i-shortiki-charlize-s-kruzhevnoi-otorochkoi/","6589")</f>
      </c>
      <c r="B1776" s="8" t="s">
        <v>1770</v>
      </c>
      <c r="C1776" s="9">
        <v>1313</v>
      </c>
      <c r="D1776" s="0">
        <v>3</v>
      </c>
      <c r="E1776" s="10">
        <f>HYPERLINK("http://www.lingerieopt.ru/images/original/13caa7c8-afa3-460d-83b0-1c435d2c2014.jpg","Фото")</f>
      </c>
    </row>
    <row r="1777">
      <c r="A1777" s="7">
        <f>HYPERLINK("http://www.lingerieopt.ru/item/6589-top-i-shortiki-charlize-s-kruzhevnoi-otorochkoi/","6589")</f>
      </c>
      <c r="B1777" s="8" t="s">
        <v>1771</v>
      </c>
      <c r="C1777" s="9">
        <v>1313</v>
      </c>
      <c r="D1777" s="0">
        <v>4</v>
      </c>
      <c r="E1777" s="10">
        <f>HYPERLINK("http://www.lingerieopt.ru/images/original/13caa7c8-afa3-460d-83b0-1c435d2c2014.jpg","Фото")</f>
      </c>
    </row>
    <row r="1778">
      <c r="A1778" s="7">
        <f>HYPERLINK("http://www.lingerieopt.ru/item/6590-otkrovennji-komplekt-belya-doris-s-ukrasheniem-na-shee/","6590")</f>
      </c>
      <c r="B1778" s="8" t="s">
        <v>1772</v>
      </c>
      <c r="C1778" s="9">
        <v>1348</v>
      </c>
      <c r="D1778" s="0">
        <v>1</v>
      </c>
      <c r="E1778" s="10">
        <f>HYPERLINK("http://www.lingerieopt.ru/images/original/1b460bc3-01b9-48f8-8883-d6e7f159e6b5.jpg","Фото")</f>
      </c>
    </row>
    <row r="1779">
      <c r="A1779" s="7">
        <f>HYPERLINK("http://www.lingerieopt.ru/item/6590-otkrovennji-komplekt-belya-doris-s-ukrasheniem-na-shee/","6590")</f>
      </c>
      <c r="B1779" s="8" t="s">
        <v>1773</v>
      </c>
      <c r="C1779" s="9">
        <v>1348</v>
      </c>
      <c r="D1779" s="0">
        <v>3</v>
      </c>
      <c r="E1779" s="10">
        <f>HYPERLINK("http://www.lingerieopt.ru/images/original/1b460bc3-01b9-48f8-8883-d6e7f159e6b5.jpg","Фото")</f>
      </c>
    </row>
    <row r="1780">
      <c r="A1780" s="7">
        <f>HYPERLINK("http://www.lingerieopt.ru/item/6590-otkrovennji-komplekt-belya-doris-s-ukrasheniem-na-shee/","6590")</f>
      </c>
      <c r="B1780" s="8" t="s">
        <v>1774</v>
      </c>
      <c r="C1780" s="9">
        <v>1348</v>
      </c>
      <c r="D1780" s="0">
        <v>10</v>
      </c>
      <c r="E1780" s="10">
        <f>HYPERLINK("http://www.lingerieopt.ru/images/original/1b460bc3-01b9-48f8-8883-d6e7f159e6b5.jpg","Фото")</f>
      </c>
    </row>
    <row r="1781">
      <c r="A1781" s="7">
        <f>HYPERLINK("http://www.lingerieopt.ru/item/6590-otkrovennji-komplekt-belya-doris-s-ukrasheniem-na-shee/","6590")</f>
      </c>
      <c r="B1781" s="8" t="s">
        <v>1775</v>
      </c>
      <c r="C1781" s="9">
        <v>1348</v>
      </c>
      <c r="D1781" s="0">
        <v>6</v>
      </c>
      <c r="E1781" s="10">
        <f>HYPERLINK("http://www.lingerieopt.ru/images/original/1b460bc3-01b9-48f8-8883-d6e7f159e6b5.jpg","Фото")</f>
      </c>
    </row>
    <row r="1782">
      <c r="A1782" s="7">
        <f>HYPERLINK("http://www.lingerieopt.ru/item/6651-igrivji-komplekt-bonnie-bonita/","6651")</f>
      </c>
      <c r="B1782" s="8" t="s">
        <v>1776</v>
      </c>
      <c r="C1782" s="9">
        <v>1286</v>
      </c>
      <c r="D1782" s="0">
        <v>0</v>
      </c>
      <c r="E1782" s="10">
        <f>HYPERLINK("http://www.lingerieopt.ru/images/original/487d2e24-eeb1-4a06-b868-8496b07c3404.jpg","Фото")</f>
      </c>
    </row>
    <row r="1783">
      <c r="A1783" s="7">
        <f>HYPERLINK("http://www.lingerieopt.ru/item/6651-igrivji-komplekt-bonnie-bonita/","6651")</f>
      </c>
      <c r="B1783" s="8" t="s">
        <v>1777</v>
      </c>
      <c r="C1783" s="9">
        <v>1286</v>
      </c>
      <c r="D1783" s="0">
        <v>1</v>
      </c>
      <c r="E1783" s="10">
        <f>HYPERLINK("http://www.lingerieopt.ru/images/original/487d2e24-eeb1-4a06-b868-8496b07c3404.jpg","Фото")</f>
      </c>
    </row>
    <row r="1784">
      <c r="A1784" s="7">
        <f>HYPERLINK("http://www.lingerieopt.ru/item/6651-igrivji-komplekt-bonnie-bonita/","6651")</f>
      </c>
      <c r="B1784" s="8" t="s">
        <v>1778</v>
      </c>
      <c r="C1784" s="9">
        <v>1286</v>
      </c>
      <c r="D1784" s="0">
        <v>0</v>
      </c>
      <c r="E1784" s="10">
        <f>HYPERLINK("http://www.lingerieopt.ru/images/original/487d2e24-eeb1-4a06-b868-8496b07c3404.jpg","Фото")</f>
      </c>
    </row>
    <row r="1785">
      <c r="A1785" s="7">
        <f>HYPERLINK("http://www.lingerieopt.ru/item/6652-komplekt-iz-dvuhcvetnogo-kruzheva-invitingly/","6652")</f>
      </c>
      <c r="B1785" s="8" t="s">
        <v>1779</v>
      </c>
      <c r="C1785" s="9">
        <v>1283</v>
      </c>
      <c r="D1785" s="0">
        <v>3</v>
      </c>
      <c r="E1785" s="10">
        <f>HYPERLINK("http://www.lingerieopt.ru/images/original/756f1825-f2f4-412a-b29f-a11db1331bb4.jpg","Фото")</f>
      </c>
    </row>
    <row r="1786">
      <c r="A1786" s="7">
        <f>HYPERLINK("http://www.lingerieopt.ru/item/6652-komplekt-iz-dvuhcvetnogo-kruzheva-invitingly/","6652")</f>
      </c>
      <c r="B1786" s="8" t="s">
        <v>1780</v>
      </c>
      <c r="C1786" s="9">
        <v>1283</v>
      </c>
      <c r="D1786" s="0">
        <v>5</v>
      </c>
      <c r="E1786" s="10">
        <f>HYPERLINK("http://www.lingerieopt.ru/images/original/756f1825-f2f4-412a-b29f-a11db1331bb4.jpg","Фото")</f>
      </c>
    </row>
    <row r="1787">
      <c r="A1787" s="7">
        <f>HYPERLINK("http://www.lingerieopt.ru/item/6652-komplekt-iz-dvuhcvetnogo-kruzheva-invitingly/","6652")</f>
      </c>
      <c r="B1787" s="8" t="s">
        <v>1781</v>
      </c>
      <c r="C1787" s="9">
        <v>1283</v>
      </c>
      <c r="D1787" s="0">
        <v>3</v>
      </c>
      <c r="E1787" s="10">
        <f>HYPERLINK("http://www.lingerieopt.ru/images/original/756f1825-f2f4-412a-b29f-a11db1331bb4.jpg","Фото")</f>
      </c>
    </row>
    <row r="1788">
      <c r="A1788" s="7">
        <f>HYPERLINK("http://www.lingerieopt.ru/item/6652-komplekt-iz-dvuhcvetnogo-kruzheva-invitingly/","6652")</f>
      </c>
      <c r="B1788" s="8" t="s">
        <v>1782</v>
      </c>
      <c r="C1788" s="9">
        <v>1283</v>
      </c>
      <c r="D1788" s="0">
        <v>1</v>
      </c>
      <c r="E1788" s="10">
        <f>HYPERLINK("http://www.lingerieopt.ru/images/original/756f1825-f2f4-412a-b29f-a11db1331bb4.jpg","Фото")</f>
      </c>
    </row>
    <row r="1789">
      <c r="A1789" s="7">
        <f>HYPERLINK("http://www.lingerieopt.ru/item/6842-komplekt-belya-etheria-iz-3-predmetov/","6842")</f>
      </c>
      <c r="B1789" s="8" t="s">
        <v>1783</v>
      </c>
      <c r="C1789" s="9">
        <v>1861</v>
      </c>
      <c r="D1789" s="0">
        <v>4</v>
      </c>
      <c r="E1789" s="10">
        <f>HYPERLINK("http://www.lingerieopt.ru/images/original/2e897274-7502-444c-b059-686a65596ca2.jpg","Фото")</f>
      </c>
    </row>
    <row r="1790">
      <c r="A1790" s="7">
        <f>HYPERLINK("http://www.lingerieopt.ru/item/6842-komplekt-belya-etheria-iz-3-predmetov/","6842")</f>
      </c>
      <c r="B1790" s="8" t="s">
        <v>1784</v>
      </c>
      <c r="C1790" s="9">
        <v>1861</v>
      </c>
      <c r="D1790" s="0">
        <v>0</v>
      </c>
      <c r="E1790" s="10">
        <f>HYPERLINK("http://www.lingerieopt.ru/images/original/2e897274-7502-444c-b059-686a65596ca2.jpg","Фото")</f>
      </c>
    </row>
    <row r="1791">
      <c r="A1791" s="7">
        <f>HYPERLINK("http://www.lingerieopt.ru/item/6845-prityagatelnji-komplekt-belya-lustella/","6845")</f>
      </c>
      <c r="B1791" s="8" t="s">
        <v>1785</v>
      </c>
      <c r="C1791" s="9">
        <v>1577</v>
      </c>
      <c r="D1791" s="0">
        <v>18</v>
      </c>
      <c r="E1791" s="10">
        <f>HYPERLINK("http://www.lingerieopt.ru/images/original/81e85e84-fa59-4d5d-be8e-dc771f62e372.jpg","Фото")</f>
      </c>
    </row>
    <row r="1792">
      <c r="A1792" s="7">
        <f>HYPERLINK("http://www.lingerieopt.ru/item/6845-prityagatelnji-komplekt-belya-lustella/","6845")</f>
      </c>
      <c r="B1792" s="8" t="s">
        <v>1786</v>
      </c>
      <c r="C1792" s="9">
        <v>1577</v>
      </c>
      <c r="D1792" s="0">
        <v>5</v>
      </c>
      <c r="E1792" s="10">
        <f>HYPERLINK("http://www.lingerieopt.ru/images/original/81e85e84-fa59-4d5d-be8e-dc771f62e372.jpg","Фото")</f>
      </c>
    </row>
    <row r="1793">
      <c r="A1793" s="7">
        <f>HYPERLINK("http://www.lingerieopt.ru/item/6848-komplekt-belya-musca-s-pikantnjmi-razrezami-na-life/","6848")</f>
      </c>
      <c r="B1793" s="8" t="s">
        <v>1787</v>
      </c>
      <c r="C1793" s="9">
        <v>1544</v>
      </c>
      <c r="D1793" s="0">
        <v>4</v>
      </c>
      <c r="E1793" s="10">
        <f>HYPERLINK("http://www.lingerieopt.ru/images/original/5b0eb852-9047-49fa-a47d-1b823aebfe23.jpg","Фото")</f>
      </c>
    </row>
    <row r="1794">
      <c r="A1794" s="7">
        <f>HYPERLINK("http://www.lingerieopt.ru/item/6848-komplekt-belya-musca-s-pikantnjmi-razrezami-na-life/","6848")</f>
      </c>
      <c r="B1794" s="8" t="s">
        <v>1788</v>
      </c>
      <c r="C1794" s="9">
        <v>1544</v>
      </c>
      <c r="D1794" s="0">
        <v>0</v>
      </c>
      <c r="E1794" s="10">
        <f>HYPERLINK("http://www.lingerieopt.ru/images/original/5b0eb852-9047-49fa-a47d-1b823aebfe23.jpg","Фото")</f>
      </c>
    </row>
    <row r="1795">
      <c r="A1795" s="7">
        <f>HYPERLINK("http://www.lingerieopt.ru/item/6863-seksualnji-komplekt-amanta-s-dvuhcvetnjm-kruzhevom/","6863")</f>
      </c>
      <c r="B1795" s="8" t="s">
        <v>1789</v>
      </c>
      <c r="C1795" s="9">
        <v>1678</v>
      </c>
      <c r="D1795" s="0">
        <v>4</v>
      </c>
      <c r="E1795" s="10">
        <f>HYPERLINK("http://www.lingerieopt.ru/images/original/de5be6e7-4b85-44f5-9ccf-d4a1e234c4be.jpg","Фото")</f>
      </c>
    </row>
    <row r="1796">
      <c r="A1796" s="7">
        <f>HYPERLINK("http://www.lingerieopt.ru/item/6863-seksualnji-komplekt-amanta-s-dvuhcvetnjm-kruzhevom/","6863")</f>
      </c>
      <c r="B1796" s="8" t="s">
        <v>1790</v>
      </c>
      <c r="C1796" s="9">
        <v>1678</v>
      </c>
      <c r="D1796" s="0">
        <v>7</v>
      </c>
      <c r="E1796" s="10">
        <f>HYPERLINK("http://www.lingerieopt.ru/images/original/de5be6e7-4b85-44f5-9ccf-d4a1e234c4be.jpg","Фото")</f>
      </c>
    </row>
    <row r="1797">
      <c r="A1797" s="7">
        <f>HYPERLINK("http://www.lingerieopt.ru/item/6884-alje-trusiki-secred-v-komplekte-s-aksessuarami/","6884")</f>
      </c>
      <c r="B1797" s="8" t="s">
        <v>1791</v>
      </c>
      <c r="C1797" s="9">
        <v>1175</v>
      </c>
      <c r="D1797" s="0">
        <v>8</v>
      </c>
      <c r="E1797" s="10">
        <f>HYPERLINK("http://www.lingerieopt.ru/images/original/9472ccb5-bd68-4a3f-8575-fb7342be8aa1.jpg","Фото")</f>
      </c>
    </row>
    <row r="1798">
      <c r="A1798" s="7">
        <f>HYPERLINK("http://www.lingerieopt.ru/item/6884-alje-trusiki-secred-v-komplekte-s-aksessuarami/","6884")</f>
      </c>
      <c r="B1798" s="8" t="s">
        <v>1792</v>
      </c>
      <c r="C1798" s="9">
        <v>1175</v>
      </c>
      <c r="D1798" s="0">
        <v>7</v>
      </c>
      <c r="E1798" s="10">
        <f>HYPERLINK("http://www.lingerieopt.ru/images/original/9472ccb5-bd68-4a3f-8575-fb7342be8aa1.jpg","Фото")</f>
      </c>
    </row>
    <row r="1799">
      <c r="A1799" s="7">
        <f>HYPERLINK("http://www.lingerieopt.ru/item/6952-komplekt-belya-isabella/","6952")</f>
      </c>
      <c r="B1799" s="8" t="s">
        <v>1793</v>
      </c>
      <c r="C1799" s="9">
        <v>2717</v>
      </c>
      <c r="D1799" s="0">
        <v>3</v>
      </c>
      <c r="E1799" s="10">
        <f>HYPERLINK("http://www.lingerieopt.ru/images/original/a9e19239-9527-42d9-a8c3-8dc24e9e34e5.jpg","Фото")</f>
      </c>
    </row>
    <row r="1800">
      <c r="A1800" s="7">
        <f>HYPERLINK("http://www.lingerieopt.ru/item/6952-komplekt-belya-isabella/","6952")</f>
      </c>
      <c r="B1800" s="8" t="s">
        <v>1794</v>
      </c>
      <c r="C1800" s="9">
        <v>2717</v>
      </c>
      <c r="D1800" s="0">
        <v>6</v>
      </c>
      <c r="E1800" s="10">
        <f>HYPERLINK("http://www.lingerieopt.ru/images/original/a9e19239-9527-42d9-a8c3-8dc24e9e34e5.jpg","Фото")</f>
      </c>
    </row>
    <row r="1801">
      <c r="A1801" s="7">
        <f>HYPERLINK("http://www.lingerieopt.ru/item/6952-komplekt-belya-isabella/","6952")</f>
      </c>
      <c r="B1801" s="8" t="s">
        <v>1795</v>
      </c>
      <c r="C1801" s="9">
        <v>2717</v>
      </c>
      <c r="D1801" s="0">
        <v>3</v>
      </c>
      <c r="E1801" s="10">
        <f>HYPERLINK("http://www.lingerieopt.ru/images/original/a9e19239-9527-42d9-a8c3-8dc24e9e34e5.jpg","Фото")</f>
      </c>
    </row>
    <row r="1802">
      <c r="A1802" s="7">
        <f>HYPERLINK("http://www.lingerieopt.ru/item/6952-komplekt-belya-isabella/","6952")</f>
      </c>
      <c r="B1802" s="8" t="s">
        <v>1796</v>
      </c>
      <c r="C1802" s="9">
        <v>2717</v>
      </c>
      <c r="D1802" s="0">
        <v>4</v>
      </c>
      <c r="E1802" s="10">
        <f>HYPERLINK("http://www.lingerieopt.ru/images/original/a9e19239-9527-42d9-a8c3-8dc24e9e34e5.jpg","Фото")</f>
      </c>
    </row>
    <row r="1803">
      <c r="A1803" s="7">
        <f>HYPERLINK("http://www.lingerieopt.ru/item/6952-komplekt-belya-isabella/","6952")</f>
      </c>
      <c r="B1803" s="8" t="s">
        <v>1797</v>
      </c>
      <c r="C1803" s="9">
        <v>2717</v>
      </c>
      <c r="D1803" s="0">
        <v>4</v>
      </c>
      <c r="E1803" s="10">
        <f>HYPERLINK("http://www.lingerieopt.ru/images/original/a9e19239-9527-42d9-a8c3-8dc24e9e34e5.jpg","Фото")</f>
      </c>
    </row>
    <row r="1804">
      <c r="A1804" s="7">
        <f>HYPERLINK("http://www.lingerieopt.ru/item/6952-komplekt-belya-isabella/","6952")</f>
      </c>
      <c r="B1804" s="8" t="s">
        <v>1798</v>
      </c>
      <c r="C1804" s="9">
        <v>2717</v>
      </c>
      <c r="D1804" s="0">
        <v>1</v>
      </c>
      <c r="E1804" s="10">
        <f>HYPERLINK("http://www.lingerieopt.ru/images/original/a9e19239-9527-42d9-a8c3-8dc24e9e34e5.jpg","Фото")</f>
      </c>
    </row>
    <row r="1805">
      <c r="A1805" s="7">
        <f>HYPERLINK("http://www.lingerieopt.ru/item/6953-komplekt-iz-lent-aisha/","6953")</f>
      </c>
      <c r="B1805" s="8" t="s">
        <v>1799</v>
      </c>
      <c r="C1805" s="9">
        <v>2574</v>
      </c>
      <c r="D1805" s="0">
        <v>21</v>
      </c>
      <c r="E1805" s="10">
        <f>HYPERLINK("http://www.lingerieopt.ru/images/original/1e39f6c4-8457-41cd-8cfa-7a035de0e4ea.jpg","Фото")</f>
      </c>
    </row>
    <row r="1806">
      <c r="A1806" s="7">
        <f>HYPERLINK("http://www.lingerieopt.ru/item/6953-komplekt-iz-lent-aisha/","6953")</f>
      </c>
      <c r="B1806" s="8" t="s">
        <v>1800</v>
      </c>
      <c r="C1806" s="9">
        <v>2574</v>
      </c>
      <c r="D1806" s="0">
        <v>13</v>
      </c>
      <c r="E1806" s="10">
        <f>HYPERLINK("http://www.lingerieopt.ru/images/original/1e39f6c4-8457-41cd-8cfa-7a035de0e4ea.jpg","Фото")</f>
      </c>
    </row>
    <row r="1807">
      <c r="A1807" s="7">
        <f>HYPERLINK("http://www.lingerieopt.ru/item/6953-komplekt-iz-lent-aisha/","6953")</f>
      </c>
      <c r="B1807" s="8" t="s">
        <v>1801</v>
      </c>
      <c r="C1807" s="9">
        <v>2574</v>
      </c>
      <c r="D1807" s="0">
        <v>15</v>
      </c>
      <c r="E1807" s="10">
        <f>HYPERLINK("http://www.lingerieopt.ru/images/original/1e39f6c4-8457-41cd-8cfa-7a035de0e4ea.jpg","Фото")</f>
      </c>
    </row>
    <row r="1808">
      <c r="A1808" s="7">
        <f>HYPERLINK("http://www.lingerieopt.ru/item/6953-komplekt-iz-lent-aisha/","6953")</f>
      </c>
      <c r="B1808" s="8" t="s">
        <v>1802</v>
      </c>
      <c r="C1808" s="9">
        <v>2574</v>
      </c>
      <c r="D1808" s="0">
        <v>12</v>
      </c>
      <c r="E1808" s="10">
        <f>HYPERLINK("http://www.lingerieopt.ru/images/original/1e39f6c4-8457-41cd-8cfa-7a035de0e4ea.jpg","Фото")</f>
      </c>
    </row>
    <row r="1809">
      <c r="A1809" s="7">
        <f>HYPERLINK("http://www.lingerieopt.ru/item/6953-komplekt-iz-lent-aisha/","6953")</f>
      </c>
      <c r="B1809" s="8" t="s">
        <v>1803</v>
      </c>
      <c r="C1809" s="9">
        <v>2574</v>
      </c>
      <c r="D1809" s="0">
        <v>18</v>
      </c>
      <c r="E1809" s="10">
        <f>HYPERLINK("http://www.lingerieopt.ru/images/original/1e39f6c4-8457-41cd-8cfa-7a035de0e4ea.jpg","Фото")</f>
      </c>
    </row>
    <row r="1810">
      <c r="A1810" s="7">
        <f>HYPERLINK("http://www.lingerieopt.ru/item/6954-komplekt-loretta-iz-lent-s-poyasom/","6954")</f>
      </c>
      <c r="B1810" s="8" t="s">
        <v>1804</v>
      </c>
      <c r="C1810" s="9">
        <v>2861</v>
      </c>
      <c r="D1810" s="0">
        <v>20</v>
      </c>
      <c r="E1810" s="10">
        <f>HYPERLINK("http://www.lingerieopt.ru/images/original/040902b3-c70a-4205-8812-bb18b1e434b0.jpg","Фото")</f>
      </c>
    </row>
    <row r="1811">
      <c r="A1811" s="7">
        <f>HYPERLINK("http://www.lingerieopt.ru/item/6954-komplekt-loretta-iz-lent-s-poyasom/","6954")</f>
      </c>
      <c r="B1811" s="8" t="s">
        <v>1805</v>
      </c>
      <c r="C1811" s="9">
        <v>2861</v>
      </c>
      <c r="D1811" s="0">
        <v>21</v>
      </c>
      <c r="E1811" s="10">
        <f>HYPERLINK("http://www.lingerieopt.ru/images/original/040902b3-c70a-4205-8812-bb18b1e434b0.jpg","Фото")</f>
      </c>
    </row>
    <row r="1812">
      <c r="A1812" s="7">
        <f>HYPERLINK("http://www.lingerieopt.ru/item/6954-komplekt-loretta-iz-lent-s-poyasom/","6954")</f>
      </c>
      <c r="B1812" s="8" t="s">
        <v>1806</v>
      </c>
      <c r="C1812" s="9">
        <v>2861</v>
      </c>
      <c r="D1812" s="0">
        <v>20</v>
      </c>
      <c r="E1812" s="10">
        <f>HYPERLINK("http://www.lingerieopt.ru/images/original/040902b3-c70a-4205-8812-bb18b1e434b0.jpg","Фото")</f>
      </c>
    </row>
    <row r="1813">
      <c r="A1813" s="7">
        <f>HYPERLINK("http://www.lingerieopt.ru/item/6954-komplekt-loretta-iz-lent-s-poyasom/","6954")</f>
      </c>
      <c r="B1813" s="8" t="s">
        <v>1807</v>
      </c>
      <c r="C1813" s="9">
        <v>2861</v>
      </c>
      <c r="D1813" s="0">
        <v>15</v>
      </c>
      <c r="E1813" s="10">
        <f>HYPERLINK("http://www.lingerieopt.ru/images/original/040902b3-c70a-4205-8812-bb18b1e434b0.jpg","Фото")</f>
      </c>
    </row>
    <row r="1814">
      <c r="A1814" s="7">
        <f>HYPERLINK("http://www.lingerieopt.ru/item/6955-komplekt-belya-rene-iz-tonkih-lent/","6955")</f>
      </c>
      <c r="B1814" s="8" t="s">
        <v>1808</v>
      </c>
      <c r="C1814" s="9">
        <v>2430</v>
      </c>
      <c r="D1814" s="0">
        <v>7</v>
      </c>
      <c r="E1814" s="10">
        <f>HYPERLINK("http://www.lingerieopt.ru/images/original/31dd2291-c6f9-44bb-a270-bfb411a9a9a9.jpg","Фото")</f>
      </c>
    </row>
    <row r="1815">
      <c r="A1815" s="7">
        <f>HYPERLINK("http://www.lingerieopt.ru/item/6955-komplekt-belya-rene-iz-tonkih-lent/","6955")</f>
      </c>
      <c r="B1815" s="8" t="s">
        <v>1809</v>
      </c>
      <c r="C1815" s="9">
        <v>2430</v>
      </c>
      <c r="D1815" s="0">
        <v>14</v>
      </c>
      <c r="E1815" s="10">
        <f>HYPERLINK("http://www.lingerieopt.ru/images/original/31dd2291-c6f9-44bb-a270-bfb411a9a9a9.jpg","Фото")</f>
      </c>
    </row>
    <row r="1816">
      <c r="A1816" s="7">
        <f>HYPERLINK("http://www.lingerieopt.ru/item/6955-komplekt-belya-rene-iz-tonkih-lent/","6955")</f>
      </c>
      <c r="B1816" s="8" t="s">
        <v>1810</v>
      </c>
      <c r="C1816" s="9">
        <v>2430</v>
      </c>
      <c r="D1816" s="0">
        <v>15</v>
      </c>
      <c r="E1816" s="10">
        <f>HYPERLINK("http://www.lingerieopt.ru/images/original/31dd2291-c6f9-44bb-a270-bfb411a9a9a9.jpg","Фото")</f>
      </c>
    </row>
    <row r="1817">
      <c r="A1817" s="7">
        <f>HYPERLINK("http://www.lingerieopt.ru/item/6955-komplekt-belya-rene-iz-tonkih-lent/","6955")</f>
      </c>
      <c r="B1817" s="8" t="s">
        <v>1811</v>
      </c>
      <c r="C1817" s="9">
        <v>2430</v>
      </c>
      <c r="D1817" s="0">
        <v>17</v>
      </c>
      <c r="E1817" s="10">
        <f>HYPERLINK("http://www.lingerieopt.ru/images/original/31dd2291-c6f9-44bb-a270-bfb411a9a9a9.jpg","Фото")</f>
      </c>
    </row>
    <row r="1818">
      <c r="A1818" s="7">
        <f>HYPERLINK("http://www.lingerieopt.ru/item/6956-poluprozrachnji-komplekt-belya-gloria/","6956")</f>
      </c>
      <c r="B1818" s="8" t="s">
        <v>1812</v>
      </c>
      <c r="C1818" s="9">
        <v>2452</v>
      </c>
      <c r="D1818" s="0">
        <v>3</v>
      </c>
      <c r="E1818" s="10">
        <f>HYPERLINK("http://www.lingerieopt.ru/images/original/1598cd8a-d9a1-49b2-8b47-b3e41a4f4693.jpg","Фото")</f>
      </c>
    </row>
    <row r="1819">
      <c r="A1819" s="7">
        <f>HYPERLINK("http://www.lingerieopt.ru/item/6956-poluprozrachnji-komplekt-belya-gloria/","6956")</f>
      </c>
      <c r="B1819" s="8" t="s">
        <v>1813</v>
      </c>
      <c r="C1819" s="9">
        <v>2452</v>
      </c>
      <c r="D1819" s="0">
        <v>0</v>
      </c>
      <c r="E1819" s="10">
        <f>HYPERLINK("http://www.lingerieopt.ru/images/original/1598cd8a-d9a1-49b2-8b47-b3e41a4f4693.jpg","Фото")</f>
      </c>
    </row>
    <row r="1820">
      <c r="A1820" s="7">
        <f>HYPERLINK("http://www.lingerieopt.ru/item/6956-poluprozrachnji-komplekt-belya-gloria/","6956")</f>
      </c>
      <c r="B1820" s="8" t="s">
        <v>1814</v>
      </c>
      <c r="C1820" s="9">
        <v>2452</v>
      </c>
      <c r="D1820" s="0">
        <v>0</v>
      </c>
      <c r="E1820" s="10">
        <f>HYPERLINK("http://www.lingerieopt.ru/images/original/1598cd8a-d9a1-49b2-8b47-b3e41a4f4693.jpg","Фото")</f>
      </c>
    </row>
    <row r="1821">
      <c r="A1821" s="7">
        <f>HYPERLINK("http://www.lingerieopt.ru/item/6956-poluprozrachnji-komplekt-belya-gloria/","6956")</f>
      </c>
      <c r="B1821" s="8" t="s">
        <v>1815</v>
      </c>
      <c r="C1821" s="9">
        <v>2452</v>
      </c>
      <c r="D1821" s="0">
        <v>3</v>
      </c>
      <c r="E1821" s="10">
        <f>HYPERLINK("http://www.lingerieopt.ru/images/original/1598cd8a-d9a1-49b2-8b47-b3e41a4f4693.jpg","Фото")</f>
      </c>
    </row>
    <row r="1822">
      <c r="A1822" s="7">
        <f>HYPERLINK("http://www.lingerieopt.ru/item/6956-poluprozrachnji-komplekt-belya-gloria/","6956")</f>
      </c>
      <c r="B1822" s="8" t="s">
        <v>1816</v>
      </c>
      <c r="C1822" s="9">
        <v>2452</v>
      </c>
      <c r="D1822" s="0">
        <v>2</v>
      </c>
      <c r="E1822" s="10">
        <f>HYPERLINK("http://www.lingerieopt.ru/images/original/1598cd8a-d9a1-49b2-8b47-b3e41a4f4693.jpg","Фото")</f>
      </c>
    </row>
    <row r="1823">
      <c r="A1823" s="7">
        <f>HYPERLINK("http://www.lingerieopt.ru/item/6956-poluprozrachnji-komplekt-belya-gloria/","6956")</f>
      </c>
      <c r="B1823" s="8" t="s">
        <v>1817</v>
      </c>
      <c r="C1823" s="9">
        <v>2452</v>
      </c>
      <c r="D1823" s="0">
        <v>0</v>
      </c>
      <c r="E1823" s="10">
        <f>HYPERLINK("http://www.lingerieopt.ru/images/original/1598cd8a-d9a1-49b2-8b47-b3e41a4f4693.jpg","Фото")</f>
      </c>
    </row>
    <row r="1824">
      <c r="A1824" s="7">
        <f>HYPERLINK("http://www.lingerieopt.ru/item/6957-poluprozrachnji-komplekt-belya-tiffany/","6957")</f>
      </c>
      <c r="B1824" s="8" t="s">
        <v>1818</v>
      </c>
      <c r="C1824" s="9">
        <v>2574</v>
      </c>
      <c r="D1824" s="0">
        <v>3</v>
      </c>
      <c r="E1824" s="10">
        <f>HYPERLINK("http://www.lingerieopt.ru/images/original/5b419165-b7dc-4d13-be22-29136c7c2978.jpg","Фото")</f>
      </c>
    </row>
    <row r="1825">
      <c r="A1825" s="7">
        <f>HYPERLINK("http://www.lingerieopt.ru/item/6957-poluprozrachnji-komplekt-belya-tiffany/","6957")</f>
      </c>
      <c r="B1825" s="8" t="s">
        <v>1819</v>
      </c>
      <c r="C1825" s="9">
        <v>2574</v>
      </c>
      <c r="D1825" s="0">
        <v>20</v>
      </c>
      <c r="E1825" s="10">
        <f>HYPERLINK("http://www.lingerieopt.ru/images/original/5b419165-b7dc-4d13-be22-29136c7c2978.jpg","Фото")</f>
      </c>
    </row>
    <row r="1826">
      <c r="A1826" s="7">
        <f>HYPERLINK("http://www.lingerieopt.ru/item/6957-poluprozrachnji-komplekt-belya-tiffany/","6957")</f>
      </c>
      <c r="B1826" s="8" t="s">
        <v>1820</v>
      </c>
      <c r="C1826" s="9">
        <v>2574</v>
      </c>
      <c r="D1826" s="0">
        <v>19</v>
      </c>
      <c r="E1826" s="10">
        <f>HYPERLINK("http://www.lingerieopt.ru/images/original/5b419165-b7dc-4d13-be22-29136c7c2978.jpg","Фото")</f>
      </c>
    </row>
    <row r="1827">
      <c r="A1827" s="7">
        <f>HYPERLINK("http://www.lingerieopt.ru/item/6957-poluprozrachnji-komplekt-belya-tiffany/","6957")</f>
      </c>
      <c r="B1827" s="8" t="s">
        <v>1821</v>
      </c>
      <c r="C1827" s="9">
        <v>2574</v>
      </c>
      <c r="D1827" s="0">
        <v>12</v>
      </c>
      <c r="E1827" s="10">
        <f>HYPERLINK("http://www.lingerieopt.ru/images/original/5b419165-b7dc-4d13-be22-29136c7c2978.jpg","Фото")</f>
      </c>
    </row>
    <row r="1828">
      <c r="A1828" s="7">
        <f>HYPERLINK("http://www.lingerieopt.ru/item/6957-poluprozrachnji-komplekt-belya-tiffany/","6957")</f>
      </c>
      <c r="B1828" s="8" t="s">
        <v>1822</v>
      </c>
      <c r="C1828" s="9">
        <v>2574</v>
      </c>
      <c r="D1828" s="0">
        <v>0</v>
      </c>
      <c r="E1828" s="10">
        <f>HYPERLINK("http://www.lingerieopt.ru/images/original/5b419165-b7dc-4d13-be22-29136c7c2978.jpg","Фото")</f>
      </c>
    </row>
    <row r="1829">
      <c r="A1829" s="7">
        <f>HYPERLINK("http://www.lingerieopt.ru/item/6957-poluprozrachnji-komplekt-belya-tiffany/","6957")</f>
      </c>
      <c r="B1829" s="8" t="s">
        <v>1823</v>
      </c>
      <c r="C1829" s="9">
        <v>2574</v>
      </c>
      <c r="D1829" s="0">
        <v>9</v>
      </c>
      <c r="E1829" s="10">
        <f>HYPERLINK("http://www.lingerieopt.ru/images/original/5b419165-b7dc-4d13-be22-29136c7c2978.jpg","Фото")</f>
      </c>
    </row>
    <row r="1830">
      <c r="A1830" s="7">
        <f>HYPERLINK("http://www.lingerieopt.ru/item/6957-poluprozrachnji-komplekt-belya-tiffany/","6957")</f>
      </c>
      <c r="B1830" s="8" t="s">
        <v>1824</v>
      </c>
      <c r="C1830" s="9">
        <v>2574</v>
      </c>
      <c r="D1830" s="0">
        <v>1</v>
      </c>
      <c r="E1830" s="10">
        <f>HYPERLINK("http://www.lingerieopt.ru/images/original/5b419165-b7dc-4d13-be22-29136c7c2978.jpg","Фото")</f>
      </c>
    </row>
    <row r="1831">
      <c r="A1831" s="7">
        <f>HYPERLINK("http://www.lingerieopt.ru/item/6958-poluprozrachnji-komplekt-gloria-iz-dvuh-predmetov/","6958")</f>
      </c>
      <c r="B1831" s="8" t="s">
        <v>1825</v>
      </c>
      <c r="C1831" s="9">
        <v>2452</v>
      </c>
      <c r="D1831" s="0">
        <v>1</v>
      </c>
      <c r="E1831" s="10">
        <f>HYPERLINK("http://www.lingerieopt.ru/images/original/e2b53cff-714e-40a3-80f6-7f642dbc0491.jpg","Фото")</f>
      </c>
    </row>
    <row r="1832">
      <c r="A1832" s="7">
        <f>HYPERLINK("http://www.lingerieopt.ru/item/6958-poluprozrachnji-komplekt-gloria-iz-dvuh-predmetov/","6958")</f>
      </c>
      <c r="B1832" s="8" t="s">
        <v>1826</v>
      </c>
      <c r="C1832" s="9">
        <v>2452</v>
      </c>
      <c r="D1832" s="0">
        <v>7</v>
      </c>
      <c r="E1832" s="10">
        <f>HYPERLINK("http://www.lingerieopt.ru/images/original/e2b53cff-714e-40a3-80f6-7f642dbc0491.jpg","Фото")</f>
      </c>
    </row>
    <row r="1833">
      <c r="A1833" s="7">
        <f>HYPERLINK("http://www.lingerieopt.ru/item/6958-poluprozrachnji-komplekt-gloria-iz-dvuh-predmetov/","6958")</f>
      </c>
      <c r="B1833" s="8" t="s">
        <v>1827</v>
      </c>
      <c r="C1833" s="9">
        <v>2452</v>
      </c>
      <c r="D1833" s="0">
        <v>5</v>
      </c>
      <c r="E1833" s="10">
        <f>HYPERLINK("http://www.lingerieopt.ru/images/original/e2b53cff-714e-40a3-80f6-7f642dbc0491.jpg","Фото")</f>
      </c>
    </row>
    <row r="1834">
      <c r="A1834" s="7">
        <f>HYPERLINK("http://www.lingerieopt.ru/item/6960-komplekt-belya-nina-s-otkrjtoi-grudyu/","6960")</f>
      </c>
      <c r="B1834" s="8" t="s">
        <v>1828</v>
      </c>
      <c r="C1834" s="9">
        <v>2287</v>
      </c>
      <c r="D1834" s="0">
        <v>7</v>
      </c>
      <c r="E1834" s="10">
        <f>HYPERLINK("http://www.lingerieopt.ru/images/original/43190ca2-51fd-47af-be3a-68cb55673731.jpg","Фото")</f>
      </c>
    </row>
    <row r="1835">
      <c r="A1835" s="7">
        <f>HYPERLINK("http://www.lingerieopt.ru/item/6960-komplekt-belya-nina-s-otkrjtoi-grudyu/","6960")</f>
      </c>
      <c r="B1835" s="8" t="s">
        <v>1829</v>
      </c>
      <c r="C1835" s="9">
        <v>2287</v>
      </c>
      <c r="D1835" s="0">
        <v>12</v>
      </c>
      <c r="E1835" s="10">
        <f>HYPERLINK("http://www.lingerieopt.ru/images/original/43190ca2-51fd-47af-be3a-68cb55673731.jpg","Фото")</f>
      </c>
    </row>
    <row r="1836">
      <c r="A1836" s="7">
        <f>HYPERLINK("http://www.lingerieopt.ru/item/6960-komplekt-belya-nina-s-otkrjtoi-grudyu/","6960")</f>
      </c>
      <c r="B1836" s="8" t="s">
        <v>1830</v>
      </c>
      <c r="C1836" s="9">
        <v>2287</v>
      </c>
      <c r="D1836" s="0">
        <v>11</v>
      </c>
      <c r="E1836" s="10">
        <f>HYPERLINK("http://www.lingerieopt.ru/images/original/43190ca2-51fd-47af-be3a-68cb55673731.jpg","Фото")</f>
      </c>
    </row>
    <row r="1837">
      <c r="A1837" s="7">
        <f>HYPERLINK("http://www.lingerieopt.ru/item/6960-komplekt-belya-nina-s-otkrjtoi-grudyu/","6960")</f>
      </c>
      <c r="B1837" s="8" t="s">
        <v>1831</v>
      </c>
      <c r="C1837" s="9">
        <v>2287</v>
      </c>
      <c r="D1837" s="0">
        <v>0</v>
      </c>
      <c r="E1837" s="10">
        <f>HYPERLINK("http://www.lingerieopt.ru/images/original/43190ca2-51fd-47af-be3a-68cb55673731.jpg","Фото")</f>
      </c>
    </row>
    <row r="1838">
      <c r="A1838" s="7">
        <f>HYPERLINK("http://www.lingerieopt.ru/item/6961-komplekt-belya-clara-s-poyasom-dlya-chulok/","6961")</f>
      </c>
      <c r="B1838" s="8" t="s">
        <v>1832</v>
      </c>
      <c r="C1838" s="9">
        <v>4357</v>
      </c>
      <c r="D1838" s="0">
        <v>8</v>
      </c>
      <c r="E1838" s="10">
        <f>HYPERLINK("http://www.lingerieopt.ru/images/original/0552cb7e-8c3b-4974-aef6-215a37f8abd5.jpg","Фото")</f>
      </c>
    </row>
    <row r="1839">
      <c r="A1839" s="7">
        <f>HYPERLINK("http://www.lingerieopt.ru/item/6961-komplekt-belya-clara-s-poyasom-dlya-chulok/","6961")</f>
      </c>
      <c r="B1839" s="8" t="s">
        <v>1833</v>
      </c>
      <c r="C1839" s="9">
        <v>4357</v>
      </c>
      <c r="D1839" s="0">
        <v>9</v>
      </c>
      <c r="E1839" s="10">
        <f>HYPERLINK("http://www.lingerieopt.ru/images/original/0552cb7e-8c3b-4974-aef6-215a37f8abd5.jpg","Фото")</f>
      </c>
    </row>
    <row r="1840">
      <c r="A1840" s="7">
        <f>HYPERLINK("http://www.lingerieopt.ru/item/6961-komplekt-belya-clara-s-poyasom-dlya-chulok/","6961")</f>
      </c>
      <c r="B1840" s="8" t="s">
        <v>1834</v>
      </c>
      <c r="C1840" s="9">
        <v>4357</v>
      </c>
      <c r="D1840" s="0">
        <v>9</v>
      </c>
      <c r="E1840" s="10">
        <f>HYPERLINK("http://www.lingerieopt.ru/images/original/0552cb7e-8c3b-4974-aef6-215a37f8abd5.jpg","Фото")</f>
      </c>
    </row>
    <row r="1841">
      <c r="A1841" s="7">
        <f>HYPERLINK("http://www.lingerieopt.ru/item/6961-komplekt-belya-clara-s-poyasom-dlya-chulok/","6961")</f>
      </c>
      <c r="B1841" s="8" t="s">
        <v>1835</v>
      </c>
      <c r="C1841" s="9">
        <v>4357</v>
      </c>
      <c r="D1841" s="0">
        <v>9</v>
      </c>
      <c r="E1841" s="10">
        <f>HYPERLINK("http://www.lingerieopt.ru/images/original/0552cb7e-8c3b-4974-aef6-215a37f8abd5.jpg","Фото")</f>
      </c>
    </row>
    <row r="1842">
      <c r="A1842" s="7">
        <f>HYPERLINK("http://www.lingerieopt.ru/item/6962-komplekt-olivia-s-trusikami-s-vjsokoi-posadkoi/","6962")</f>
      </c>
      <c r="B1842" s="8" t="s">
        <v>1836</v>
      </c>
      <c r="C1842" s="9">
        <v>2861</v>
      </c>
      <c r="D1842" s="0">
        <v>6</v>
      </c>
      <c r="E1842" s="10">
        <f>HYPERLINK("http://www.lingerieopt.ru/images/original/0048ca56-2101-49a2-8b2b-e0f0143de49f.jpg","Фото")</f>
      </c>
    </row>
    <row r="1843">
      <c r="A1843" s="7">
        <f>HYPERLINK("http://www.lingerieopt.ru/item/6962-komplekt-olivia-s-trusikami-s-vjsokoi-posadkoi/","6962")</f>
      </c>
      <c r="B1843" s="8" t="s">
        <v>1837</v>
      </c>
      <c r="C1843" s="9">
        <v>2861</v>
      </c>
      <c r="D1843" s="0">
        <v>2</v>
      </c>
      <c r="E1843" s="10">
        <f>HYPERLINK("http://www.lingerieopt.ru/images/original/0048ca56-2101-49a2-8b2b-e0f0143de49f.jpg","Фото")</f>
      </c>
    </row>
    <row r="1844">
      <c r="A1844" s="7">
        <f>HYPERLINK("http://www.lingerieopt.ru/item/6962-komplekt-olivia-s-trusikami-s-vjsokoi-posadkoi/","6962")</f>
      </c>
      <c r="B1844" s="8" t="s">
        <v>1838</v>
      </c>
      <c r="C1844" s="9">
        <v>2861</v>
      </c>
      <c r="D1844" s="0">
        <v>14</v>
      </c>
      <c r="E1844" s="10">
        <f>HYPERLINK("http://www.lingerieopt.ru/images/original/0048ca56-2101-49a2-8b2b-e0f0143de49f.jpg","Фото")</f>
      </c>
    </row>
    <row r="1845">
      <c r="A1845" s="7">
        <f>HYPERLINK("http://www.lingerieopt.ru/item/6962-komplekt-olivia-s-trusikami-s-vjsokoi-posadkoi/","6962")</f>
      </c>
      <c r="B1845" s="8" t="s">
        <v>1839</v>
      </c>
      <c r="C1845" s="9">
        <v>2861</v>
      </c>
      <c r="D1845" s="0">
        <v>0</v>
      </c>
      <c r="E1845" s="10">
        <f>HYPERLINK("http://www.lingerieopt.ru/images/original/0048ca56-2101-49a2-8b2b-e0f0143de49f.jpg","Фото")</f>
      </c>
    </row>
    <row r="1846">
      <c r="A1846" s="7">
        <f>HYPERLINK("http://www.lingerieopt.ru/item/6974-komplekt-belya-mai-s-verevkami-dlya-svyazjvaniya/","6974")</f>
      </c>
      <c r="B1846" s="8" t="s">
        <v>1840</v>
      </c>
      <c r="C1846" s="9">
        <v>3341</v>
      </c>
      <c r="D1846" s="0">
        <v>11</v>
      </c>
      <c r="E1846" s="10">
        <f>HYPERLINK("http://www.lingerieopt.ru/images/original/dc4f5d0d-c096-442c-a0c3-f3e7e2df6de5.jpg","Фото")</f>
      </c>
    </row>
    <row r="1847">
      <c r="A1847" s="7">
        <f>HYPERLINK("http://www.lingerieopt.ru/item/6974-komplekt-belya-mai-s-verevkami-dlya-svyazjvaniya/","6974")</f>
      </c>
      <c r="B1847" s="8" t="s">
        <v>1841</v>
      </c>
      <c r="C1847" s="9">
        <v>3341</v>
      </c>
      <c r="D1847" s="0">
        <v>0</v>
      </c>
      <c r="E1847" s="10">
        <f>HYPERLINK("http://www.lingerieopt.ru/images/original/dc4f5d0d-c096-442c-a0c3-f3e7e2df6de5.jpg","Фото")</f>
      </c>
    </row>
    <row r="1848">
      <c r="A1848" s="7">
        <f>HYPERLINK("http://www.lingerieopt.ru/item/6974-komplekt-belya-mai-s-verevkami-dlya-svyazjvaniya/","6974")</f>
      </c>
      <c r="B1848" s="8" t="s">
        <v>1842</v>
      </c>
      <c r="C1848" s="9">
        <v>3341</v>
      </c>
      <c r="D1848" s="0">
        <v>2</v>
      </c>
      <c r="E1848" s="10">
        <f>HYPERLINK("http://www.lingerieopt.ru/images/original/dc4f5d0d-c096-442c-a0c3-f3e7e2df6de5.jpg","Фото")</f>
      </c>
    </row>
    <row r="1849">
      <c r="A1849" s="7">
        <f>HYPERLINK("http://www.lingerieopt.ru/item/6985-komplekt-belya-patricia-iz-topa-i-trusikov-s-dekorativnoi-shnurovkoi/","6985")</f>
      </c>
      <c r="B1849" s="8" t="s">
        <v>1843</v>
      </c>
      <c r="C1849" s="9">
        <v>2309</v>
      </c>
      <c r="D1849" s="0">
        <v>0</v>
      </c>
      <c r="E1849" s="10">
        <f>HYPERLINK("http://www.lingerieopt.ru/images/original/c4c73db3-2a39-4b1a-8042-cef7d541e5db.jpg","Фото")</f>
      </c>
    </row>
    <row r="1850">
      <c r="A1850" s="7">
        <f>HYPERLINK("http://www.lingerieopt.ru/item/6985-komplekt-belya-patricia-iz-topa-i-trusikov-s-dekorativnoi-shnurovkoi/","6985")</f>
      </c>
      <c r="B1850" s="8" t="s">
        <v>1844</v>
      </c>
      <c r="C1850" s="9">
        <v>2309</v>
      </c>
      <c r="D1850" s="0">
        <v>0</v>
      </c>
      <c r="E1850" s="10">
        <f>HYPERLINK("http://www.lingerieopt.ru/images/original/c4c73db3-2a39-4b1a-8042-cef7d541e5db.jpg","Фото")</f>
      </c>
    </row>
    <row r="1851">
      <c r="A1851" s="7">
        <f>HYPERLINK("http://www.lingerieopt.ru/item/6985-komplekt-belya-patricia-iz-topa-i-trusikov-s-dekorativnoi-shnurovkoi/","6985")</f>
      </c>
      <c r="B1851" s="8" t="s">
        <v>1845</v>
      </c>
      <c r="C1851" s="9">
        <v>2309</v>
      </c>
      <c r="D1851" s="0">
        <v>7</v>
      </c>
      <c r="E1851" s="10">
        <f>HYPERLINK("http://www.lingerieopt.ru/images/original/c4c73db3-2a39-4b1a-8042-cef7d541e5db.jpg","Фото")</f>
      </c>
    </row>
    <row r="1852">
      <c r="A1852" s="7">
        <f>HYPERLINK("http://www.lingerieopt.ru/item/6989-komplekt-belya-louise-c-soblaznitelnjmi-lentami/","6989")</f>
      </c>
      <c r="B1852" s="8" t="s">
        <v>1846</v>
      </c>
      <c r="C1852" s="9">
        <v>3280</v>
      </c>
      <c r="D1852" s="0">
        <v>13</v>
      </c>
      <c r="E1852" s="10">
        <f>HYPERLINK("http://www.lingerieopt.ru/images/original/9c92a3ae-b36e-430a-8f36-43f577405fbc.jpg","Фото")</f>
      </c>
    </row>
    <row r="1853">
      <c r="A1853" s="7">
        <f>HYPERLINK("http://www.lingerieopt.ru/item/6989-komplekt-belya-louise-c-soblaznitelnjmi-lentami/","6989")</f>
      </c>
      <c r="B1853" s="8" t="s">
        <v>1847</v>
      </c>
      <c r="C1853" s="9">
        <v>3280</v>
      </c>
      <c r="D1853" s="0">
        <v>7</v>
      </c>
      <c r="E1853" s="10">
        <f>HYPERLINK("http://www.lingerieopt.ru/images/original/9c92a3ae-b36e-430a-8f36-43f577405fbc.jpg","Фото")</f>
      </c>
    </row>
    <row r="1854">
      <c r="A1854" s="7">
        <f>HYPERLINK("http://www.lingerieopt.ru/item/6989-komplekt-belya-louise-c-soblaznitelnjmi-lentami/","6989")</f>
      </c>
      <c r="B1854" s="8" t="s">
        <v>1848</v>
      </c>
      <c r="C1854" s="9">
        <v>3280</v>
      </c>
      <c r="D1854" s="0">
        <v>7</v>
      </c>
      <c r="E1854" s="10">
        <f>HYPERLINK("http://www.lingerieopt.ru/images/original/9c92a3ae-b36e-430a-8f36-43f577405fbc.jpg","Фото")</f>
      </c>
    </row>
    <row r="1855">
      <c r="A1855" s="7">
        <f>HYPERLINK("http://www.lingerieopt.ru/item/7019-strastnji-komplekt-tigrica-s-naruchnikami/","7019")</f>
      </c>
      <c r="B1855" s="8" t="s">
        <v>1849</v>
      </c>
      <c r="C1855" s="9">
        <v>1358</v>
      </c>
      <c r="D1855" s="0">
        <v>10</v>
      </c>
      <c r="E1855" s="10">
        <f>HYPERLINK("http://www.lingerieopt.ru/images/original/1404370a-139d-4eae-a519-4e469e7bf245.jpg","Фото")</f>
      </c>
    </row>
    <row r="1856">
      <c r="A1856" s="7">
        <f>HYPERLINK("http://www.lingerieopt.ru/item/7020-otkrovennji-elastichnji-komplekt-zvezda/","7020")</f>
      </c>
      <c r="B1856" s="8" t="s">
        <v>1850</v>
      </c>
      <c r="C1856" s="9">
        <v>1416</v>
      </c>
      <c r="D1856" s="0">
        <v>4</v>
      </c>
      <c r="E1856" s="10">
        <f>HYPERLINK("http://www.lingerieopt.ru/images/original/15c5aac8-6426-43f1-9eea-bc27dbd966ae.jpg","Фото")</f>
      </c>
    </row>
    <row r="1857">
      <c r="A1857" s="7">
        <f>HYPERLINK("http://www.lingerieopt.ru/item/7141-roskoshnji-komplekt-serena-iz-3-predmetov/","7141")</f>
      </c>
      <c r="B1857" s="8" t="s">
        <v>1851</v>
      </c>
      <c r="C1857" s="9">
        <v>1766</v>
      </c>
      <c r="D1857" s="0">
        <v>8</v>
      </c>
      <c r="E1857" s="10">
        <f>HYPERLINK("http://www.lingerieopt.ru/images/original/3cc5ffa4-79bd-4db1-97b7-378adb1875bd.jpg","Фото")</f>
      </c>
    </row>
    <row r="1858">
      <c r="A1858" s="7">
        <f>HYPERLINK("http://www.lingerieopt.ru/item/7141-roskoshnji-komplekt-serena-iz-3-predmetov/","7141")</f>
      </c>
      <c r="B1858" s="8" t="s">
        <v>1852</v>
      </c>
      <c r="C1858" s="9">
        <v>1766</v>
      </c>
      <c r="D1858" s="0">
        <v>9</v>
      </c>
      <c r="E1858" s="10">
        <f>HYPERLINK("http://www.lingerieopt.ru/images/original/3cc5ffa4-79bd-4db1-97b7-378adb1875bd.jpg","Фото")</f>
      </c>
    </row>
    <row r="1859">
      <c r="A1859" s="7">
        <f>HYPERLINK("http://www.lingerieopt.ru/item/7141-roskoshnji-komplekt-serena-iz-3-predmetov/","7141")</f>
      </c>
      <c r="B1859" s="8" t="s">
        <v>1853</v>
      </c>
      <c r="C1859" s="9">
        <v>1766</v>
      </c>
      <c r="D1859" s="0">
        <v>4</v>
      </c>
      <c r="E1859" s="10">
        <f>HYPERLINK("http://www.lingerieopt.ru/images/original/3cc5ffa4-79bd-4db1-97b7-378adb1875bd.jpg","Фото")</f>
      </c>
    </row>
    <row r="1860">
      <c r="A1860" s="7">
        <f>HYPERLINK("http://www.lingerieopt.ru/item/7141-roskoshnji-komplekt-serena-iz-3-predmetov/","7141")</f>
      </c>
      <c r="B1860" s="8" t="s">
        <v>1854</v>
      </c>
      <c r="C1860" s="9">
        <v>1766</v>
      </c>
      <c r="D1860" s="0">
        <v>6</v>
      </c>
      <c r="E1860" s="10">
        <f>HYPERLINK("http://www.lingerieopt.ru/images/original/3cc5ffa4-79bd-4db1-97b7-378adb1875bd.jpg","Фото")</f>
      </c>
    </row>
    <row r="1861">
      <c r="A1861" s="7">
        <f>HYPERLINK("http://www.lingerieopt.ru/item/7149-komplekt-belya-shame-s-dekorativnjmi-shnurovkami/","7149")</f>
      </c>
      <c r="B1861" s="8" t="s">
        <v>1855</v>
      </c>
      <c r="C1861" s="9">
        <v>2260</v>
      </c>
      <c r="D1861" s="0">
        <v>3</v>
      </c>
      <c r="E1861" s="10">
        <f>HYPERLINK("http://www.lingerieopt.ru/images/original/43b3389f-3502-433b-8701-3d2f900e22a1.jpg","Фото")</f>
      </c>
    </row>
    <row r="1862">
      <c r="A1862" s="7">
        <f>HYPERLINK("http://www.lingerieopt.ru/item/7149-komplekt-belya-shame-s-dekorativnjmi-shnurovkami/","7149")</f>
      </c>
      <c r="B1862" s="8" t="s">
        <v>1856</v>
      </c>
      <c r="C1862" s="9">
        <v>2260</v>
      </c>
      <c r="D1862" s="0">
        <v>0</v>
      </c>
      <c r="E1862" s="10">
        <f>HYPERLINK("http://www.lingerieopt.ru/images/original/43b3389f-3502-433b-8701-3d2f900e22a1.jpg","Фото")</f>
      </c>
    </row>
    <row r="1863">
      <c r="A1863" s="7">
        <f>HYPERLINK("http://www.lingerieopt.ru/item/7157-shirokii-kruzhevnoi-poyas-dlya-chulok-i-trusiki-s-vjrezom/","7157")</f>
      </c>
      <c r="B1863" s="8" t="s">
        <v>1857</v>
      </c>
      <c r="C1863" s="9">
        <v>1650</v>
      </c>
      <c r="D1863" s="0">
        <v>4</v>
      </c>
      <c r="E1863" s="10">
        <f>HYPERLINK("http://www.lingerieopt.ru/images/original/c66a724c-36f9-4dfa-a00d-6b4632f9f61b.jpg","Фото")</f>
      </c>
    </row>
    <row r="1864">
      <c r="A1864" s="7">
        <f>HYPERLINK("http://www.lingerieopt.ru/item/7157-shirokii-kruzhevnoi-poyas-dlya-chulok-i-trusiki-s-vjrezom/","7157")</f>
      </c>
      <c r="B1864" s="8" t="s">
        <v>1858</v>
      </c>
      <c r="C1864" s="9">
        <v>1650</v>
      </c>
      <c r="D1864" s="0">
        <v>3</v>
      </c>
      <c r="E1864" s="10">
        <f>HYPERLINK("http://www.lingerieopt.ru/images/original/c66a724c-36f9-4dfa-a00d-6b4632f9f61b.jpg","Фото")</f>
      </c>
    </row>
    <row r="1865">
      <c r="A1865" s="7">
        <f>HYPERLINK("http://www.lingerieopt.ru/item/7157-shirokii-kruzhevnoi-poyas-dlya-chulok-i-trusiki-s-vjrezom/","7157")</f>
      </c>
      <c r="B1865" s="8" t="s">
        <v>1859</v>
      </c>
      <c r="C1865" s="9">
        <v>1650</v>
      </c>
      <c r="D1865" s="0">
        <v>4</v>
      </c>
      <c r="E1865" s="10">
        <f>HYPERLINK("http://www.lingerieopt.ru/images/original/c66a724c-36f9-4dfa-a00d-6b4632f9f61b.jpg","Фото")</f>
      </c>
    </row>
    <row r="1866">
      <c r="A1866" s="7">
        <f>HYPERLINK("http://www.lingerieopt.ru/item/7172-komplekt-belya-asami-s-verevkami-dlya-svyazjvaniya/","7172")</f>
      </c>
      <c r="B1866" s="8" t="s">
        <v>1860</v>
      </c>
      <c r="C1866" s="9">
        <v>3307</v>
      </c>
      <c r="D1866" s="0">
        <v>17</v>
      </c>
      <c r="E1866" s="10">
        <f>HYPERLINK("http://www.lingerieopt.ru/images/original/6f48c138-ad05-4c75-9abf-1fe854b96069.jpg","Фото")</f>
      </c>
    </row>
    <row r="1867">
      <c r="A1867" s="7">
        <f>HYPERLINK("http://www.lingerieopt.ru/item/7172-komplekt-belya-asami-s-verevkami-dlya-svyazjvaniya/","7172")</f>
      </c>
      <c r="B1867" s="8" t="s">
        <v>1861</v>
      </c>
      <c r="C1867" s="9">
        <v>3307</v>
      </c>
      <c r="D1867" s="0">
        <v>5</v>
      </c>
      <c r="E1867" s="10">
        <f>HYPERLINK("http://www.lingerieopt.ru/images/original/6f48c138-ad05-4c75-9abf-1fe854b96069.jpg","Фото")</f>
      </c>
    </row>
    <row r="1868">
      <c r="A1868" s="7">
        <f>HYPERLINK("http://www.lingerieopt.ru/item/7172-komplekt-belya-asami-s-verevkami-dlya-svyazjvaniya/","7172")</f>
      </c>
      <c r="B1868" s="8" t="s">
        <v>1862</v>
      </c>
      <c r="C1868" s="9">
        <v>3307</v>
      </c>
      <c r="D1868" s="0">
        <v>5</v>
      </c>
      <c r="E1868" s="10">
        <f>HYPERLINK("http://www.lingerieopt.ru/images/original/6f48c138-ad05-4c75-9abf-1fe854b96069.jpg","Фото")</f>
      </c>
    </row>
    <row r="1869">
      <c r="A1869" s="7">
        <f>HYPERLINK("http://www.lingerieopt.ru/item/7192-komplekt-iz-yubochki-lifa-i-manzhet/","7192")</f>
      </c>
      <c r="B1869" s="8" t="s">
        <v>1863</v>
      </c>
      <c r="C1869" s="9">
        <v>1501</v>
      </c>
      <c r="D1869" s="0">
        <v>30</v>
      </c>
      <c r="E1869" s="10">
        <f>HYPERLINK("http://www.lingerieopt.ru/images/original/00c7c713-08af-4a91-95a9-ae3dc67d56b7.jpg","Фото")</f>
      </c>
    </row>
    <row r="1870">
      <c r="A1870" s="7">
        <f>HYPERLINK("http://www.lingerieopt.ru/item/7196-komplekt-belya-masuyo-s-verevkami-dlya-svyazjvaniya/","7196")</f>
      </c>
      <c r="B1870" s="8" t="s">
        <v>1864</v>
      </c>
      <c r="C1870" s="9">
        <v>2746</v>
      </c>
      <c r="D1870" s="0">
        <v>7</v>
      </c>
      <c r="E1870" s="10">
        <f>HYPERLINK("http://www.lingerieopt.ru/images/original/6bd99f83-e5d3-47d8-bd5a-1bf6bc138dd8.jpg","Фото")</f>
      </c>
    </row>
    <row r="1871">
      <c r="A1871" s="7">
        <f>HYPERLINK("http://www.lingerieopt.ru/item/7197-komplekt-belya-shinju-s-verevkami-dlya-svyazjvaniya/","7197")</f>
      </c>
      <c r="B1871" s="8" t="s">
        <v>1865</v>
      </c>
      <c r="C1871" s="9">
        <v>3399</v>
      </c>
      <c r="D1871" s="0">
        <v>5</v>
      </c>
      <c r="E1871" s="10">
        <f>HYPERLINK("http://www.lingerieopt.ru/images/original/8c9d80b1-0d13-4a05-8c58-9b5425c99c4e.jpg","Фото")</f>
      </c>
    </row>
    <row r="1872">
      <c r="A1872" s="7">
        <f>HYPERLINK("http://www.lingerieopt.ru/item/7200-kruzhevnje-lif-i-trusiki-stringi/","7200")</f>
      </c>
      <c r="B1872" s="8" t="s">
        <v>1866</v>
      </c>
      <c r="C1872" s="9">
        <v>1205</v>
      </c>
      <c r="D1872" s="0">
        <v>30</v>
      </c>
      <c r="E1872" s="10">
        <f>HYPERLINK("http://www.lingerieopt.ru/images/original/2bc72473-da20-4b4a-abd3-45f2149b9a75.jpg","Фото")</f>
      </c>
    </row>
    <row r="1873">
      <c r="A1873" s="7">
        <f>HYPERLINK("http://www.lingerieopt.ru/item/7206-komplekt-belya-jovite-iz-kruzheva-s-resnichkami/","7206")</f>
      </c>
      <c r="B1873" s="8" t="s">
        <v>1867</v>
      </c>
      <c r="C1873" s="9">
        <v>2299</v>
      </c>
      <c r="D1873" s="0">
        <v>2</v>
      </c>
      <c r="E1873" s="10">
        <f>HYPERLINK("http://www.lingerieopt.ru/images/original/14395cab-2169-4dfb-aeb4-044a86453761.jpg","Фото")</f>
      </c>
    </row>
    <row r="1874">
      <c r="A1874" s="7">
        <f>HYPERLINK("http://www.lingerieopt.ru/item/7206-komplekt-belya-jovite-iz-kruzheva-s-resnichkami/","7206")</f>
      </c>
      <c r="B1874" s="8" t="s">
        <v>1868</v>
      </c>
      <c r="C1874" s="9">
        <v>2299</v>
      </c>
      <c r="D1874" s="0">
        <v>1</v>
      </c>
      <c r="E1874" s="10">
        <f>HYPERLINK("http://www.lingerieopt.ru/images/original/14395cab-2169-4dfb-aeb4-044a86453761.jpg","Фото")</f>
      </c>
    </row>
    <row r="1875">
      <c r="A1875" s="7">
        <f>HYPERLINK("http://www.lingerieopt.ru/item/7207-komplekt-s-shirokim-poyasom-odette-iz-poluprozrachnoi-setki-s-vjshivkoi-listikami/","7207")</f>
      </c>
      <c r="B1875" s="8" t="s">
        <v>1869</v>
      </c>
      <c r="C1875" s="9">
        <v>1865</v>
      </c>
      <c r="D1875" s="0">
        <v>5</v>
      </c>
      <c r="E1875" s="10">
        <f>HYPERLINK("http://www.lingerieopt.ru/images/original/d931a102-9e08-4727-97a2-06d999c4c33d.jpg","Фото")</f>
      </c>
    </row>
    <row r="1876">
      <c r="A1876" s="7">
        <f>HYPERLINK("http://www.lingerieopt.ru/item/7208-komplekt-odette-premium-plus-size-v-komplekte-s-chulkami/","7208")</f>
      </c>
      <c r="B1876" s="8" t="s">
        <v>1870</v>
      </c>
      <c r="C1876" s="9">
        <v>2829</v>
      </c>
      <c r="D1876" s="0">
        <v>4</v>
      </c>
      <c r="E1876" s="10">
        <f>HYPERLINK("http://www.lingerieopt.ru/images/original/7517418f-827a-4b8a-9182-fb0837e7f096.jpg","Фото")</f>
      </c>
    </row>
    <row r="1877">
      <c r="A1877" s="7">
        <f>HYPERLINK("http://www.lingerieopt.ru/item/7212-otkrovennji-komplekt-belya-maya-iz-strep-lent/","7212")</f>
      </c>
      <c r="B1877" s="8" t="s">
        <v>1871</v>
      </c>
      <c r="C1877" s="9">
        <v>1404</v>
      </c>
      <c r="D1877" s="0">
        <v>6</v>
      </c>
      <c r="E1877" s="10">
        <f>HYPERLINK("http://www.lingerieopt.ru/images/original/d5d93b3a-148c-4c66-a385-085c73cd390e.jpg","Фото")</f>
      </c>
    </row>
    <row r="1878">
      <c r="A1878" s="7">
        <f>HYPERLINK("http://www.lingerieopt.ru/item/7212-otkrovennji-komplekt-belya-maya-iz-strep-lent/","7212")</f>
      </c>
      <c r="B1878" s="8" t="s">
        <v>1872</v>
      </c>
      <c r="C1878" s="9">
        <v>1404</v>
      </c>
      <c r="D1878" s="0">
        <v>7</v>
      </c>
      <c r="E1878" s="10">
        <f>HYPERLINK("http://www.lingerieopt.ru/images/original/d5d93b3a-148c-4c66-a385-085c73cd390e.jpg","Фото")</f>
      </c>
    </row>
    <row r="1879">
      <c r="A1879" s="7">
        <f>HYPERLINK("http://www.lingerieopt.ru/item/7212-otkrovennji-komplekt-belya-maya-iz-strep-lent/","7212")</f>
      </c>
      <c r="B1879" s="8" t="s">
        <v>1873</v>
      </c>
      <c r="C1879" s="9">
        <v>1404</v>
      </c>
      <c r="D1879" s="0">
        <v>5</v>
      </c>
      <c r="E1879" s="10">
        <f>HYPERLINK("http://www.lingerieopt.ru/images/original/d5d93b3a-148c-4c66-a385-085c73cd390e.jpg","Фото")</f>
      </c>
    </row>
    <row r="1880">
      <c r="A1880" s="7">
        <f>HYPERLINK("http://www.lingerieopt.ru/item/7212-otkrovennji-komplekt-belya-maya-iz-strep-lent/","7212")</f>
      </c>
      <c r="B1880" s="8" t="s">
        <v>1874</v>
      </c>
      <c r="C1880" s="9">
        <v>1404</v>
      </c>
      <c r="D1880" s="0">
        <v>5</v>
      </c>
      <c r="E1880" s="10">
        <f>HYPERLINK("http://www.lingerieopt.ru/images/original/d5d93b3a-148c-4c66-a385-085c73cd390e.jpg","Фото")</f>
      </c>
    </row>
    <row r="1881">
      <c r="A1881" s="7">
        <f>HYPERLINK("http://www.lingerieopt.ru/item/7212-otkrovennji-komplekt-belya-maya-iz-strep-lent/","7212")</f>
      </c>
      <c r="B1881" s="8" t="s">
        <v>1875</v>
      </c>
      <c r="C1881" s="9">
        <v>1404</v>
      </c>
      <c r="D1881" s="0">
        <v>6</v>
      </c>
      <c r="E1881" s="10">
        <f>HYPERLINK("http://www.lingerieopt.ru/images/original/d5d93b3a-148c-4c66-a385-085c73cd390e.jpg","Фото")</f>
      </c>
    </row>
    <row r="1882">
      <c r="A1882" s="7">
        <f>HYPERLINK("http://www.lingerieopt.ru/item/7212-otkrovennji-komplekt-belya-maya-iz-strep-lent/","7212")</f>
      </c>
      <c r="B1882" s="8" t="s">
        <v>1876</v>
      </c>
      <c r="C1882" s="9">
        <v>1404</v>
      </c>
      <c r="D1882" s="0">
        <v>4</v>
      </c>
      <c r="E1882" s="10">
        <f>HYPERLINK("http://www.lingerieopt.ru/images/original/d5d93b3a-148c-4c66-a385-085c73cd390e.jpg","Фото")</f>
      </c>
    </row>
    <row r="1883">
      <c r="A1883" s="7">
        <f>HYPERLINK("http://www.lingerieopt.ru/item/7213-zavorazhivayuschii-komplekt-iz-strep-lent-babette-s-oborochkami/","7213")</f>
      </c>
      <c r="B1883" s="8" t="s">
        <v>1877</v>
      </c>
      <c r="C1883" s="9">
        <v>1661</v>
      </c>
      <c r="D1883" s="0">
        <v>10</v>
      </c>
      <c r="E1883" s="10">
        <f>HYPERLINK("http://www.lingerieopt.ru/images/original/345e630b-708f-4447-801b-bc3b6507fdcc.jpg","Фото")</f>
      </c>
    </row>
    <row r="1884">
      <c r="A1884" s="7">
        <f>HYPERLINK("http://www.lingerieopt.ru/item/7213-zavorazhivayuschii-komplekt-iz-strep-lent-babette-s-oborochkami/","7213")</f>
      </c>
      <c r="B1884" s="8" t="s">
        <v>1878</v>
      </c>
      <c r="C1884" s="9">
        <v>1661</v>
      </c>
      <c r="D1884" s="0">
        <v>8</v>
      </c>
      <c r="E1884" s="10">
        <f>HYPERLINK("http://www.lingerieopt.ru/images/original/345e630b-708f-4447-801b-bc3b6507fdcc.jpg","Фото")</f>
      </c>
    </row>
    <row r="1885">
      <c r="A1885" s="7">
        <f>HYPERLINK("http://www.lingerieopt.ru/item/7214-effektnji-komplekt-eliane-s-chulkami/","7214")</f>
      </c>
      <c r="B1885" s="8" t="s">
        <v>1879</v>
      </c>
      <c r="C1885" s="9">
        <v>1591</v>
      </c>
      <c r="D1885" s="0">
        <v>9</v>
      </c>
      <c r="E1885" s="10">
        <f>HYPERLINK("http://www.lingerieopt.ru/images/original/f7f69059-bd0a-484d-90be-fbd57df90055.jpg","Фото")</f>
      </c>
    </row>
    <row r="1886">
      <c r="A1886" s="7">
        <f>HYPERLINK("http://www.lingerieopt.ru/item/7214-effektnji-komplekt-eliane-s-chulkami/","7214")</f>
      </c>
      <c r="B1886" s="8" t="s">
        <v>1880</v>
      </c>
      <c r="C1886" s="9">
        <v>1591</v>
      </c>
      <c r="D1886" s="0">
        <v>25</v>
      </c>
      <c r="E1886" s="10">
        <f>HYPERLINK("http://www.lingerieopt.ru/images/original/f7f69059-bd0a-484d-90be-fbd57df90055.jpg","Фото")</f>
      </c>
    </row>
    <row r="1887">
      <c r="A1887" s="7">
        <f>HYPERLINK("http://www.lingerieopt.ru/item/7214-effektnji-komplekt-eliane-s-chulkami/","7214")</f>
      </c>
      <c r="B1887" s="8" t="s">
        <v>1881</v>
      </c>
      <c r="C1887" s="9">
        <v>1591</v>
      </c>
      <c r="D1887" s="0">
        <v>28</v>
      </c>
      <c r="E1887" s="10">
        <f>HYPERLINK("http://www.lingerieopt.ru/images/original/f7f69059-bd0a-484d-90be-fbd57df90055.jpg","Фото")</f>
      </c>
    </row>
    <row r="1888">
      <c r="A1888" s="7">
        <f>HYPERLINK("http://www.lingerieopt.ru/item/7214-effektnji-komplekt-eliane-s-chulkami/","7214")</f>
      </c>
      <c r="B1888" s="8" t="s">
        <v>1882</v>
      </c>
      <c r="C1888" s="9">
        <v>1591</v>
      </c>
      <c r="D1888" s="0">
        <v>18</v>
      </c>
      <c r="E1888" s="10">
        <f>HYPERLINK("http://www.lingerieopt.ru/images/original/f7f69059-bd0a-484d-90be-fbd57df90055.jpg","Фото")</f>
      </c>
    </row>
    <row r="1889">
      <c r="A1889" s="7">
        <f>HYPERLINK("http://www.lingerieopt.ru/item/7214-effektnji-komplekt-eliane-s-chulkami/","7214")</f>
      </c>
      <c r="B1889" s="8" t="s">
        <v>1883</v>
      </c>
      <c r="C1889" s="9">
        <v>1591</v>
      </c>
      <c r="D1889" s="0">
        <v>16</v>
      </c>
      <c r="E1889" s="10">
        <f>HYPERLINK("http://www.lingerieopt.ru/images/original/f7f69059-bd0a-484d-90be-fbd57df90055.jpg","Фото")</f>
      </c>
    </row>
    <row r="1890">
      <c r="A1890" s="7">
        <f>HYPERLINK("http://www.lingerieopt.ru/item/7214-effektnji-komplekt-eliane-s-chulkami/","7214")</f>
      </c>
      <c r="B1890" s="8" t="s">
        <v>1884</v>
      </c>
      <c r="C1890" s="9">
        <v>1591</v>
      </c>
      <c r="D1890" s="0">
        <v>17</v>
      </c>
      <c r="E1890" s="10">
        <f>HYPERLINK("http://www.lingerieopt.ru/images/original/f7f69059-bd0a-484d-90be-fbd57df90055.jpg","Фото")</f>
      </c>
    </row>
    <row r="1891">
      <c r="A1891" s="7">
        <f>HYPERLINK("http://www.lingerieopt.ru/item/7218-igrivji-komplekt-dotina-s-poyasom-v-goroshek/","7218")</f>
      </c>
      <c r="B1891" s="8" t="s">
        <v>1885</v>
      </c>
      <c r="C1891" s="9">
        <v>1791</v>
      </c>
      <c r="D1891" s="0">
        <v>4</v>
      </c>
      <c r="E1891" s="10">
        <f>HYPERLINK("http://www.lingerieopt.ru/images/original/83185435-e6e9-4929-9cc7-5627d3103cb6.jpg","Фото")</f>
      </c>
    </row>
    <row r="1892">
      <c r="A1892" s="7">
        <f>HYPERLINK("http://www.lingerieopt.ru/item/7274-privlekatelnji-komplekt-wonderia/","7274")</f>
      </c>
      <c r="B1892" s="8" t="s">
        <v>1886</v>
      </c>
      <c r="C1892" s="9">
        <v>1439</v>
      </c>
      <c r="D1892" s="0">
        <v>10</v>
      </c>
      <c r="E1892" s="10">
        <f>HYPERLINK("http://www.lingerieopt.ru/images/original/0bc39dd3-6266-4abf-87b6-8704d8729bfc.jpg","Фото")</f>
      </c>
    </row>
    <row r="1893">
      <c r="A1893" s="7">
        <f>HYPERLINK("http://www.lingerieopt.ru/item/7274-privlekatelnji-komplekt-wonderia/","7274")</f>
      </c>
      <c r="B1893" s="8" t="s">
        <v>1887</v>
      </c>
      <c r="C1893" s="9">
        <v>1439</v>
      </c>
      <c r="D1893" s="0">
        <v>4</v>
      </c>
      <c r="E1893" s="10">
        <f>HYPERLINK("http://www.lingerieopt.ru/images/original/0bc39dd3-6266-4abf-87b6-8704d8729bfc.jpg","Фото")</f>
      </c>
    </row>
    <row r="1894">
      <c r="A1894" s="7">
        <f>HYPERLINK("http://www.lingerieopt.ru/item/7305-otkrovennji-komplekt-nizhnego-belya-corsia/","7305")</f>
      </c>
      <c r="B1894" s="8" t="s">
        <v>1888</v>
      </c>
      <c r="C1894" s="9">
        <v>1817</v>
      </c>
      <c r="D1894" s="0">
        <v>0</v>
      </c>
      <c r="E1894" s="10">
        <f>HYPERLINK("http://www.lingerieopt.ru/images/original/c4b04d25-59ba-42ca-82ec-a2fa04e21a9c.jpg","Фото")</f>
      </c>
    </row>
    <row r="1895">
      <c r="A1895" s="7">
        <f>HYPERLINK("http://www.lingerieopt.ru/item/7305-otkrovennji-komplekt-nizhnego-belya-corsia/","7305")</f>
      </c>
      <c r="B1895" s="8" t="s">
        <v>1889</v>
      </c>
      <c r="C1895" s="9">
        <v>1817</v>
      </c>
      <c r="D1895" s="0">
        <v>0</v>
      </c>
      <c r="E1895" s="10">
        <f>HYPERLINK("http://www.lingerieopt.ru/images/original/c4b04d25-59ba-42ca-82ec-a2fa04e21a9c.jpg","Фото")</f>
      </c>
    </row>
    <row r="1896">
      <c r="A1896" s="7">
        <f>HYPERLINK("http://www.lingerieopt.ru/item/7305-otkrovennji-komplekt-nizhnego-belya-corsia/","7305")</f>
      </c>
      <c r="B1896" s="8" t="s">
        <v>1890</v>
      </c>
      <c r="C1896" s="9">
        <v>1817</v>
      </c>
      <c r="D1896" s="0">
        <v>2</v>
      </c>
      <c r="E1896" s="10">
        <f>HYPERLINK("http://www.lingerieopt.ru/images/original/c4b04d25-59ba-42ca-82ec-a2fa04e21a9c.jpg","Фото")</f>
      </c>
    </row>
    <row r="1897">
      <c r="A1897" s="7">
        <f>HYPERLINK("http://www.lingerieopt.ru/item/7305-otkrovennji-komplekt-nizhnego-belya-corsia/","7305")</f>
      </c>
      <c r="B1897" s="8" t="s">
        <v>1891</v>
      </c>
      <c r="C1897" s="9">
        <v>1817</v>
      </c>
      <c r="D1897" s="0">
        <v>0</v>
      </c>
      <c r="E1897" s="10">
        <f>HYPERLINK("http://www.lingerieopt.ru/images/original/c4b04d25-59ba-42ca-82ec-a2fa04e21a9c.jpg","Фото")</f>
      </c>
    </row>
    <row r="1898">
      <c r="A1898" s="7">
        <f>HYPERLINK("http://www.lingerieopt.ru/item/7305-otkrovennji-komplekt-nizhnego-belya-corsia/","7305")</f>
      </c>
      <c r="B1898" s="8" t="s">
        <v>1892</v>
      </c>
      <c r="C1898" s="9">
        <v>1817</v>
      </c>
      <c r="D1898" s="0">
        <v>0</v>
      </c>
      <c r="E1898" s="10">
        <f>HYPERLINK("http://www.lingerieopt.ru/images/original/c4b04d25-59ba-42ca-82ec-a2fa04e21a9c.jpg","Фото")</f>
      </c>
    </row>
    <row r="1899">
      <c r="A1899" s="7">
        <f>HYPERLINK("http://www.lingerieopt.ru/item/7305-otkrovennji-komplekt-nizhnego-belya-corsia/","7305")</f>
      </c>
      <c r="B1899" s="8" t="s">
        <v>1893</v>
      </c>
      <c r="C1899" s="9">
        <v>1817</v>
      </c>
      <c r="D1899" s="0">
        <v>0</v>
      </c>
      <c r="E1899" s="10">
        <f>HYPERLINK("http://www.lingerieopt.ru/images/original/c4b04d25-59ba-42ca-82ec-a2fa04e21a9c.jpg","Фото")</f>
      </c>
    </row>
    <row r="1900">
      <c r="A1900" s="7">
        <f>HYPERLINK("http://www.lingerieopt.ru/item/7306-romantichnji-komplekt-expression/","7306")</f>
      </c>
      <c r="B1900" s="8" t="s">
        <v>1894</v>
      </c>
      <c r="C1900" s="9">
        <v>2045</v>
      </c>
      <c r="D1900" s="0">
        <v>3</v>
      </c>
      <c r="E1900" s="10">
        <f>HYPERLINK("http://www.lingerieopt.ru/images/original/2ae7aadf-e6ce-4683-bd95-8b4e8b24d72a.jpg","Фото")</f>
      </c>
    </row>
    <row r="1901">
      <c r="A1901" s="7">
        <f>HYPERLINK("http://www.lingerieopt.ru/item/7306-romantichnji-komplekt-expression/","7306")</f>
      </c>
      <c r="B1901" s="8" t="s">
        <v>1895</v>
      </c>
      <c r="C1901" s="9">
        <v>2045</v>
      </c>
      <c r="D1901" s="0">
        <v>0</v>
      </c>
      <c r="E1901" s="10">
        <f>HYPERLINK("http://www.lingerieopt.ru/images/original/2ae7aadf-e6ce-4683-bd95-8b4e8b24d72a.jpg","Фото")</f>
      </c>
    </row>
    <row r="1902">
      <c r="A1902" s="7">
        <f>HYPERLINK("http://www.lingerieopt.ru/item/7306-romantichnji-komplekt-expression/","7306")</f>
      </c>
      <c r="B1902" s="8" t="s">
        <v>1896</v>
      </c>
      <c r="C1902" s="9">
        <v>2045</v>
      </c>
      <c r="D1902" s="0">
        <v>5</v>
      </c>
      <c r="E1902" s="10">
        <f>HYPERLINK("http://www.lingerieopt.ru/images/original/2ae7aadf-e6ce-4683-bd95-8b4e8b24d72a.jpg","Фото")</f>
      </c>
    </row>
    <row r="1903">
      <c r="A1903" s="7">
        <f>HYPERLINK("http://www.lingerieopt.ru/item/7307-komplekt-belya-lulie-iz-kruzhev-s-resnichkami/","7307")</f>
      </c>
      <c r="B1903" s="8" t="s">
        <v>1897</v>
      </c>
      <c r="C1903" s="9">
        <v>3191</v>
      </c>
      <c r="D1903" s="0">
        <v>4</v>
      </c>
      <c r="E1903" s="10">
        <f>HYPERLINK("http://www.lingerieopt.ru/images/original/af6c9972-3a9a-43ba-8cde-615f41657552.jpg","Фото")</f>
      </c>
    </row>
    <row r="1904">
      <c r="A1904" s="7">
        <f>HYPERLINK("http://www.lingerieopt.ru/item/7307-komplekt-belya-lulie-iz-kruzhev-s-resnichkami/","7307")</f>
      </c>
      <c r="B1904" s="8" t="s">
        <v>1898</v>
      </c>
      <c r="C1904" s="9">
        <v>3191</v>
      </c>
      <c r="D1904" s="0">
        <v>4</v>
      </c>
      <c r="E1904" s="10">
        <f>HYPERLINK("http://www.lingerieopt.ru/images/original/af6c9972-3a9a-43ba-8cde-615f41657552.jpg","Фото")</f>
      </c>
    </row>
    <row r="1905">
      <c r="A1905" s="7">
        <f>HYPERLINK("http://www.lingerieopt.ru/item/7307-komplekt-belya-lulie-iz-kruzhev-s-resnichkami/","7307")</f>
      </c>
      <c r="B1905" s="8" t="s">
        <v>1899</v>
      </c>
      <c r="C1905" s="9">
        <v>3191</v>
      </c>
      <c r="D1905" s="0">
        <v>3</v>
      </c>
      <c r="E1905" s="10">
        <f>HYPERLINK("http://www.lingerieopt.ru/images/original/af6c9972-3a9a-43ba-8cde-615f41657552.jpg","Фото")</f>
      </c>
    </row>
    <row r="1906">
      <c r="A1906" s="7">
        <f>HYPERLINK("http://www.lingerieopt.ru/item/7307-komplekt-belya-lulie-iz-kruzhev-s-resnichkami/","7307")</f>
      </c>
      <c r="B1906" s="8" t="s">
        <v>1900</v>
      </c>
      <c r="C1906" s="9">
        <v>3191</v>
      </c>
      <c r="D1906" s="0">
        <v>19</v>
      </c>
      <c r="E1906" s="10">
        <f>HYPERLINK("http://www.lingerieopt.ru/images/original/af6c9972-3a9a-43ba-8cde-615f41657552.jpg","Фото")</f>
      </c>
    </row>
    <row r="1907">
      <c r="A1907" s="7">
        <f>HYPERLINK("http://www.lingerieopt.ru/item/7308-chuvstvennji-komplekt-pleasuru-iz-3-predmetov/","7308")</f>
      </c>
      <c r="B1907" s="8" t="s">
        <v>1901</v>
      </c>
      <c r="C1907" s="9">
        <v>1232</v>
      </c>
      <c r="D1907" s="0">
        <v>10</v>
      </c>
      <c r="E1907" s="10">
        <f>HYPERLINK("http://www.lingerieopt.ru/images/original/d531a98a-b9de-4b6c-b86a-aca28c43827f.jpg","Фото")</f>
      </c>
    </row>
    <row r="1908">
      <c r="A1908" s="7">
        <f>HYPERLINK("http://www.lingerieopt.ru/item/7308-chuvstvennji-komplekt-pleasuru-iz-3-predmetov/","7308")</f>
      </c>
      <c r="B1908" s="8" t="s">
        <v>1902</v>
      </c>
      <c r="C1908" s="9">
        <v>1232</v>
      </c>
      <c r="D1908" s="0">
        <v>3</v>
      </c>
      <c r="E1908" s="10">
        <f>HYPERLINK("http://www.lingerieopt.ru/images/original/d531a98a-b9de-4b6c-b86a-aca28c43827f.jpg","Фото")</f>
      </c>
    </row>
    <row r="1909">
      <c r="A1909" s="7">
        <f>HYPERLINK("http://www.lingerieopt.ru/item/7308-chuvstvennji-komplekt-pleasuru-iz-3-predmetov/","7308")</f>
      </c>
      <c r="B1909" s="8" t="s">
        <v>1903</v>
      </c>
      <c r="C1909" s="9">
        <v>1232</v>
      </c>
      <c r="D1909" s="0">
        <v>6</v>
      </c>
      <c r="E1909" s="10">
        <f>HYPERLINK("http://www.lingerieopt.ru/images/original/d531a98a-b9de-4b6c-b86a-aca28c43827f.jpg","Фото")</f>
      </c>
    </row>
    <row r="1910">
      <c r="A1910" s="7">
        <f>HYPERLINK("http://www.lingerieopt.ru/item/7308-chuvstvennji-komplekt-pleasuru-iz-3-predmetov/","7308")</f>
      </c>
      <c r="B1910" s="8" t="s">
        <v>1904</v>
      </c>
      <c r="C1910" s="9">
        <v>1232</v>
      </c>
      <c r="D1910" s="0">
        <v>6</v>
      </c>
      <c r="E1910" s="10">
        <f>HYPERLINK("http://www.lingerieopt.ru/images/original/d531a98a-b9de-4b6c-b86a-aca28c43827f.jpg","Фото")</f>
      </c>
    </row>
    <row r="1911">
      <c r="A1911" s="7">
        <f>HYPERLINK("http://www.lingerieopt.ru/item/7309-charuyuschii-komplekt-belya-sapphira-s-shirokim-poyasom/","7309")</f>
      </c>
      <c r="B1911" s="8" t="s">
        <v>1905</v>
      </c>
      <c r="C1911" s="9">
        <v>1693</v>
      </c>
      <c r="D1911" s="0">
        <v>8</v>
      </c>
      <c r="E1911" s="10">
        <f>HYPERLINK("http://www.lingerieopt.ru/images/original/87e612ea-bb42-4c62-9e89-6dfa441fa145.jpg","Фото")</f>
      </c>
    </row>
    <row r="1912">
      <c r="A1912" s="7">
        <f>HYPERLINK("http://www.lingerieopt.ru/item/7309-charuyuschii-komplekt-belya-sapphira-s-shirokim-poyasom/","7309")</f>
      </c>
      <c r="B1912" s="8" t="s">
        <v>1906</v>
      </c>
      <c r="C1912" s="9">
        <v>1693</v>
      </c>
      <c r="D1912" s="0">
        <v>4</v>
      </c>
      <c r="E1912" s="10">
        <f>HYPERLINK("http://www.lingerieopt.ru/images/original/87e612ea-bb42-4c62-9e89-6dfa441fa145.jpg","Фото")</f>
      </c>
    </row>
    <row r="1913">
      <c r="A1913" s="7">
        <f>HYPERLINK("http://www.lingerieopt.ru/item/7309-charuyuschii-komplekt-belya-sapphira-s-shirokim-poyasom/","7309")</f>
      </c>
      <c r="B1913" s="8" t="s">
        <v>1907</v>
      </c>
      <c r="C1913" s="9">
        <v>1693</v>
      </c>
      <c r="D1913" s="0">
        <v>7</v>
      </c>
      <c r="E1913" s="10">
        <f>HYPERLINK("http://www.lingerieopt.ru/images/original/87e612ea-bb42-4c62-9e89-6dfa441fa145.jpg","Фото")</f>
      </c>
    </row>
    <row r="1914">
      <c r="A1914" s="7">
        <f>HYPERLINK("http://www.lingerieopt.ru/item/7309-charuyuschii-komplekt-belya-sapphira-s-shirokim-poyasom/","7309")</f>
      </c>
      <c r="B1914" s="8" t="s">
        <v>1908</v>
      </c>
      <c r="C1914" s="9">
        <v>1693</v>
      </c>
      <c r="D1914" s="0">
        <v>0</v>
      </c>
      <c r="E1914" s="10">
        <f>HYPERLINK("http://www.lingerieopt.ru/images/original/87e612ea-bb42-4c62-9e89-6dfa441fa145.jpg","Фото")</f>
      </c>
    </row>
    <row r="1915">
      <c r="A1915" s="7">
        <f>HYPERLINK("http://www.lingerieopt.ru/item/7358-chuvstvennji-azhurnji-komplekt-heartina-iz-3-predmetov/","7358")</f>
      </c>
      <c r="B1915" s="8" t="s">
        <v>1909</v>
      </c>
      <c r="C1915" s="9">
        <v>2247</v>
      </c>
      <c r="D1915" s="0">
        <v>1</v>
      </c>
      <c r="E1915" s="10">
        <f>HYPERLINK("http://www.lingerieopt.ru/images/original/68523697-653f-45ec-8fb1-1931126b0e13.jpg","Фото")</f>
      </c>
    </row>
    <row r="1916">
      <c r="A1916" s="7">
        <f>HYPERLINK("http://www.lingerieopt.ru/item/7358-chuvstvennji-azhurnji-komplekt-heartina-iz-3-predmetov/","7358")</f>
      </c>
      <c r="B1916" s="8" t="s">
        <v>1910</v>
      </c>
      <c r="C1916" s="9">
        <v>2247</v>
      </c>
      <c r="D1916" s="0">
        <v>10</v>
      </c>
      <c r="E1916" s="10">
        <f>HYPERLINK("http://www.lingerieopt.ru/images/original/68523697-653f-45ec-8fb1-1931126b0e13.jpg","Фото")</f>
      </c>
    </row>
    <row r="1917">
      <c r="A1917" s="7">
        <f>HYPERLINK("http://www.lingerieopt.ru/item/7382-poluprozrachnji-komplekt-belya-fabienne-s-oborkami/","7382")</f>
      </c>
      <c r="B1917" s="8" t="s">
        <v>1911</v>
      </c>
      <c r="C1917" s="9">
        <v>2249</v>
      </c>
      <c r="D1917" s="0">
        <v>6</v>
      </c>
      <c r="E1917" s="10">
        <f>HYPERLINK("http://www.lingerieopt.ru/images/original/355ac51e-ff96-423b-8f97-a5d309146836.jpg","Фото")</f>
      </c>
    </row>
    <row r="1918">
      <c r="A1918" s="7">
        <f>HYPERLINK("http://www.lingerieopt.ru/item/7382-poluprozrachnji-komplekt-belya-fabienne-s-oborkami/","7382")</f>
      </c>
      <c r="B1918" s="8" t="s">
        <v>1912</v>
      </c>
      <c r="C1918" s="9">
        <v>2249</v>
      </c>
      <c r="D1918" s="0">
        <v>0</v>
      </c>
      <c r="E1918" s="10">
        <f>HYPERLINK("http://www.lingerieopt.ru/images/original/355ac51e-ff96-423b-8f97-a5d309146836.jpg","Фото")</f>
      </c>
    </row>
    <row r="1919">
      <c r="A1919" s="7">
        <f>HYPERLINK("http://www.lingerieopt.ru/item/7383-strogii-komplekt-kayo-s-verevkami-dlya-svyazjvaniya-v-komplekte/","7383")</f>
      </c>
      <c r="B1919" s="8" t="s">
        <v>1913</v>
      </c>
      <c r="C1919" s="9">
        <v>3441</v>
      </c>
      <c r="D1919" s="0">
        <v>5</v>
      </c>
      <c r="E1919" s="10">
        <f>HYPERLINK("http://www.lingerieopt.ru/images/original/5719027c-81bc-4b38-a5f4-e6f6358511f0.jpg","Фото")</f>
      </c>
    </row>
    <row r="1920">
      <c r="A1920" s="7">
        <f>HYPERLINK("http://www.lingerieopt.ru/item/7383-strogii-komplekt-kayo-s-verevkami-dlya-svyazjvaniya-v-komplekte/","7383")</f>
      </c>
      <c r="B1920" s="8" t="s">
        <v>1914</v>
      </c>
      <c r="C1920" s="9">
        <v>3441</v>
      </c>
      <c r="D1920" s="0">
        <v>1</v>
      </c>
      <c r="E1920" s="10">
        <f>HYPERLINK("http://www.lingerieopt.ru/images/original/5719027c-81bc-4b38-a5f4-e6f6358511f0.jpg","Фото")</f>
      </c>
    </row>
    <row r="1921">
      <c r="A1921" s="7">
        <f>HYPERLINK("http://www.lingerieopt.ru/item/7384-kruzhevnoi-komplekt-lou-iz-dvuh-predmetov/","7384")</f>
      </c>
      <c r="B1921" s="8" t="s">
        <v>1915</v>
      </c>
      <c r="C1921" s="9">
        <v>1865</v>
      </c>
      <c r="D1921" s="0">
        <v>9</v>
      </c>
      <c r="E1921" s="10">
        <f>HYPERLINK("http://www.lingerieopt.ru/images/original/5cafb6d5-bb8c-4b72-9384-b68880108a55.jpg","Фото")</f>
      </c>
    </row>
    <row r="1922">
      <c r="A1922" s="7">
        <f>HYPERLINK("http://www.lingerieopt.ru/item/7384-kruzhevnoi-komplekt-lou-iz-dvuh-predmetov/","7384")</f>
      </c>
      <c r="B1922" s="8" t="s">
        <v>1916</v>
      </c>
      <c r="C1922" s="9">
        <v>1865</v>
      </c>
      <c r="D1922" s="0">
        <v>0</v>
      </c>
      <c r="E1922" s="10">
        <f>HYPERLINK("http://www.lingerieopt.ru/images/original/5cafb6d5-bb8c-4b72-9384-b68880108a55.jpg","Фото")</f>
      </c>
    </row>
    <row r="1923">
      <c r="A1923" s="7">
        <f>HYPERLINK("http://www.lingerieopt.ru/item/7384-kruzhevnoi-komplekt-lou-iz-dvuh-predmetov/","7384")</f>
      </c>
      <c r="B1923" s="8" t="s">
        <v>1917</v>
      </c>
      <c r="C1923" s="9">
        <v>1865</v>
      </c>
      <c r="D1923" s="0">
        <v>6</v>
      </c>
      <c r="E1923" s="10">
        <f>HYPERLINK("http://www.lingerieopt.ru/images/original/5cafb6d5-bb8c-4b72-9384-b68880108a55.jpg","Фото")</f>
      </c>
    </row>
    <row r="1924">
      <c r="A1924" s="7">
        <f>HYPERLINK("http://www.lingerieopt.ru/item/7384-kruzhevnoi-komplekt-lou-iz-dvuh-predmetov/","7384")</f>
      </c>
      <c r="B1924" s="8" t="s">
        <v>1918</v>
      </c>
      <c r="C1924" s="9">
        <v>1865</v>
      </c>
      <c r="D1924" s="0">
        <v>2</v>
      </c>
      <c r="E1924" s="10">
        <f>HYPERLINK("http://www.lingerieopt.ru/images/original/5cafb6d5-bb8c-4b72-9384-b68880108a55.jpg","Фото")</f>
      </c>
    </row>
    <row r="1925">
      <c r="A1925" s="7">
        <f>HYPERLINK("http://www.lingerieopt.ru/item/7385-cherno-krasnji-komplekt-belya-mari-s-verevkami-dlya-svyazjvaniya/","7385")</f>
      </c>
      <c r="B1925" s="8" t="s">
        <v>1919</v>
      </c>
      <c r="C1925" s="9">
        <v>3076</v>
      </c>
      <c r="D1925" s="0">
        <v>7</v>
      </c>
      <c r="E1925" s="10">
        <f>HYPERLINK("http://www.lingerieopt.ru/images/original/dfd39cbe-4939-4a60-9f1d-20c60b154273.jpg","Фото")</f>
      </c>
    </row>
    <row r="1926">
      <c r="A1926" s="7">
        <f>HYPERLINK("http://www.lingerieopt.ru/item/7386-komplekt-belya-sakura-s-verevkami-dlya-svyazjvaniya/","7386")</f>
      </c>
      <c r="B1926" s="8" t="s">
        <v>1920</v>
      </c>
      <c r="C1926" s="9">
        <v>2983</v>
      </c>
      <c r="D1926" s="0">
        <v>4</v>
      </c>
      <c r="E1926" s="10">
        <f>HYPERLINK("http://www.lingerieopt.ru/images/original/9ceafdb0-55ac-45e1-a0f7-714e74a8190f.jpg","Фото")</f>
      </c>
    </row>
    <row r="1927">
      <c r="A1927" s="7">
        <f>HYPERLINK("http://www.lingerieopt.ru/item/7387-effektnji-komplekt-tomiko-s-verevkami-dlya-svyazjvaniya/","7387")</f>
      </c>
      <c r="B1927" s="8" t="s">
        <v>1921</v>
      </c>
      <c r="C1927" s="9">
        <v>3511</v>
      </c>
      <c r="D1927" s="0">
        <v>5</v>
      </c>
      <c r="E1927" s="10">
        <f>HYPERLINK("http://www.lingerieopt.ru/images/original/eacea2ce-7ef7-4c2d-ba48-e5fb330e36a2.jpg","Фото")</f>
      </c>
    </row>
    <row r="1928">
      <c r="A1928" s="7">
        <f>HYPERLINK("http://www.lingerieopt.ru/item/7387-effektnji-komplekt-tomiko-s-verevkami-dlya-svyazjvaniya/","7387")</f>
      </c>
      <c r="B1928" s="8" t="s">
        <v>1922</v>
      </c>
      <c r="C1928" s="9">
        <v>3511</v>
      </c>
      <c r="D1928" s="0">
        <v>2</v>
      </c>
      <c r="E1928" s="10">
        <f>HYPERLINK("http://www.lingerieopt.ru/images/original/eacea2ce-7ef7-4c2d-ba48-e5fb330e36a2.jpg","Фото")</f>
      </c>
    </row>
    <row r="1929">
      <c r="A1929" s="7">
        <f>HYPERLINK("http://www.lingerieopt.ru/item/7388-strogii-zhenskii-komplekt-yuka-s-verevkami-dlya-svyazjvaniya/","7388")</f>
      </c>
      <c r="B1929" s="8" t="s">
        <v>1923</v>
      </c>
      <c r="C1929" s="9">
        <v>2983</v>
      </c>
      <c r="D1929" s="0">
        <v>4</v>
      </c>
      <c r="E1929" s="10">
        <f>HYPERLINK("http://www.lingerieopt.ru/images/original/54244b7a-59a5-4d41-b9b7-d18aff6edbf1.jpg","Фото")</f>
      </c>
    </row>
    <row r="1930">
      <c r="A1930" s="7">
        <f>HYPERLINK("http://www.lingerieopt.ru/item/7388-strogii-zhenskii-komplekt-yuka-s-verevkami-dlya-svyazjvaniya/","7388")</f>
      </c>
      <c r="B1930" s="8" t="s">
        <v>1924</v>
      </c>
      <c r="C1930" s="9">
        <v>2983</v>
      </c>
      <c r="D1930" s="0">
        <v>4</v>
      </c>
      <c r="E1930" s="10">
        <f>HYPERLINK("http://www.lingerieopt.ru/images/original/54244b7a-59a5-4d41-b9b7-d18aff6edbf1.jpg","Фото")</f>
      </c>
    </row>
    <row r="1931">
      <c r="A1931" s="7">
        <f>HYPERLINK("http://www.lingerieopt.ru/item/7389-komplekt-s-vjsokimi-shortami-shinju/","7389")</f>
      </c>
      <c r="B1931" s="8" t="s">
        <v>1925</v>
      </c>
      <c r="C1931" s="9">
        <v>2739</v>
      </c>
      <c r="D1931" s="0">
        <v>6</v>
      </c>
      <c r="E1931" s="10">
        <f>HYPERLINK("http://www.lingerieopt.ru/images/original/47174f10-457c-461c-a11a-63f7e753a450.jpg","Фото")</f>
      </c>
    </row>
    <row r="1932">
      <c r="A1932" s="7">
        <f>HYPERLINK("http://www.lingerieopt.ru/item/7391-voshititelnji-komplekt-belya-isolde-s-yubkoi/","7391")</f>
      </c>
      <c r="B1932" s="8" t="s">
        <v>1926</v>
      </c>
      <c r="C1932" s="9">
        <v>2642</v>
      </c>
      <c r="D1932" s="0">
        <v>7</v>
      </c>
      <c r="E1932" s="10">
        <f>HYPERLINK("http://www.lingerieopt.ru/images/original/4bba1be9-5659-44ae-a021-bdb109721f4b.jpg","Фото")</f>
      </c>
    </row>
    <row r="1933">
      <c r="A1933" s="7">
        <f>HYPERLINK("http://www.lingerieopt.ru/item/7391-voshititelnji-komplekt-belya-isolde-s-yubkoi/","7391")</f>
      </c>
      <c r="B1933" s="8" t="s">
        <v>1927</v>
      </c>
      <c r="C1933" s="9">
        <v>2642</v>
      </c>
      <c r="D1933" s="0">
        <v>2</v>
      </c>
      <c r="E1933" s="10">
        <f>HYPERLINK("http://www.lingerieopt.ru/images/original/4bba1be9-5659-44ae-a021-bdb109721f4b.jpg","Фото")</f>
      </c>
    </row>
    <row r="1934">
      <c r="A1934" s="7">
        <f>HYPERLINK("http://www.lingerieopt.ru/item/7395-otkrovennji-komplekt-belya-justine-iz-lent/","7395")</f>
      </c>
      <c r="B1934" s="8" t="s">
        <v>1928</v>
      </c>
      <c r="C1934" s="9">
        <v>1404</v>
      </c>
      <c r="D1934" s="0">
        <v>6</v>
      </c>
      <c r="E1934" s="10">
        <f>HYPERLINK("http://www.lingerieopt.ru/images/original/7ae9fa58-9546-45f7-955d-3dec2fffdf53.jpg","Фото")</f>
      </c>
    </row>
    <row r="1935">
      <c r="A1935" s="7">
        <f>HYPERLINK("http://www.lingerieopt.ru/item/7395-otkrovennji-komplekt-belya-justine-iz-lent/","7395")</f>
      </c>
      <c r="B1935" s="8" t="s">
        <v>1929</v>
      </c>
      <c r="C1935" s="9">
        <v>1404</v>
      </c>
      <c r="D1935" s="0">
        <v>3</v>
      </c>
      <c r="E1935" s="10">
        <f>HYPERLINK("http://www.lingerieopt.ru/images/original/7ae9fa58-9546-45f7-955d-3dec2fffdf53.jpg","Фото")</f>
      </c>
    </row>
    <row r="1936">
      <c r="A1936" s="7">
        <f>HYPERLINK("http://www.lingerieopt.ru/item/7395-otkrovennji-komplekt-belya-justine-iz-lent/","7395")</f>
      </c>
      <c r="B1936" s="8" t="s">
        <v>1930</v>
      </c>
      <c r="C1936" s="9">
        <v>1404</v>
      </c>
      <c r="D1936" s="0">
        <v>3</v>
      </c>
      <c r="E1936" s="10">
        <f>HYPERLINK("http://www.lingerieopt.ru/images/original/7ae9fa58-9546-45f7-955d-3dec2fffdf53.jpg","Фото")</f>
      </c>
    </row>
    <row r="1937">
      <c r="A1937" s="7">
        <f>HYPERLINK("http://www.lingerieopt.ru/item/7395-otkrovennji-komplekt-belya-justine-iz-lent/","7395")</f>
      </c>
      <c r="B1937" s="8" t="s">
        <v>1931</v>
      </c>
      <c r="C1937" s="9">
        <v>1404</v>
      </c>
      <c r="D1937" s="0">
        <v>8</v>
      </c>
      <c r="E1937" s="10">
        <f>HYPERLINK("http://www.lingerieopt.ru/images/original/7ae9fa58-9546-45f7-955d-3dec2fffdf53.jpg","Фото")</f>
      </c>
    </row>
    <row r="1938">
      <c r="A1938" s="7">
        <f>HYPERLINK("http://www.lingerieopt.ru/item/7395-otkrovennji-komplekt-belya-justine-iz-lent/","7395")</f>
      </c>
      <c r="B1938" s="8" t="s">
        <v>1932</v>
      </c>
      <c r="C1938" s="9">
        <v>1404</v>
      </c>
      <c r="D1938" s="0">
        <v>5</v>
      </c>
      <c r="E1938" s="10">
        <f>HYPERLINK("http://www.lingerieopt.ru/images/original/7ae9fa58-9546-45f7-955d-3dec2fffdf53.jpg","Фото")</f>
      </c>
    </row>
    <row r="1939">
      <c r="A1939" s="7">
        <f>HYPERLINK("http://www.lingerieopt.ru/item/7395-otkrovennji-komplekt-belya-justine-iz-lent/","7395")</f>
      </c>
      <c r="B1939" s="8" t="s">
        <v>1933</v>
      </c>
      <c r="C1939" s="9">
        <v>1404</v>
      </c>
      <c r="D1939" s="0">
        <v>4</v>
      </c>
      <c r="E1939" s="10">
        <f>HYPERLINK("http://www.lingerieopt.ru/images/original/7ae9fa58-9546-45f7-955d-3dec2fffdf53.jpg","Фото")</f>
      </c>
    </row>
    <row r="1940">
      <c r="A1940" s="7">
        <f>HYPERLINK("http://www.lingerieopt.ru/item/7424-elastichnji-komplekt-nizhnego-belya-vilma/","7424")</f>
      </c>
      <c r="B1940" s="8" t="s">
        <v>1934</v>
      </c>
      <c r="C1940" s="9">
        <v>2724</v>
      </c>
      <c r="D1940" s="0">
        <v>1</v>
      </c>
      <c r="E1940" s="10">
        <f>HYPERLINK("http://www.lingerieopt.ru/images/original/10bcbf31-1d43-4fb0-9b11-aa46ac88bcdf.jpg","Фото")</f>
      </c>
    </row>
    <row r="1941">
      <c r="A1941" s="7">
        <f>HYPERLINK("http://www.lingerieopt.ru/item/7424-elastichnji-komplekt-nizhnego-belya-vilma/","7424")</f>
      </c>
      <c r="B1941" s="8" t="s">
        <v>1935</v>
      </c>
      <c r="C1941" s="9">
        <v>2724</v>
      </c>
      <c r="D1941" s="0">
        <v>0</v>
      </c>
      <c r="E1941" s="10">
        <f>HYPERLINK("http://www.lingerieopt.ru/images/original/10bcbf31-1d43-4fb0-9b11-aa46ac88bcdf.jpg","Фото")</f>
      </c>
    </row>
    <row r="1942">
      <c r="A1942" s="7">
        <f>HYPERLINK("http://www.lingerieopt.ru/item/7623-chuvstvennji-komplekt-belya-gill-iz-3-predmetov/","7623")</f>
      </c>
      <c r="B1942" s="8" t="s">
        <v>1936</v>
      </c>
      <c r="C1942" s="9">
        <v>2075</v>
      </c>
      <c r="D1942" s="0">
        <v>0</v>
      </c>
      <c r="E1942" s="10">
        <f>HYPERLINK("http://www.lingerieopt.ru/images/original/0fc2fa7b-fd00-46ec-8507-afddaa45dc1c.jpg","Фото")</f>
      </c>
    </row>
    <row r="1943">
      <c r="A1943" s="7">
        <f>HYPERLINK("http://www.lingerieopt.ru/item/7623-chuvstvennji-komplekt-belya-gill-iz-3-predmetov/","7623")</f>
      </c>
      <c r="B1943" s="8" t="s">
        <v>1937</v>
      </c>
      <c r="C1943" s="9">
        <v>2075</v>
      </c>
      <c r="D1943" s="0">
        <v>5</v>
      </c>
      <c r="E1943" s="10">
        <f>HYPERLINK("http://www.lingerieopt.ru/images/original/0fc2fa7b-fd00-46ec-8507-afddaa45dc1c.jpg","Фото")</f>
      </c>
    </row>
    <row r="1944">
      <c r="A1944" s="7">
        <f>HYPERLINK("http://www.lingerieopt.ru/item/7625-azhurnji-komplekt-keith-plus-size-iz-kruzheva-s-bleskom/","7625")</f>
      </c>
      <c r="B1944" s="8" t="s">
        <v>1938</v>
      </c>
      <c r="C1944" s="9">
        <v>2269</v>
      </c>
      <c r="D1944" s="0">
        <v>1</v>
      </c>
      <c r="E1944" s="10">
        <f>HYPERLINK("http://www.lingerieopt.ru/images/original/b2e8898e-5fde-49ef-b239-b028a4d3b8a3.jpg","Фото")</f>
      </c>
    </row>
    <row r="1945">
      <c r="A1945" s="7">
        <f>HYPERLINK("http://www.lingerieopt.ru/item/7641-komplekt-belya-connie-s-dvuhcvetnjm-kruzhevom/","7641")</f>
      </c>
      <c r="B1945" s="8" t="s">
        <v>1939</v>
      </c>
      <c r="C1945" s="9">
        <v>2310</v>
      </c>
      <c r="D1945" s="0">
        <v>15</v>
      </c>
      <c r="E1945" s="10">
        <f>HYPERLINK("http://www.lingerieopt.ru/images/original/be8c8e6d-26b0-4301-b653-8848de5197a8.jpg","Фото")</f>
      </c>
    </row>
    <row r="1946">
      <c r="A1946" s="7">
        <f>HYPERLINK("http://www.lingerieopt.ru/item/7641-komplekt-belya-connie-s-dvuhcvetnjm-kruzhevom/","7641")</f>
      </c>
      <c r="B1946" s="8" t="s">
        <v>1940</v>
      </c>
      <c r="C1946" s="9">
        <v>2310</v>
      </c>
      <c r="D1946" s="0">
        <v>8</v>
      </c>
      <c r="E1946" s="10">
        <f>HYPERLINK("http://www.lingerieopt.ru/images/original/be8c8e6d-26b0-4301-b653-8848de5197a8.jpg","Фото")</f>
      </c>
    </row>
    <row r="1947">
      <c r="A1947" s="7">
        <f>HYPERLINK("http://www.lingerieopt.ru/item/7642-igrivji-komplekt-belya-dallas-iz-3-predmetov/","7642")</f>
      </c>
      <c r="B1947" s="8" t="s">
        <v>1941</v>
      </c>
      <c r="C1947" s="9">
        <v>2072</v>
      </c>
      <c r="D1947" s="0">
        <v>9</v>
      </c>
      <c r="E1947" s="10">
        <f>HYPERLINK("http://www.lingerieopt.ru/images/original/31b1c911-c585-4352-a7df-270314d824e0.jpg","Фото")</f>
      </c>
    </row>
    <row r="1948">
      <c r="A1948" s="7">
        <f>HYPERLINK("http://www.lingerieopt.ru/item/7642-igrivji-komplekt-belya-dallas-iz-3-predmetov/","7642")</f>
      </c>
      <c r="B1948" s="8" t="s">
        <v>1942</v>
      </c>
      <c r="C1948" s="9">
        <v>2072</v>
      </c>
      <c r="D1948" s="0">
        <v>0</v>
      </c>
      <c r="E1948" s="10">
        <f>HYPERLINK("http://www.lingerieopt.ru/images/original/31b1c911-c585-4352-a7df-270314d824e0.jpg","Фото")</f>
      </c>
    </row>
    <row r="1949">
      <c r="A1949" s="7">
        <f>HYPERLINK("http://www.lingerieopt.ru/item/7643-ocharovatelnji-komplekt-giorgia-iz-3-predmetov/","7643")</f>
      </c>
      <c r="B1949" s="8" t="s">
        <v>1943</v>
      </c>
      <c r="C1949" s="9">
        <v>2286</v>
      </c>
      <c r="D1949" s="0">
        <v>1</v>
      </c>
      <c r="E1949" s="10">
        <f>HYPERLINK("http://www.lingerieopt.ru/images/original/cc94cad5-1a01-43c5-96db-011b8a784bab.jpg","Фото")</f>
      </c>
    </row>
    <row r="1950">
      <c r="A1950" s="7">
        <f>HYPERLINK("http://www.lingerieopt.ru/item/7643-ocharovatelnji-komplekt-giorgia-iz-3-predmetov/","7643")</f>
      </c>
      <c r="B1950" s="8" t="s">
        <v>1944</v>
      </c>
      <c r="C1950" s="9">
        <v>2286</v>
      </c>
      <c r="D1950" s="0">
        <v>9</v>
      </c>
      <c r="E1950" s="10">
        <f>HYPERLINK("http://www.lingerieopt.ru/images/original/cc94cad5-1a01-43c5-96db-011b8a784bab.jpg","Фото")</f>
      </c>
    </row>
    <row r="1951">
      <c r="A1951" s="7">
        <f>HYPERLINK("http://www.lingerieopt.ru/item/7645-elegantnji-komplekt-sissey-s-dvoinjmi-bretelyami/","7645")</f>
      </c>
      <c r="B1951" s="8" t="s">
        <v>1945</v>
      </c>
      <c r="C1951" s="9">
        <v>2084</v>
      </c>
      <c r="D1951" s="0">
        <v>1</v>
      </c>
      <c r="E1951" s="10">
        <f>HYPERLINK("http://www.lingerieopt.ru/images/original/ab6569fc-6fb8-4b1f-8fec-c7a8c6b597b4.jpg","Фото")</f>
      </c>
    </row>
    <row r="1952">
      <c r="A1952" s="7">
        <f>HYPERLINK("http://www.lingerieopt.ru/item/7645-elegantnji-komplekt-sissey-s-dvoinjmi-bretelyami/","7645")</f>
      </c>
      <c r="B1952" s="8" t="s">
        <v>1946</v>
      </c>
      <c r="C1952" s="9">
        <v>2084</v>
      </c>
      <c r="D1952" s="0">
        <v>2</v>
      </c>
      <c r="E1952" s="10">
        <f>HYPERLINK("http://www.lingerieopt.ru/images/original/ab6569fc-6fb8-4b1f-8fec-c7a8c6b597b4.jpg","Фото")</f>
      </c>
    </row>
    <row r="1953">
      <c r="A1953" s="7">
        <f>HYPERLINK("http://www.lingerieopt.ru/item/7655-chuvstvennji-komplekt-belya-gill-plus-size/","7655")</f>
      </c>
      <c r="B1953" s="8" t="s">
        <v>1947</v>
      </c>
      <c r="C1953" s="9">
        <v>2075</v>
      </c>
      <c r="D1953" s="0">
        <v>1</v>
      </c>
      <c r="E1953" s="10">
        <f>HYPERLINK("http://www.lingerieopt.ru/images/original/2730e376-a1ca-4749-a228-412a18473522.jpg","Фото")</f>
      </c>
    </row>
    <row r="1954">
      <c r="A1954" s="7">
        <f>HYPERLINK("http://www.lingerieopt.ru/item/7696-kruzhevnoi-byustgalter-silver-flower-i-vjsokie-trusiki/","7696")</f>
      </c>
      <c r="B1954" s="8" t="s">
        <v>1948</v>
      </c>
      <c r="C1954" s="9">
        <v>2530</v>
      </c>
      <c r="D1954" s="0">
        <v>6</v>
      </c>
      <c r="E1954" s="10">
        <f>HYPERLINK("http://www.lingerieopt.ru/images/original/7546700b-5ce4-47b0-bc1e-87f512b0312d.jpg","Фото")</f>
      </c>
    </row>
    <row r="1955">
      <c r="A1955" s="7">
        <f>HYPERLINK("http://www.lingerieopt.ru/item/7696-kruzhevnoi-byustgalter-silver-flower-i-vjsokie-trusiki/","7696")</f>
      </c>
      <c r="B1955" s="8" t="s">
        <v>1949</v>
      </c>
      <c r="C1955" s="9">
        <v>2530</v>
      </c>
      <c r="D1955" s="0">
        <v>1</v>
      </c>
      <c r="E1955" s="10">
        <f>HYPERLINK("http://www.lingerieopt.ru/images/original/7546700b-5ce4-47b0-bc1e-87f512b0312d.jpg","Фото")</f>
      </c>
    </row>
    <row r="1956">
      <c r="A1956" s="7">
        <f>HYPERLINK("http://www.lingerieopt.ru/item/7696-kruzhevnoi-byustgalter-silver-flower-i-vjsokie-trusiki/","7696")</f>
      </c>
      <c r="B1956" s="8" t="s">
        <v>1950</v>
      </c>
      <c r="C1956" s="9">
        <v>2530</v>
      </c>
      <c r="D1956" s="0">
        <v>6</v>
      </c>
      <c r="E1956" s="10">
        <f>HYPERLINK("http://www.lingerieopt.ru/images/original/7546700b-5ce4-47b0-bc1e-87f512b0312d.jpg","Фото")</f>
      </c>
    </row>
    <row r="1957">
      <c r="A1957" s="7">
        <f>HYPERLINK("http://www.lingerieopt.ru/item/7697-bra-i-trusiki-srotchless-s-zhemchuzhnjmi-nityami/","7697")</f>
      </c>
      <c r="B1957" s="8" t="s">
        <v>1951</v>
      </c>
      <c r="C1957" s="9">
        <v>1955</v>
      </c>
      <c r="D1957" s="0">
        <v>6</v>
      </c>
      <c r="E1957" s="10">
        <f>HYPERLINK("http://www.lingerieopt.ru/images/original/4ded8772-a54a-4064-9251-f93b8d323396.jpg","Фото")</f>
      </c>
    </row>
    <row r="1958">
      <c r="A1958" s="7">
        <f>HYPERLINK("http://www.lingerieopt.ru/item/7706-kruzhevnoi-komplekt-frivolla-s-dekorativnjm-kruzhevnjm-poyasom/","7706")</f>
      </c>
      <c r="B1958" s="8" t="s">
        <v>1952</v>
      </c>
      <c r="C1958" s="9">
        <v>1863</v>
      </c>
      <c r="D1958" s="0">
        <v>10</v>
      </c>
      <c r="E1958" s="10">
        <f>HYPERLINK("http://www.lingerieopt.ru/images/original/b5370b44-a7b6-4055-a9a8-bc5b6b5c7bcd.jpg","Фото")</f>
      </c>
    </row>
    <row r="1959">
      <c r="A1959" s="7">
        <f>HYPERLINK("http://www.lingerieopt.ru/item/7706-kruzhevnoi-komplekt-frivolla-s-dekorativnjm-kruzhevnjm-poyasom/","7706")</f>
      </c>
      <c r="B1959" s="8" t="s">
        <v>1953</v>
      </c>
      <c r="C1959" s="9">
        <v>1863</v>
      </c>
      <c r="D1959" s="0">
        <v>3</v>
      </c>
      <c r="E1959" s="10">
        <f>HYPERLINK("http://www.lingerieopt.ru/images/original/b5370b44-a7b6-4055-a9a8-bc5b6b5c7bcd.jpg","Фото")</f>
      </c>
    </row>
    <row r="1960">
      <c r="A1960" s="7">
        <f>HYPERLINK("http://www.lingerieopt.ru/item/7707-charuyuschii-komplekt-belya-merossa-s-nezhnjm-kruzhevom/","7707")</f>
      </c>
      <c r="B1960" s="8" t="s">
        <v>1954</v>
      </c>
      <c r="C1960" s="9">
        <v>1371</v>
      </c>
      <c r="D1960" s="0">
        <v>3</v>
      </c>
      <c r="E1960" s="10">
        <f>HYPERLINK("http://www.lingerieopt.ru/images/original/b56c75b0-8371-486a-a3c7-3dc82fe8b6e8.jpg","Фото")</f>
      </c>
    </row>
    <row r="1961">
      <c r="A1961" s="7">
        <f>HYPERLINK("http://www.lingerieopt.ru/item/7707-charuyuschii-komplekt-belya-merossa-s-nezhnjm-kruzhevom/","7707")</f>
      </c>
      <c r="B1961" s="8" t="s">
        <v>1955</v>
      </c>
      <c r="C1961" s="9">
        <v>1371</v>
      </c>
      <c r="D1961" s="0">
        <v>1</v>
      </c>
      <c r="E1961" s="10">
        <f>HYPERLINK("http://www.lingerieopt.ru/images/original/b56c75b0-8371-486a-a3c7-3dc82fe8b6e8.jpg","Фото")</f>
      </c>
    </row>
    <row r="1962">
      <c r="A1962" s="7">
        <f>HYPERLINK("http://www.lingerieopt.ru/item/7708-komplekt-belya-sinsita-pod-glyancevuyu-kozhu-s-cepyami/","7708")</f>
      </c>
      <c r="B1962" s="8" t="s">
        <v>1956</v>
      </c>
      <c r="C1962" s="9">
        <v>1828</v>
      </c>
      <c r="D1962" s="0">
        <v>2</v>
      </c>
      <c r="E1962" s="10">
        <f>HYPERLINK("http://www.lingerieopt.ru/images/original/ea20efb3-3827-4e0e-93c9-6ea9e80f441b.jpg","Фото")</f>
      </c>
    </row>
    <row r="1963">
      <c r="A1963" s="7">
        <f>HYPERLINK("http://www.lingerieopt.ru/item/7708-komplekt-belya-sinsita-pod-glyancevuyu-kozhu-s-cepyami/","7708")</f>
      </c>
      <c r="B1963" s="8" t="s">
        <v>1957</v>
      </c>
      <c r="C1963" s="9">
        <v>1828</v>
      </c>
      <c r="D1963" s="0">
        <v>0</v>
      </c>
      <c r="E1963" s="10">
        <f>HYPERLINK("http://www.lingerieopt.ru/images/original/ea20efb3-3827-4e0e-93c9-6ea9e80f441b.jpg","Фото")</f>
      </c>
    </row>
    <row r="1964">
      <c r="A1964" s="7">
        <f>HYPERLINK("http://www.lingerieopt.ru/item/7710-komplekt-gretia-s-poyasom-dlya-chulok-i-dekorativnjmi-elementami/","7710")</f>
      </c>
      <c r="B1964" s="8" t="s">
        <v>1958</v>
      </c>
      <c r="C1964" s="9">
        <v>1439</v>
      </c>
      <c r="D1964" s="0">
        <v>6</v>
      </c>
      <c r="E1964" s="10">
        <f>HYPERLINK("http://www.lingerieopt.ru/images/original/c3b910bc-c240-4c6b-b33e-0f1c8407570a.jpg","Фото")</f>
      </c>
    </row>
    <row r="1965">
      <c r="A1965" s="7">
        <f>HYPERLINK("http://www.lingerieopt.ru/item/7710-komplekt-gretia-s-poyasom-dlya-chulok-i-dekorativnjmi-elementami/","7710")</f>
      </c>
      <c r="B1965" s="8" t="s">
        <v>1959</v>
      </c>
      <c r="C1965" s="9">
        <v>1439</v>
      </c>
      <c r="D1965" s="0">
        <v>4</v>
      </c>
      <c r="E1965" s="10">
        <f>HYPERLINK("http://www.lingerieopt.ru/images/original/c3b910bc-c240-4c6b-b33e-0f1c8407570a.jpg","Фото")</f>
      </c>
    </row>
    <row r="1966">
      <c r="A1966" s="7">
        <f>HYPERLINK("http://www.lingerieopt.ru/item/7711-komplekt-moketta-s-kruzhevnoi-otorochkoi-lifa-i-poyasa/","7711")</f>
      </c>
      <c r="B1966" s="8" t="s">
        <v>1960</v>
      </c>
      <c r="C1966" s="9">
        <v>1439</v>
      </c>
      <c r="D1966" s="0">
        <v>2</v>
      </c>
      <c r="E1966" s="10">
        <f>HYPERLINK("http://www.lingerieopt.ru/images/original/7cc934cf-b75e-4d1d-a508-ffc73c62d6f1.jpg","Фото")</f>
      </c>
    </row>
    <row r="1967">
      <c r="A1967" s="7">
        <f>HYPERLINK("http://www.lingerieopt.ru/item/7711-komplekt-moketta-s-kruzhevnoi-otorochkoi-lifa-i-poyasa/","7711")</f>
      </c>
      <c r="B1967" s="8" t="s">
        <v>1961</v>
      </c>
      <c r="C1967" s="9">
        <v>1439</v>
      </c>
      <c r="D1967" s="0">
        <v>3</v>
      </c>
      <c r="E1967" s="10">
        <f>HYPERLINK("http://www.lingerieopt.ru/images/original/7cc934cf-b75e-4d1d-a508-ffc73c62d6f1.jpg","Фото")</f>
      </c>
    </row>
    <row r="1968">
      <c r="A1968" s="7">
        <f>HYPERLINK("http://www.lingerieopt.ru/item/7744-originalnji-komplekt-zhenskogo-belya-lif-s-pazhami-i-trusiki-stringi/","7744")</f>
      </c>
      <c r="B1968" s="8" t="s">
        <v>1962</v>
      </c>
      <c r="C1968" s="9">
        <v>1040</v>
      </c>
      <c r="D1968" s="0">
        <v>4</v>
      </c>
      <c r="E1968" s="10">
        <f>HYPERLINK("http://www.lingerieopt.ru/images/original/c04b8334-79eb-4f70-b8e3-13086dc0d7c2.jpg","Фото")</f>
      </c>
    </row>
    <row r="1969">
      <c r="A1969" s="7">
        <f>HYPERLINK("http://www.lingerieopt.ru/item/7898-effektnji-komplekt-belya-floweria-s-melkimi-cvetochkami-na-kruzheve/","7898")</f>
      </c>
      <c r="B1969" s="8" t="s">
        <v>1963</v>
      </c>
      <c r="C1969" s="9">
        <v>1824</v>
      </c>
      <c r="D1969" s="0">
        <v>1</v>
      </c>
      <c r="E1969" s="10">
        <f>HYPERLINK("http://www.lingerieopt.ru/images/original/c9bf3fba-8432-4ab3-9b8e-39d30c2d5334.jpg","Фото")</f>
      </c>
    </row>
    <row r="1970">
      <c r="A1970" s="7">
        <f>HYPERLINK("http://www.lingerieopt.ru/item/7898-effektnji-komplekt-belya-floweria-s-melkimi-cvetochkami-na-kruzheve/","7898")</f>
      </c>
      <c r="B1970" s="8" t="s">
        <v>1964</v>
      </c>
      <c r="C1970" s="9">
        <v>1824</v>
      </c>
      <c r="D1970" s="0">
        <v>1</v>
      </c>
      <c r="E1970" s="10">
        <f>HYPERLINK("http://www.lingerieopt.ru/images/original/c9bf3fba-8432-4ab3-9b8e-39d30c2d5334.jpg","Фото")</f>
      </c>
    </row>
    <row r="1971">
      <c r="A1971" s="7">
        <f>HYPERLINK("http://www.lingerieopt.ru/item/8194-komplekt-belya-alabastra-iz-trusikov-open-croatch-i-lifa-s-otkrjtjmi-chashkami/","8194")</f>
      </c>
      <c r="B1971" s="8" t="s">
        <v>1965</v>
      </c>
      <c r="C1971" s="9">
        <v>1346</v>
      </c>
      <c r="D1971" s="0">
        <v>3</v>
      </c>
      <c r="E1971" s="10">
        <f>HYPERLINK("http://www.lingerieopt.ru/images/original/9389d7f1-b6a6-4631-a983-e2194ccae237.jpg","Фото")</f>
      </c>
    </row>
    <row r="1972">
      <c r="A1972" s="7">
        <f>HYPERLINK("http://www.lingerieopt.ru/item/8194-komplekt-belya-alabastra-iz-trusikov-open-croatch-i-lifa-s-otkrjtjmi-chashkami/","8194")</f>
      </c>
      <c r="B1972" s="8" t="s">
        <v>1966</v>
      </c>
      <c r="C1972" s="9">
        <v>1346</v>
      </c>
      <c r="D1972" s="0">
        <v>4</v>
      </c>
      <c r="E1972" s="10">
        <f>HYPERLINK("http://www.lingerieopt.ru/images/original/9389d7f1-b6a6-4631-a983-e2194ccae237.jpg","Фото")</f>
      </c>
    </row>
    <row r="1973">
      <c r="A1973" s="7">
        <f>HYPERLINK("http://www.lingerieopt.ru/item/8315-komplekt-belya-prinzess-1-iz-strep-lent/","8315")</f>
      </c>
      <c r="B1973" s="8" t="s">
        <v>1967</v>
      </c>
      <c r="C1973" s="9">
        <v>1699</v>
      </c>
      <c r="D1973" s="0">
        <v>10</v>
      </c>
      <c r="E1973" s="10">
        <f>HYPERLINK("http://www.lingerieopt.ru/images/original/fab455f5-fd92-4488-bf7c-11628f574cb1.jpg","Фото")</f>
      </c>
    </row>
    <row r="1974">
      <c r="A1974" s="7">
        <f>HYPERLINK("http://www.lingerieopt.ru/item/8368-igrivji-komplekt-belya-show-me-iz-3-predmetov/","8368")</f>
      </c>
      <c r="B1974" s="8" t="s">
        <v>1968</v>
      </c>
      <c r="C1974" s="9">
        <v>1620</v>
      </c>
      <c r="D1974" s="0">
        <v>11</v>
      </c>
      <c r="E1974" s="10">
        <f>HYPERLINK("http://www.lingerieopt.ru/images/original/33a4fec6-e1ae-41f6-95d2-365bb3cb5945.jpg","Фото")</f>
      </c>
    </row>
    <row r="1975">
      <c r="A1975" s="7">
        <f>HYPERLINK("http://www.lingerieopt.ru/item/8368-igrivji-komplekt-belya-show-me-iz-3-predmetov/","8368")</f>
      </c>
      <c r="B1975" s="8" t="s">
        <v>1969</v>
      </c>
      <c r="C1975" s="9">
        <v>1620</v>
      </c>
      <c r="D1975" s="0">
        <v>4</v>
      </c>
      <c r="E1975" s="10">
        <f>HYPERLINK("http://www.lingerieopt.ru/images/original/33a4fec6-e1ae-41f6-95d2-365bb3cb5945.jpg","Фото")</f>
      </c>
    </row>
    <row r="1976">
      <c r="A1976" s="7">
        <f>HYPERLINK("http://www.lingerieopt.ru/item/8415-chuvstvennji-komplekt-belya-charmea-s-kruzhevom/","8415")</f>
      </c>
      <c r="B1976" s="8" t="s">
        <v>1970</v>
      </c>
      <c r="C1976" s="9">
        <v>1718</v>
      </c>
      <c r="D1976" s="0">
        <v>4</v>
      </c>
      <c r="E1976" s="10">
        <f>HYPERLINK("http://www.lingerieopt.ru/images/original/ca9c80b8-5e26-424f-b6c1-7cf10f329110.jpg","Фото")</f>
      </c>
    </row>
    <row r="1977">
      <c r="A1977" s="7">
        <f>HYPERLINK("http://www.lingerieopt.ru/item/8415-chuvstvennji-komplekt-belya-charmea-s-kruzhevom/","8415")</f>
      </c>
      <c r="B1977" s="8" t="s">
        <v>1971</v>
      </c>
      <c r="C1977" s="9">
        <v>1718</v>
      </c>
      <c r="D1977" s="0">
        <v>1</v>
      </c>
      <c r="E1977" s="10">
        <f>HYPERLINK("http://www.lingerieopt.ru/images/original/ca9c80b8-5e26-424f-b6c1-7cf10f329110.jpg","Фото")</f>
      </c>
    </row>
    <row r="1978">
      <c r="A1978" s="7">
        <f>HYPERLINK("http://www.lingerieopt.ru/item/8417-originalnji-komplekt-belya-lovica-iz-3-predmetov/","8417")</f>
      </c>
      <c r="B1978" s="8" t="s">
        <v>1972</v>
      </c>
      <c r="C1978" s="9">
        <v>2376</v>
      </c>
      <c r="D1978" s="0">
        <v>0</v>
      </c>
      <c r="E1978" s="10">
        <f>HYPERLINK("http://www.lingerieopt.ru/images/original/deb25d0d-930c-4645-b1b4-1c7908e15edf.jpg","Фото")</f>
      </c>
    </row>
    <row r="1979">
      <c r="A1979" s="7">
        <f>HYPERLINK("http://www.lingerieopt.ru/item/8417-originalnji-komplekt-belya-lovica-iz-3-predmetov/","8417")</f>
      </c>
      <c r="B1979" s="8" t="s">
        <v>1973</v>
      </c>
      <c r="C1979" s="9">
        <v>2376</v>
      </c>
      <c r="D1979" s="0">
        <v>5</v>
      </c>
      <c r="E1979" s="10">
        <f>HYPERLINK("http://www.lingerieopt.ru/images/original/deb25d0d-930c-4645-b1b4-1c7908e15edf.jpg","Фото")</f>
      </c>
    </row>
    <row r="1980">
      <c r="A1980" s="7">
        <f>HYPERLINK("http://www.lingerieopt.ru/item/8418-komplekt-belya-platinesa-s-kristallikami-cirkoniya/","8418")</f>
      </c>
      <c r="B1980" s="8" t="s">
        <v>1974</v>
      </c>
      <c r="C1980" s="9">
        <v>2659</v>
      </c>
      <c r="D1980" s="0">
        <v>0</v>
      </c>
      <c r="E1980" s="10">
        <f>HYPERLINK("http://www.lingerieopt.ru/images/original/a0cf4912-da47-46a0-97f3-2a1266e5e359.jpg","Фото")</f>
      </c>
    </row>
    <row r="1981">
      <c r="A1981" s="7">
        <f>HYPERLINK("http://www.lingerieopt.ru/item/8418-komplekt-belya-platinesa-s-kristallikami-cirkoniya/","8418")</f>
      </c>
      <c r="B1981" s="8" t="s">
        <v>1975</v>
      </c>
      <c r="C1981" s="9">
        <v>2659</v>
      </c>
      <c r="D1981" s="0">
        <v>4</v>
      </c>
      <c r="E1981" s="10">
        <f>HYPERLINK("http://www.lingerieopt.ru/images/original/a0cf4912-da47-46a0-97f3-2a1266e5e359.jpg","Фото")</f>
      </c>
    </row>
    <row r="1982">
      <c r="A1982" s="7">
        <f>HYPERLINK("http://www.lingerieopt.ru/item/8457-byustgalter-i-trusiki-mango-s-vstavkami-iz-straz/","8457")</f>
      </c>
      <c r="B1982" s="8" t="s">
        <v>1976</v>
      </c>
      <c r="C1982" s="9">
        <v>1383</v>
      </c>
      <c r="D1982" s="0">
        <v>5</v>
      </c>
      <c r="E1982" s="10">
        <f>HYPERLINK("http://www.lingerieopt.ru/images/original/3525e47e-a78e-459a-ac4c-a43134a9660d.jpg","Фото")</f>
      </c>
    </row>
    <row r="1983">
      <c r="A1983" s="7">
        <f>HYPERLINK("http://www.lingerieopt.ru/item/8457-byustgalter-i-trusiki-mango-s-vstavkami-iz-straz/","8457")</f>
      </c>
      <c r="B1983" s="8" t="s">
        <v>1977</v>
      </c>
      <c r="C1983" s="9">
        <v>1383</v>
      </c>
      <c r="D1983" s="0">
        <v>4</v>
      </c>
      <c r="E1983" s="10">
        <f>HYPERLINK("http://www.lingerieopt.ru/images/original/3525e47e-a78e-459a-ac4c-a43134a9660d.jpg","Фото")</f>
      </c>
    </row>
    <row r="1984">
      <c r="A1984" s="7">
        <f>HYPERLINK("http://www.lingerieopt.ru/item/8457-byustgalter-i-trusiki-mango-s-vstavkami-iz-straz/","8457")</f>
      </c>
      <c r="B1984" s="8" t="s">
        <v>1978</v>
      </c>
      <c r="C1984" s="9">
        <v>1383</v>
      </c>
      <c r="D1984" s="0">
        <v>5</v>
      </c>
      <c r="E1984" s="10">
        <f>HYPERLINK("http://www.lingerieopt.ru/images/original/3525e47e-a78e-459a-ac4c-a43134a9660d.jpg","Фото")</f>
      </c>
    </row>
    <row r="1985">
      <c r="A1985" s="7">
        <f>HYPERLINK("http://www.lingerieopt.ru/item/8457-byustgalter-i-trusiki-mango-s-vstavkami-iz-straz/","8457")</f>
      </c>
      <c r="B1985" s="8" t="s">
        <v>1979</v>
      </c>
      <c r="C1985" s="9">
        <v>1383</v>
      </c>
      <c r="D1985" s="0">
        <v>3</v>
      </c>
      <c r="E1985" s="10">
        <f>HYPERLINK("http://www.lingerieopt.ru/images/original/3525e47e-a78e-459a-ac4c-a43134a9660d.jpg","Фото")</f>
      </c>
    </row>
    <row r="1986">
      <c r="A1986" s="7">
        <f>HYPERLINK("http://www.lingerieopt.ru/item/8458-pikantnji-komplekt-belya-s-cepochkami/","8458")</f>
      </c>
      <c r="B1986" s="8" t="s">
        <v>1980</v>
      </c>
      <c r="C1986" s="9">
        <v>1585</v>
      </c>
      <c r="D1986" s="0">
        <v>10</v>
      </c>
      <c r="E1986" s="10">
        <f>HYPERLINK("http://www.lingerieopt.ru/images/original/b9b225bc-5cd7-4745-822c-6817cbc1b0f9.jpg","Фото")</f>
      </c>
    </row>
    <row r="1987">
      <c r="A1987" s="7">
        <f>HYPERLINK("http://www.lingerieopt.ru/item/8482-konturnji-komplekt-belya-princess-3/","8482")</f>
      </c>
      <c r="B1987" s="8" t="s">
        <v>1981</v>
      </c>
      <c r="C1987" s="9">
        <v>2017</v>
      </c>
      <c r="D1987" s="0">
        <v>3</v>
      </c>
      <c r="E1987" s="10">
        <f>HYPERLINK("http://www.lingerieopt.ru/images/original/c678682e-ba85-4ae3-bfd1-3d98c64a1faf.jpg","Фото")</f>
      </c>
    </row>
    <row r="1988">
      <c r="A1988" s="7">
        <f>HYPERLINK("http://www.lingerieopt.ru/item/8496-komplekt-belya-coctail-bikini-s-pikantnjmi-vjrezami/","8496")</f>
      </c>
      <c r="B1988" s="8" t="s">
        <v>1982</v>
      </c>
      <c r="C1988" s="9">
        <v>1299</v>
      </c>
      <c r="D1988" s="0">
        <v>7</v>
      </c>
      <c r="E1988" s="10">
        <f>HYPERLINK("http://www.lingerieopt.ru/images/original/cf98bdcc-365d-4df7-b930-e39ae83c0e39.jpg","Фото")</f>
      </c>
    </row>
    <row r="1989">
      <c r="A1989" s="7">
        <f>HYPERLINK("http://www.lingerieopt.ru/item/8496-komplekt-belya-coctail-bikini-s-pikantnjmi-vjrezami/","8496")</f>
      </c>
      <c r="B1989" s="8" t="s">
        <v>1983</v>
      </c>
      <c r="C1989" s="9">
        <v>1299</v>
      </c>
      <c r="D1989" s="0">
        <v>7</v>
      </c>
      <c r="E1989" s="10">
        <f>HYPERLINK("http://www.lingerieopt.ru/images/original/cf98bdcc-365d-4df7-b930-e39ae83c0e39.jpg","Фото")</f>
      </c>
    </row>
    <row r="1990">
      <c r="A1990" s="7">
        <f>HYPERLINK("http://www.lingerieopt.ru/item/8497-komplekt-belya-lexine-iz-2-predmetov/","8497")</f>
      </c>
      <c r="B1990" s="8" t="s">
        <v>1984</v>
      </c>
      <c r="C1990" s="9">
        <v>1299</v>
      </c>
      <c r="D1990" s="0">
        <v>6</v>
      </c>
      <c r="E1990" s="10">
        <f>HYPERLINK("http://www.lingerieopt.ru/images/original/92a22bd2-986e-45ab-8d6a-9212c89a8fdf.jpg","Фото")</f>
      </c>
    </row>
    <row r="1991">
      <c r="A1991" s="7">
        <f>HYPERLINK("http://www.lingerieopt.ru/item/8497-komplekt-belya-lexine-iz-2-predmetov/","8497")</f>
      </c>
      <c r="B1991" s="8" t="s">
        <v>1985</v>
      </c>
      <c r="C1991" s="9">
        <v>1299</v>
      </c>
      <c r="D1991" s="0">
        <v>3</v>
      </c>
      <c r="E1991" s="10">
        <f>HYPERLINK("http://www.lingerieopt.ru/images/original/92a22bd2-986e-45ab-8d6a-9212c89a8fdf.jpg","Фото")</f>
      </c>
    </row>
    <row r="1992">
      <c r="A1992" s="7">
        <f>HYPERLINK("http://www.lingerieopt.ru/item/8498-stilnji-komplekt-belya-blake/","8498")</f>
      </c>
      <c r="B1992" s="8" t="s">
        <v>1986</v>
      </c>
      <c r="C1992" s="9">
        <v>1299</v>
      </c>
      <c r="D1992" s="0">
        <v>4</v>
      </c>
      <c r="E1992" s="10">
        <f>HYPERLINK("http://www.lingerieopt.ru/images/original/1d8543f2-72d5-4802-ae09-3941eb29851e.jpg","Фото")</f>
      </c>
    </row>
    <row r="1993">
      <c r="A1993" s="7">
        <f>HYPERLINK("http://www.lingerieopt.ru/item/8498-stilnji-komplekt-belya-blake/","8498")</f>
      </c>
      <c r="B1993" s="8" t="s">
        <v>1987</v>
      </c>
      <c r="C1993" s="9">
        <v>1299</v>
      </c>
      <c r="D1993" s="0">
        <v>0</v>
      </c>
      <c r="E1993" s="10">
        <f>HYPERLINK("http://www.lingerieopt.ru/images/original/1d8543f2-72d5-4802-ae09-3941eb29851e.jpg","Фото")</f>
      </c>
    </row>
    <row r="1994">
      <c r="A1994" s="7">
        <f>HYPERLINK("http://www.lingerieopt.ru/item/8499-originalnji-komplekt-belya-canne/","8499")</f>
      </c>
      <c r="B1994" s="8" t="s">
        <v>1988</v>
      </c>
      <c r="C1994" s="9">
        <v>1299</v>
      </c>
      <c r="D1994" s="0">
        <v>0</v>
      </c>
      <c r="E1994" s="10">
        <f>HYPERLINK("http://www.lingerieopt.ru/images/original/aa3fc8ee-e799-4b5f-8356-2f27f8443d4d.jpg","Фото")</f>
      </c>
    </row>
    <row r="1995">
      <c r="A1995" s="7">
        <f>HYPERLINK("http://www.lingerieopt.ru/item/8499-originalnji-komplekt-belya-canne/","8499")</f>
      </c>
      <c r="B1995" s="8" t="s">
        <v>1989</v>
      </c>
      <c r="C1995" s="9">
        <v>1299</v>
      </c>
      <c r="D1995" s="0">
        <v>5</v>
      </c>
      <c r="E1995" s="10">
        <f>HYPERLINK("http://www.lingerieopt.ru/images/original/aa3fc8ee-e799-4b5f-8356-2f27f8443d4d.jpg","Фото")</f>
      </c>
    </row>
    <row r="1996">
      <c r="A1996" s="7">
        <f>HYPERLINK("http://www.lingerieopt.ru/item/8500-igrivji-komplekt-belya-ramona-so-shnurovkami/","8500")</f>
      </c>
      <c r="B1996" s="8" t="s">
        <v>1990</v>
      </c>
      <c r="C1996" s="9">
        <v>1299</v>
      </c>
      <c r="D1996" s="0">
        <v>0</v>
      </c>
      <c r="E1996" s="10">
        <f>HYPERLINK("http://www.lingerieopt.ru/images/original/1dcd6ff0-7f7c-424d-87b5-60cb4aa739bc.jpg","Фото")</f>
      </c>
    </row>
    <row r="1997">
      <c r="A1997" s="7">
        <f>HYPERLINK("http://www.lingerieopt.ru/item/8500-igrivji-komplekt-belya-ramona-so-shnurovkami/","8500")</f>
      </c>
      <c r="B1997" s="8" t="s">
        <v>1991</v>
      </c>
      <c r="C1997" s="9">
        <v>1299</v>
      </c>
      <c r="D1997" s="0">
        <v>3</v>
      </c>
      <c r="E1997" s="10">
        <f>HYPERLINK("http://www.lingerieopt.ru/images/original/1dcd6ff0-7f7c-424d-87b5-60cb4aa739bc.jpg","Фото")</f>
      </c>
    </row>
    <row r="1998">
      <c r="A1998" s="7">
        <f>HYPERLINK("http://www.lingerieopt.ru/item/8501-komplekt-belya-expression-lif-yubka-i-trusiki-stringi/","8501")</f>
      </c>
      <c r="B1998" s="8" t="s">
        <v>1992</v>
      </c>
      <c r="C1998" s="9">
        <v>1299</v>
      </c>
      <c r="D1998" s="0">
        <v>4</v>
      </c>
      <c r="E1998" s="10">
        <f>HYPERLINK("http://www.lingerieopt.ru/images/original/e60ecc56-55c1-436f-b731-8c4e27bdc55d.jpg","Фото")</f>
      </c>
    </row>
    <row r="1999">
      <c r="A1999" s="7">
        <f>HYPERLINK("http://www.lingerieopt.ru/item/8501-komplekt-belya-expression-lif-yubka-i-trusiki-stringi/","8501")</f>
      </c>
      <c r="B1999" s="8" t="s">
        <v>1993</v>
      </c>
      <c r="C1999" s="9">
        <v>1299</v>
      </c>
      <c r="D1999" s="0">
        <v>5</v>
      </c>
      <c r="E1999" s="10">
        <f>HYPERLINK("http://www.lingerieopt.ru/images/original/e60ecc56-55c1-436f-b731-8c4e27bdc55d.jpg","Фото")</f>
      </c>
    </row>
    <row r="2000">
      <c r="A2000" s="7">
        <f>HYPERLINK("http://www.lingerieopt.ru/item/8502-nezhnji-komplekt-belya-ofelia-s-poluotkrjtoi-grudyu/","8502")</f>
      </c>
      <c r="B2000" s="8" t="s">
        <v>1994</v>
      </c>
      <c r="C2000" s="9">
        <v>1299</v>
      </c>
      <c r="D2000" s="0">
        <v>4</v>
      </c>
      <c r="E2000" s="10">
        <f>HYPERLINK("http://www.lingerieopt.ru/images/original/b3993c6d-c72e-4197-962f-61a0bae520a6.jpg","Фото")</f>
      </c>
    </row>
    <row r="2001">
      <c r="A2001" s="7">
        <f>HYPERLINK("http://www.lingerieopt.ru/item/8502-nezhnji-komplekt-belya-ofelia-s-poluotkrjtoi-grudyu/","8502")</f>
      </c>
      <c r="B2001" s="8" t="s">
        <v>1995</v>
      </c>
      <c r="C2001" s="9">
        <v>1299</v>
      </c>
      <c r="D2001" s="0">
        <v>4</v>
      </c>
      <c r="E2001" s="10">
        <f>HYPERLINK("http://www.lingerieopt.ru/images/original/b3993c6d-c72e-4197-962f-61a0bae520a6.jpg","Фото")</f>
      </c>
    </row>
    <row r="2002">
      <c r="A2002" s="7">
        <f>HYPERLINK("http://www.lingerieopt.ru/item/8557-kruzhevnoi-komplekt-zhenskogo-belya-menei/","8557")</f>
      </c>
      <c r="B2002" s="8" t="s">
        <v>1996</v>
      </c>
      <c r="C2002" s="9">
        <v>2050</v>
      </c>
      <c r="D2002" s="0">
        <v>4</v>
      </c>
      <c r="E2002" s="10">
        <f>HYPERLINK("http://www.lingerieopt.ru/images/original/82ac5cbf-47ac-4139-aeeb-949cdc7df46a.jpg","Фото")</f>
      </c>
    </row>
    <row r="2003">
      <c r="A2003" s="7">
        <f>HYPERLINK("http://www.lingerieopt.ru/item/8557-kruzhevnoi-komplekt-zhenskogo-belya-menei/","8557")</f>
      </c>
      <c r="B2003" s="8" t="s">
        <v>1997</v>
      </c>
      <c r="C2003" s="9">
        <v>2050</v>
      </c>
      <c r="D2003" s="0">
        <v>5</v>
      </c>
      <c r="E2003" s="10">
        <f>HYPERLINK("http://www.lingerieopt.ru/images/original/82ac5cbf-47ac-4139-aeeb-949cdc7df46a.jpg","Фото")</f>
      </c>
    </row>
    <row r="2004">
      <c r="A2004" s="7">
        <f>HYPERLINK("http://www.lingerieopt.ru/item/8557-kruzhevnoi-komplekt-zhenskogo-belya-menei/","8557")</f>
      </c>
      <c r="B2004" s="8" t="s">
        <v>1998</v>
      </c>
      <c r="C2004" s="9">
        <v>2050</v>
      </c>
      <c r="D2004" s="0">
        <v>3</v>
      </c>
      <c r="E2004" s="10">
        <f>HYPERLINK("http://www.lingerieopt.ru/images/original/82ac5cbf-47ac-4139-aeeb-949cdc7df46a.jpg","Фото")</f>
      </c>
    </row>
    <row r="2005">
      <c r="A2005" s="7">
        <f>HYPERLINK("http://www.lingerieopt.ru/item/8557-kruzhevnoi-komplekt-zhenskogo-belya-menei/","8557")</f>
      </c>
      <c r="B2005" s="8" t="s">
        <v>1999</v>
      </c>
      <c r="C2005" s="9">
        <v>2050</v>
      </c>
      <c r="D2005" s="0">
        <v>5</v>
      </c>
      <c r="E2005" s="10">
        <f>HYPERLINK("http://www.lingerieopt.ru/images/original/82ac5cbf-47ac-4139-aeeb-949cdc7df46a.jpg","Фото")</f>
      </c>
    </row>
    <row r="2006">
      <c r="A2006" s="7">
        <f>HYPERLINK("http://www.lingerieopt.ru/item/8625-igrivji-komplekt-nizhnego-belya-iralin-s-cvetochnjm-risunkom-na-trusikah/","8625")</f>
      </c>
      <c r="B2006" s="8" t="s">
        <v>2000</v>
      </c>
      <c r="C2006" s="9">
        <v>1894</v>
      </c>
      <c r="D2006" s="0">
        <v>4</v>
      </c>
      <c r="E2006" s="10">
        <f>HYPERLINK("http://www.lingerieopt.ru/images/original/c00d77e7-ee61-4889-9401-cdeff70b9f12.jpg","Фото")</f>
      </c>
    </row>
    <row r="2007">
      <c r="A2007" s="7">
        <f>HYPERLINK("http://www.lingerieopt.ru/item/8625-igrivji-komplekt-nizhnego-belya-iralin-s-cvetochnjm-risunkom-na-trusikah/","8625")</f>
      </c>
      <c r="B2007" s="8" t="s">
        <v>2001</v>
      </c>
      <c r="C2007" s="9">
        <v>1894</v>
      </c>
      <c r="D2007" s="0">
        <v>2</v>
      </c>
      <c r="E2007" s="10">
        <f>HYPERLINK("http://www.lingerieopt.ru/images/original/c00d77e7-ee61-4889-9401-cdeff70b9f12.jpg","Фото")</f>
      </c>
    </row>
    <row r="2008">
      <c r="A2008" s="7">
        <f>HYPERLINK("http://www.lingerieopt.ru/item/8625-igrivji-komplekt-nizhnego-belya-iralin-s-cvetochnjm-risunkom-na-trusikah/","8625")</f>
      </c>
      <c r="B2008" s="8" t="s">
        <v>2002</v>
      </c>
      <c r="C2008" s="9">
        <v>1894</v>
      </c>
      <c r="D2008" s="0">
        <v>9</v>
      </c>
      <c r="E2008" s="10">
        <f>HYPERLINK("http://www.lingerieopt.ru/images/original/c00d77e7-ee61-4889-9401-cdeff70b9f12.jpg","Фото")</f>
      </c>
    </row>
    <row r="2009">
      <c r="A2009" s="7">
        <f>HYPERLINK("http://www.lingerieopt.ru/item/8625-igrivji-komplekt-nizhnego-belya-iralin-s-cvetochnjm-risunkom-na-trusikah/","8625")</f>
      </c>
      <c r="B2009" s="8" t="s">
        <v>2003</v>
      </c>
      <c r="C2009" s="9">
        <v>1894</v>
      </c>
      <c r="D2009" s="0">
        <v>0</v>
      </c>
      <c r="E2009" s="10">
        <f>HYPERLINK("http://www.lingerieopt.ru/images/original/c00d77e7-ee61-4889-9401-cdeff70b9f12.jpg","Фото")</f>
      </c>
    </row>
    <row r="2010">
      <c r="A2010" s="7">
        <f>HYPERLINK("http://www.lingerieopt.ru/item/8636-izjskannji-komplekt-belya-sveti-iz-2-predmetov/","8636")</f>
      </c>
      <c r="B2010" s="8" t="s">
        <v>2004</v>
      </c>
      <c r="C2010" s="9">
        <v>1253</v>
      </c>
      <c r="D2010" s="0">
        <v>2</v>
      </c>
      <c r="E2010" s="10">
        <f>HYPERLINK("http://www.lingerieopt.ru/images/original/273a6f60-1cb6-4cae-928c-2df46b85d252.jpg","Фото")</f>
      </c>
    </row>
    <row r="2011">
      <c r="A2011" s="7">
        <f>HYPERLINK("http://www.lingerieopt.ru/item/8637-chuvstvennji-komplekt-belya-sveti-iz-3-predmetov/","8637")</f>
      </c>
      <c r="B2011" s="8" t="s">
        <v>2005</v>
      </c>
      <c r="C2011" s="9">
        <v>3180</v>
      </c>
      <c r="D2011" s="0">
        <v>1</v>
      </c>
      <c r="E2011" s="10">
        <f>HYPERLINK("http://www.lingerieopt.ru/images/original/0ad60ac0-a49f-4dd2-a42b-8814a6e5e382.jpg","Фото")</f>
      </c>
    </row>
    <row r="2012">
      <c r="A2012" s="7">
        <f>HYPERLINK("http://www.lingerieopt.ru/item/8637-chuvstvennji-komplekt-belya-sveti-iz-3-predmetov/","8637")</f>
      </c>
      <c r="B2012" s="8" t="s">
        <v>2006</v>
      </c>
      <c r="C2012" s="9">
        <v>3180</v>
      </c>
      <c r="D2012" s="0">
        <v>2</v>
      </c>
      <c r="E2012" s="10">
        <f>HYPERLINK("http://www.lingerieopt.ru/images/original/0ad60ac0-a49f-4dd2-a42b-8814a6e5e382.jpg","Фото")</f>
      </c>
    </row>
    <row r="2013">
      <c r="A2013" s="7">
        <f>HYPERLINK("http://www.lingerieopt.ru/item/8637-chuvstvennji-komplekt-belya-sveti-iz-3-predmetov/","8637")</f>
      </c>
      <c r="B2013" s="8" t="s">
        <v>2007</v>
      </c>
      <c r="C2013" s="9">
        <v>3180</v>
      </c>
      <c r="D2013" s="0">
        <v>1</v>
      </c>
      <c r="E2013" s="10">
        <f>HYPERLINK("http://www.lingerieopt.ru/images/original/0ad60ac0-a49f-4dd2-a42b-8814a6e5e382.jpg","Фото")</f>
      </c>
    </row>
    <row r="2014">
      <c r="A2014" s="7">
        <f>HYPERLINK("http://www.lingerieopt.ru/item/8646-komplekt-zhenskogo-belya-aquilo-iz-3-predmetov/","8646")</f>
      </c>
      <c r="B2014" s="8" t="s">
        <v>2008</v>
      </c>
      <c r="C2014" s="9">
        <v>1993</v>
      </c>
      <c r="D2014" s="0">
        <v>0</v>
      </c>
      <c r="E2014" s="10">
        <f>HYPERLINK("http://www.lingerieopt.ru/images/original/43fb865c-ae03-4284-9af7-dfed0278a341.jpg","Фото")</f>
      </c>
    </row>
    <row r="2015">
      <c r="A2015" s="7">
        <f>HYPERLINK("http://www.lingerieopt.ru/item/8646-komplekt-zhenskogo-belya-aquilo-iz-3-predmetov/","8646")</f>
      </c>
      <c r="B2015" s="8" t="s">
        <v>2009</v>
      </c>
      <c r="C2015" s="9">
        <v>1993</v>
      </c>
      <c r="D2015" s="0">
        <v>3</v>
      </c>
      <c r="E2015" s="10">
        <f>HYPERLINK("http://www.lingerieopt.ru/images/original/43fb865c-ae03-4284-9af7-dfed0278a341.jpg","Фото")</f>
      </c>
    </row>
    <row r="2016">
      <c r="A2016" s="7">
        <f>HYPERLINK("http://www.lingerieopt.ru/item/8646-komplekt-zhenskogo-belya-aquilo-iz-3-predmetov/","8646")</f>
      </c>
      <c r="B2016" s="8" t="s">
        <v>2010</v>
      </c>
      <c r="C2016" s="9">
        <v>1993</v>
      </c>
      <c r="D2016" s="0">
        <v>3</v>
      </c>
      <c r="E2016" s="10">
        <f>HYPERLINK("http://www.lingerieopt.ru/images/original/43fb865c-ae03-4284-9af7-dfed0278a341.jpg","Фото")</f>
      </c>
    </row>
    <row r="2017">
      <c r="A2017" s="7">
        <f>HYPERLINK("http://www.lingerieopt.ru/item/8646-komplekt-zhenskogo-belya-aquilo-iz-3-predmetov/","8646")</f>
      </c>
      <c r="B2017" s="8" t="s">
        <v>2011</v>
      </c>
      <c r="C2017" s="9">
        <v>1993</v>
      </c>
      <c r="D2017" s="0">
        <v>3</v>
      </c>
      <c r="E2017" s="10">
        <f>HYPERLINK("http://www.lingerieopt.ru/images/original/43fb865c-ae03-4284-9af7-dfed0278a341.jpg","Фото")</f>
      </c>
    </row>
    <row r="2018">
      <c r="A2018" s="7">
        <f>HYPERLINK("http://www.lingerieopt.ru/item/8677-pikantnji-komplekt-belya-vicky-s-otkrjtoi-grudyu-i-vjrezom-na-pope/","8677")</f>
      </c>
      <c r="B2018" s="8" t="s">
        <v>2012</v>
      </c>
      <c r="C2018" s="9">
        <v>1299</v>
      </c>
      <c r="D2018" s="0">
        <v>2</v>
      </c>
      <c r="E2018" s="10">
        <f>HYPERLINK("http://www.lingerieopt.ru/images/original/9a395b50-0e27-4418-8876-fe2319faf950.jpg","Фото")</f>
      </c>
    </row>
    <row r="2019">
      <c r="A2019" s="7">
        <f>HYPERLINK("http://www.lingerieopt.ru/item/8677-pikantnji-komplekt-belya-vicky-s-otkrjtoi-grudyu-i-vjrezom-na-pope/","8677")</f>
      </c>
      <c r="B2019" s="8" t="s">
        <v>2013</v>
      </c>
      <c r="C2019" s="9">
        <v>1299</v>
      </c>
      <c r="D2019" s="0">
        <v>1</v>
      </c>
      <c r="E2019" s="10">
        <f>HYPERLINK("http://www.lingerieopt.ru/images/original/9a395b50-0e27-4418-8876-fe2319faf950.jpg","Фото")</f>
      </c>
    </row>
    <row r="2020">
      <c r="A2020" s="7">
        <f>HYPERLINK("http://www.lingerieopt.ru/item/8687-ekstra-smelji-komplekt-belya-afrodita/","8687")</f>
      </c>
      <c r="B2020" s="8" t="s">
        <v>2014</v>
      </c>
      <c r="C2020" s="9">
        <v>1075</v>
      </c>
      <c r="D2020" s="0">
        <v>0</v>
      </c>
      <c r="E2020" s="10">
        <f>HYPERLINK("http://www.lingerieopt.ru/images/original/345557ee-08b8-4166-8a12-84d88345ad74.jpg","Фото")</f>
      </c>
    </row>
    <row r="2021">
      <c r="A2021" s="7">
        <f>HYPERLINK("http://www.lingerieopt.ru/item/8687-ekstra-smelji-komplekt-belya-afrodita/","8687")</f>
      </c>
      <c r="B2021" s="8" t="s">
        <v>2015</v>
      </c>
      <c r="C2021" s="9">
        <v>1075</v>
      </c>
      <c r="D2021" s="0">
        <v>1</v>
      </c>
      <c r="E2021" s="10">
        <f>HYPERLINK("http://www.lingerieopt.ru/images/original/345557ee-08b8-4166-8a12-84d88345ad74.jpg","Фото")</f>
      </c>
    </row>
    <row r="2022">
      <c r="A2022" s="7">
        <f>HYPERLINK("http://www.lingerieopt.ru/item/8687-ekstra-smelji-komplekt-belya-afrodita/","8687")</f>
      </c>
      <c r="B2022" s="8" t="s">
        <v>2016</v>
      </c>
      <c r="C2022" s="9">
        <v>1075</v>
      </c>
      <c r="D2022" s="0">
        <v>0</v>
      </c>
      <c r="E2022" s="10">
        <f>HYPERLINK("http://www.lingerieopt.ru/images/original/345557ee-08b8-4166-8a12-84d88345ad74.jpg","Фото")</f>
      </c>
    </row>
    <row r="2023">
      <c r="A2023" s="7">
        <f>HYPERLINK("http://www.lingerieopt.ru/item/8687-ekstra-smelji-komplekt-belya-afrodita/","8687")</f>
      </c>
      <c r="B2023" s="8" t="s">
        <v>2017</v>
      </c>
      <c r="C2023" s="9">
        <v>1075</v>
      </c>
      <c r="D2023" s="0">
        <v>4</v>
      </c>
      <c r="E2023" s="10">
        <f>HYPERLINK("http://www.lingerieopt.ru/images/original/345557ee-08b8-4166-8a12-84d88345ad74.jpg","Фото")</f>
      </c>
    </row>
    <row r="2024">
      <c r="A2024" s="7">
        <f>HYPERLINK("http://www.lingerieopt.ru/item/8689-chuvstvennji-kruzhevnoi-komplekt-nizhnego-belya-iz-3-predmetov/","8689")</f>
      </c>
      <c r="B2024" s="8" t="s">
        <v>2018</v>
      </c>
      <c r="C2024" s="9">
        <v>2332</v>
      </c>
      <c r="D2024" s="0">
        <v>8</v>
      </c>
      <c r="E2024" s="10">
        <f>HYPERLINK("http://www.lingerieopt.ru/images/original/f2a4c5e7-6b22-4c18-8814-1088400e346e.jpg","Фото")</f>
      </c>
    </row>
    <row r="2025">
      <c r="A2025" s="7">
        <f>HYPERLINK("http://www.lingerieopt.ru/item/8689-chuvstvennji-kruzhevnoi-komplekt-nizhnego-belya-iz-3-predmetov/","8689")</f>
      </c>
      <c r="B2025" s="8" t="s">
        <v>2019</v>
      </c>
      <c r="C2025" s="9">
        <v>2332</v>
      </c>
      <c r="D2025" s="0">
        <v>14</v>
      </c>
      <c r="E2025" s="10">
        <f>HYPERLINK("http://www.lingerieopt.ru/images/original/f2a4c5e7-6b22-4c18-8814-1088400e346e.jpg","Фото")</f>
      </c>
    </row>
    <row r="2026">
      <c r="A2026" s="7">
        <f>HYPERLINK("http://www.lingerieopt.ru/item/8689-chuvstvennji-kruzhevnoi-komplekt-nizhnego-belya-iz-3-predmetov/","8689")</f>
      </c>
      <c r="B2026" s="8" t="s">
        <v>2020</v>
      </c>
      <c r="C2026" s="9">
        <v>2332</v>
      </c>
      <c r="D2026" s="0">
        <v>2</v>
      </c>
      <c r="E2026" s="10">
        <f>HYPERLINK("http://www.lingerieopt.ru/images/original/f2a4c5e7-6b22-4c18-8814-1088400e346e.jpg","Фото")</f>
      </c>
    </row>
    <row r="2027">
      <c r="A2027" s="7">
        <f>HYPERLINK("http://www.lingerieopt.ru/item/8689-chuvstvennji-kruzhevnoi-komplekt-nizhnego-belya-iz-3-predmetov/","8689")</f>
      </c>
      <c r="B2027" s="8" t="s">
        <v>2021</v>
      </c>
      <c r="C2027" s="9">
        <v>2332</v>
      </c>
      <c r="D2027" s="0">
        <v>3</v>
      </c>
      <c r="E2027" s="10">
        <f>HYPERLINK("http://www.lingerieopt.ru/images/original/f2a4c5e7-6b22-4c18-8814-1088400e346e.jpg","Фото")</f>
      </c>
    </row>
    <row r="2028">
      <c r="A2028" s="7">
        <f>HYPERLINK("http://www.lingerieopt.ru/item/8779-komplekt-belya-montana-s-cvetochnjm-printom/","8779")</f>
      </c>
      <c r="B2028" s="8" t="s">
        <v>2022</v>
      </c>
      <c r="C2028" s="9">
        <v>1782</v>
      </c>
      <c r="D2028" s="0">
        <v>3</v>
      </c>
      <c r="E2028" s="10">
        <f>HYPERLINK("http://www.lingerieopt.ru/images/original/f1f29db1-2138-440d-b1cd-45a446707b05.jpg","Фото")</f>
      </c>
    </row>
    <row r="2029">
      <c r="A2029" s="7">
        <f>HYPERLINK("http://www.lingerieopt.ru/item/8779-komplekt-belya-montana-s-cvetochnjm-printom/","8779")</f>
      </c>
      <c r="B2029" s="8" t="s">
        <v>2023</v>
      </c>
      <c r="C2029" s="9">
        <v>1782</v>
      </c>
      <c r="D2029" s="0">
        <v>1</v>
      </c>
      <c r="E2029" s="10">
        <f>HYPERLINK("http://www.lingerieopt.ru/images/original/f1f29db1-2138-440d-b1cd-45a446707b05.jpg","Фото")</f>
      </c>
    </row>
    <row r="2030">
      <c r="A2030" s="7">
        <f>HYPERLINK("http://www.lingerieopt.ru/item/8792-komplekt-belya-suelo-s-kontrastnjm-kruzhevom/","8792")</f>
      </c>
      <c r="B2030" s="8" t="s">
        <v>2024</v>
      </c>
      <c r="C2030" s="9">
        <v>1932</v>
      </c>
      <c r="D2030" s="0">
        <v>2</v>
      </c>
      <c r="E2030" s="10">
        <f>HYPERLINK("http://www.lingerieopt.ru/images/original/df63d8ea-25ae-4307-9160-9d69ccd1d0cb.jpg","Фото")</f>
      </c>
    </row>
    <row r="2031">
      <c r="A2031" s="7">
        <f>HYPERLINK("http://www.lingerieopt.ru/item/8792-komplekt-belya-suelo-s-kontrastnjm-kruzhevom/","8792")</f>
      </c>
      <c r="B2031" s="8" t="s">
        <v>2025</v>
      </c>
      <c r="C2031" s="9">
        <v>1932</v>
      </c>
      <c r="D2031" s="0">
        <v>3</v>
      </c>
      <c r="E2031" s="10">
        <f>HYPERLINK("http://www.lingerieopt.ru/images/original/df63d8ea-25ae-4307-9160-9d69ccd1d0cb.jpg","Фото")</f>
      </c>
    </row>
    <row r="2032">
      <c r="A2032" s="7">
        <f>HYPERLINK("http://www.lingerieopt.ru/item/8794-otkrovennji-kruzhevnoi-komplekt-belya-algie/","8794")</f>
      </c>
      <c r="B2032" s="8" t="s">
        <v>2026</v>
      </c>
      <c r="C2032" s="9">
        <v>1383</v>
      </c>
      <c r="D2032" s="0">
        <v>3</v>
      </c>
      <c r="E2032" s="10">
        <f>HYPERLINK("http://www.lingerieopt.ru/images/original/5735204e-e049-48b2-b2bf-28dcd25f517c.jpg","Фото")</f>
      </c>
    </row>
    <row r="2033">
      <c r="A2033" s="7">
        <f>HYPERLINK("http://www.lingerieopt.ru/item/8794-otkrovennji-kruzhevnoi-komplekt-belya-algie/","8794")</f>
      </c>
      <c r="B2033" s="8" t="s">
        <v>2027</v>
      </c>
      <c r="C2033" s="9">
        <v>1383</v>
      </c>
      <c r="D2033" s="0">
        <v>8</v>
      </c>
      <c r="E2033" s="10">
        <f>HYPERLINK("http://www.lingerieopt.ru/images/original/5735204e-e049-48b2-b2bf-28dcd25f517c.jpg","Фото")</f>
      </c>
    </row>
    <row r="2034">
      <c r="A2034" s="7">
        <f>HYPERLINK("http://www.lingerieopt.ru/item/8794-otkrovennji-kruzhevnoi-komplekt-belya-algie/","8794")</f>
      </c>
      <c r="B2034" s="8" t="s">
        <v>2028</v>
      </c>
      <c r="C2034" s="9">
        <v>1383</v>
      </c>
      <c r="D2034" s="0">
        <v>8</v>
      </c>
      <c r="E2034" s="10">
        <f>HYPERLINK("http://www.lingerieopt.ru/images/original/5735204e-e049-48b2-b2bf-28dcd25f517c.jpg","Фото")</f>
      </c>
    </row>
    <row r="2035">
      <c r="A2035" s="7">
        <f>HYPERLINK("http://www.lingerieopt.ru/item/8795-igrivji-komplekt-belya-melissa-so-shnurovkami/","8795")</f>
      </c>
      <c r="B2035" s="8" t="s">
        <v>2029</v>
      </c>
      <c r="C2035" s="9">
        <v>1276</v>
      </c>
      <c r="D2035" s="0">
        <v>1</v>
      </c>
      <c r="E2035" s="10">
        <f>HYPERLINK("http://www.lingerieopt.ru/images/original/f2c604fa-9d01-4b2d-aece-78544ce897aa.jpg","Фото")</f>
      </c>
    </row>
    <row r="2036">
      <c r="A2036" s="7">
        <f>HYPERLINK("http://www.lingerieopt.ru/item/8795-igrivji-komplekt-belya-melissa-so-shnurovkami/","8795")</f>
      </c>
      <c r="B2036" s="8" t="s">
        <v>2030</v>
      </c>
      <c r="C2036" s="9">
        <v>1276</v>
      </c>
      <c r="D2036" s="0">
        <v>2</v>
      </c>
      <c r="E2036" s="10">
        <f>HYPERLINK("http://www.lingerieopt.ru/images/original/f2c604fa-9d01-4b2d-aece-78544ce897aa.jpg","Фото")</f>
      </c>
    </row>
    <row r="2037">
      <c r="A2037" s="7">
        <f>HYPERLINK("http://www.lingerieopt.ru/item/8806-elegantnji-komplekt-belya-petra/","8806")</f>
      </c>
      <c r="B2037" s="8" t="s">
        <v>2031</v>
      </c>
      <c r="C2037" s="9">
        <v>1886</v>
      </c>
      <c r="D2037" s="0">
        <v>3</v>
      </c>
      <c r="E2037" s="10">
        <f>HYPERLINK("http://www.lingerieopt.ru/images/original/96dabe23-f83d-4411-aef8-684cf4514d72.jpg","Фото")</f>
      </c>
    </row>
    <row r="2038">
      <c r="A2038" s="7">
        <f>HYPERLINK("http://www.lingerieopt.ru/item/8806-elegantnji-komplekt-belya-petra/","8806")</f>
      </c>
      <c r="B2038" s="8" t="s">
        <v>2032</v>
      </c>
      <c r="C2038" s="9">
        <v>1886</v>
      </c>
      <c r="D2038" s="0">
        <v>3</v>
      </c>
      <c r="E2038" s="10">
        <f>HYPERLINK("http://www.lingerieopt.ru/images/original/96dabe23-f83d-4411-aef8-684cf4514d72.jpg","Фото")</f>
      </c>
    </row>
    <row r="2039">
      <c r="A2039" s="7">
        <f>HYPERLINK("http://www.lingerieopt.ru/item/8808-komplekt-belya-nadya/","8808")</f>
      </c>
      <c r="B2039" s="8" t="s">
        <v>2033</v>
      </c>
      <c r="C2039" s="9">
        <v>1299</v>
      </c>
      <c r="D2039" s="0">
        <v>9</v>
      </c>
      <c r="E2039" s="10">
        <f>HYPERLINK("http://www.lingerieopt.ru/images/original/f54ddafc-7920-418e-b5d4-a94299dde7d3.jpg","Фото")</f>
      </c>
    </row>
    <row r="2040">
      <c r="A2040" s="7">
        <f>HYPERLINK("http://www.lingerieopt.ru/item/8808-komplekt-belya-nadya/","8808")</f>
      </c>
      <c r="B2040" s="8" t="s">
        <v>2034</v>
      </c>
      <c r="C2040" s="9">
        <v>1299</v>
      </c>
      <c r="D2040" s="0">
        <v>8</v>
      </c>
      <c r="E2040" s="10">
        <f>HYPERLINK("http://www.lingerieopt.ru/images/original/f54ddafc-7920-418e-b5d4-a94299dde7d3.jpg","Фото")</f>
      </c>
    </row>
    <row r="2041">
      <c r="A2041" s="7">
        <f>HYPERLINK("http://www.lingerieopt.ru/item/8819-komplekt-belya-lucia-s-oborkami/","8819")</f>
      </c>
      <c r="B2041" s="8" t="s">
        <v>2035</v>
      </c>
      <c r="C2041" s="9">
        <v>1299</v>
      </c>
      <c r="D2041" s="0">
        <v>3</v>
      </c>
      <c r="E2041" s="10">
        <f>HYPERLINK("http://www.lingerieopt.ru/images/original/c1e40bd2-2985-45e7-8074-8339c7e794f5.jpg","Фото")</f>
      </c>
    </row>
    <row r="2042">
      <c r="A2042" s="7">
        <f>HYPERLINK("http://www.lingerieopt.ru/item/8819-komplekt-belya-lucia-s-oborkami/","8819")</f>
      </c>
      <c r="B2042" s="8" t="s">
        <v>2036</v>
      </c>
      <c r="C2042" s="9">
        <v>1299</v>
      </c>
      <c r="D2042" s="0">
        <v>4</v>
      </c>
      <c r="E2042" s="10">
        <f>HYPERLINK("http://www.lingerieopt.ru/images/original/c1e40bd2-2985-45e7-8074-8339c7e794f5.jpg","Фото")</f>
      </c>
    </row>
    <row r="2043">
      <c r="A2043" s="7">
        <f>HYPERLINK("http://www.lingerieopt.ru/item/8827-yarkii-komplekt-belya-jaqui/","8827")</f>
      </c>
      <c r="B2043" s="8" t="s">
        <v>2037</v>
      </c>
      <c r="C2043" s="9">
        <v>968</v>
      </c>
      <c r="D2043" s="0">
        <v>4</v>
      </c>
      <c r="E2043" s="10">
        <f>HYPERLINK("http://www.lingerieopt.ru/images/original/b29249a6-3473-4cc6-8ac0-afbeaa8be75a.jpg","Фото")</f>
      </c>
    </row>
    <row r="2044">
      <c r="A2044" s="7">
        <f>HYPERLINK("http://www.lingerieopt.ru/item/8827-yarkii-komplekt-belya-jaqui/","8827")</f>
      </c>
      <c r="B2044" s="8" t="s">
        <v>2038</v>
      </c>
      <c r="C2044" s="9">
        <v>968</v>
      </c>
      <c r="D2044" s="0">
        <v>6</v>
      </c>
      <c r="E2044" s="10">
        <f>HYPERLINK("http://www.lingerieopt.ru/images/original/b29249a6-3473-4cc6-8ac0-afbeaa8be75a.jpg","Фото")</f>
      </c>
    </row>
    <row r="2045">
      <c r="A2045" s="7">
        <f>HYPERLINK("http://www.lingerieopt.ru/item/8827-yarkii-komplekt-belya-jaqui/","8827")</f>
      </c>
      <c r="B2045" s="8" t="s">
        <v>2039</v>
      </c>
      <c r="C2045" s="9">
        <v>968</v>
      </c>
      <c r="D2045" s="0">
        <v>5</v>
      </c>
      <c r="E2045" s="10">
        <f>HYPERLINK("http://www.lingerieopt.ru/images/original/b29249a6-3473-4cc6-8ac0-afbeaa8be75a.jpg","Фото")</f>
      </c>
    </row>
    <row r="2046">
      <c r="A2046" s="7">
        <f>HYPERLINK("http://www.lingerieopt.ru/item/8827-yarkii-komplekt-belya-jaqui/","8827")</f>
      </c>
      <c r="B2046" s="8" t="s">
        <v>2040</v>
      </c>
      <c r="C2046" s="9">
        <v>968</v>
      </c>
      <c r="D2046" s="0">
        <v>8</v>
      </c>
      <c r="E2046" s="10">
        <f>HYPERLINK("http://www.lingerieopt.ru/images/original/b29249a6-3473-4cc6-8ac0-afbeaa8be75a.jpg","Фото")</f>
      </c>
    </row>
    <row r="2047">
      <c r="A2047" s="7">
        <f>HYPERLINK("http://www.lingerieopt.ru/item/8828-yarkii-dvuhcvetnji-komplekt-belya-jaqui-plus-size/","8828")</f>
      </c>
      <c r="B2047" s="8" t="s">
        <v>2041</v>
      </c>
      <c r="C2047" s="9">
        <v>968</v>
      </c>
      <c r="D2047" s="0">
        <v>3</v>
      </c>
      <c r="E2047" s="10">
        <f>HYPERLINK("http://www.lingerieopt.ru/images/original/b2f1cf99-a5e2-47f9-b6d4-465faf8c8a53.jpg","Фото")</f>
      </c>
    </row>
    <row r="2048">
      <c r="A2048" s="7">
        <f>HYPERLINK("http://www.lingerieopt.ru/item/8828-yarkii-dvuhcvetnji-komplekt-belya-jaqui-plus-size/","8828")</f>
      </c>
      <c r="B2048" s="8" t="s">
        <v>2042</v>
      </c>
      <c r="C2048" s="9">
        <v>968</v>
      </c>
      <c r="D2048" s="0">
        <v>2</v>
      </c>
      <c r="E2048" s="10">
        <f>HYPERLINK("http://www.lingerieopt.ru/images/original/b2f1cf99-a5e2-47f9-b6d4-465faf8c8a53.jpg","Фото")</f>
      </c>
    </row>
    <row r="2049">
      <c r="A2049" s="7">
        <f>HYPERLINK("http://www.lingerieopt.ru/item/8830-komplekt-belya-sandra-s-shirokim-poyasom-dlya-chulok/","8830")</f>
      </c>
      <c r="B2049" s="8" t="s">
        <v>2043</v>
      </c>
      <c r="C2049" s="9">
        <v>1299</v>
      </c>
      <c r="D2049" s="0">
        <v>3</v>
      </c>
      <c r="E2049" s="10">
        <f>HYPERLINK("http://www.lingerieopt.ru/images/original/6d228572-dd40-4452-b459-78517facdf9d.jpg","Фото")</f>
      </c>
    </row>
    <row r="2050">
      <c r="A2050" s="7">
        <f>HYPERLINK("http://www.lingerieopt.ru/item/8830-komplekt-belya-sandra-s-shirokim-poyasom-dlya-chulok/","8830")</f>
      </c>
      <c r="B2050" s="8" t="s">
        <v>2044</v>
      </c>
      <c r="C2050" s="9">
        <v>1299</v>
      </c>
      <c r="D2050" s="0">
        <v>2</v>
      </c>
      <c r="E2050" s="10">
        <f>HYPERLINK("http://www.lingerieopt.ru/images/original/6d228572-dd40-4452-b459-78517facdf9d.jpg","Фото")</f>
      </c>
    </row>
    <row r="2051">
      <c r="A2051" s="7">
        <f>HYPERLINK("http://www.lingerieopt.ru/item/8830-komplekt-belya-sandra-s-shirokim-poyasom-dlya-chulok/","8830")</f>
      </c>
      <c r="B2051" s="8" t="s">
        <v>2045</v>
      </c>
      <c r="C2051" s="9">
        <v>1299</v>
      </c>
      <c r="D2051" s="0">
        <v>3</v>
      </c>
      <c r="E2051" s="10">
        <f>HYPERLINK("http://www.lingerieopt.ru/images/original/6d228572-dd40-4452-b459-78517facdf9d.jpg","Фото")</f>
      </c>
    </row>
    <row r="2052">
      <c r="A2052" s="7">
        <f>HYPERLINK("http://www.lingerieopt.ru/item/8830-komplekt-belya-sandra-s-shirokim-poyasom-dlya-chulok/","8830")</f>
      </c>
      <c r="B2052" s="8" t="s">
        <v>2046</v>
      </c>
      <c r="C2052" s="9">
        <v>1299</v>
      </c>
      <c r="D2052" s="0">
        <v>6</v>
      </c>
      <c r="E2052" s="10">
        <f>HYPERLINK("http://www.lingerieopt.ru/images/original/6d228572-dd40-4452-b459-78517facdf9d.jpg","Фото")</f>
      </c>
    </row>
    <row r="2053">
      <c r="A2053" s="7">
        <f>HYPERLINK("http://www.lingerieopt.ru/item/8831-poluprozrachnji-komplekt-belya-zoe/","8831")</f>
      </c>
      <c r="B2053" s="8" t="s">
        <v>2047</v>
      </c>
      <c r="C2053" s="9">
        <v>1299</v>
      </c>
      <c r="D2053" s="0">
        <v>1</v>
      </c>
      <c r="E2053" s="10">
        <f>HYPERLINK("http://www.lingerieopt.ru/images/original/4a50522c-e3d6-4895-92d4-f92cea9950c7.jpg","Фото")</f>
      </c>
    </row>
    <row r="2054">
      <c r="A2054" s="7">
        <f>HYPERLINK("http://www.lingerieopt.ru/item/8831-poluprozrachnji-komplekt-belya-zoe/","8831")</f>
      </c>
      <c r="B2054" s="8" t="s">
        <v>2048</v>
      </c>
      <c r="C2054" s="9">
        <v>1299</v>
      </c>
      <c r="D2054" s="0">
        <v>3</v>
      </c>
      <c r="E2054" s="10">
        <f>HYPERLINK("http://www.lingerieopt.ru/images/original/4a50522c-e3d6-4895-92d4-f92cea9950c7.jpg","Фото")</f>
      </c>
    </row>
    <row r="2055">
      <c r="A2055" s="7">
        <f>HYPERLINK("http://www.lingerieopt.ru/item/8835-komplekt-belya-fabiana-iz-kruzheva-i-shifona/","8835")</f>
      </c>
      <c r="B2055" s="8" t="s">
        <v>2049</v>
      </c>
      <c r="C2055" s="9">
        <v>1299</v>
      </c>
      <c r="D2055" s="0">
        <v>4</v>
      </c>
      <c r="E2055" s="10">
        <f>HYPERLINK("http://www.lingerieopt.ru/images/original/ec6f93f1-a6a5-4a1c-957a-a2dbe22205c5.jpg","Фото")</f>
      </c>
    </row>
    <row r="2056">
      <c r="A2056" s="7">
        <f>HYPERLINK("http://www.lingerieopt.ru/item/8835-komplekt-belya-fabiana-iz-kruzheva-i-shifona/","8835")</f>
      </c>
      <c r="B2056" s="8" t="s">
        <v>2050</v>
      </c>
      <c r="C2056" s="9">
        <v>1299</v>
      </c>
      <c r="D2056" s="0">
        <v>1</v>
      </c>
      <c r="E2056" s="10">
        <f>HYPERLINK("http://www.lingerieopt.ru/images/original/ec6f93f1-a6a5-4a1c-957a-a2dbe22205c5.jpg","Фото")</f>
      </c>
    </row>
    <row r="2057">
      <c r="A2057" s="7">
        <f>HYPERLINK("http://www.lingerieopt.ru/item/8837-yarkii-komplekt-belya-breve/","8837")</f>
      </c>
      <c r="B2057" s="8" t="s">
        <v>2051</v>
      </c>
      <c r="C2057" s="9">
        <v>886</v>
      </c>
      <c r="D2057" s="0">
        <v>2</v>
      </c>
      <c r="E2057" s="10">
        <f>HYPERLINK("http://www.lingerieopt.ru/images/original/831120e2-545f-4f4f-9520-65dc7edd8042.jpg","Фото")</f>
      </c>
    </row>
    <row r="2058">
      <c r="A2058" s="7">
        <f>HYPERLINK("http://www.lingerieopt.ru/item/8837-yarkii-komplekt-belya-breve/","8837")</f>
      </c>
      <c r="B2058" s="8" t="s">
        <v>2052</v>
      </c>
      <c r="C2058" s="9">
        <v>886</v>
      </c>
      <c r="D2058" s="0">
        <v>3</v>
      </c>
      <c r="E2058" s="10">
        <f>HYPERLINK("http://www.lingerieopt.ru/images/original/831120e2-545f-4f4f-9520-65dc7edd8042.jpg","Фото")</f>
      </c>
    </row>
    <row r="2059">
      <c r="A2059" s="7">
        <f>HYPERLINK("http://www.lingerieopt.ru/item/8837-yarkii-komplekt-belya-breve/","8837")</f>
      </c>
      <c r="B2059" s="8" t="s">
        <v>2053</v>
      </c>
      <c r="C2059" s="9">
        <v>886</v>
      </c>
      <c r="D2059" s="0">
        <v>3</v>
      </c>
      <c r="E2059" s="10">
        <f>HYPERLINK("http://www.lingerieopt.ru/images/original/831120e2-545f-4f4f-9520-65dc7edd8042.jpg","Фото")</f>
      </c>
    </row>
    <row r="2060">
      <c r="A2060" s="7">
        <f>HYPERLINK("http://www.lingerieopt.ru/item/8837-yarkii-komplekt-belya-breve/","8837")</f>
      </c>
      <c r="B2060" s="8" t="s">
        <v>2054</v>
      </c>
      <c r="C2060" s="9">
        <v>886</v>
      </c>
      <c r="D2060" s="0">
        <v>1</v>
      </c>
      <c r="E2060" s="10">
        <f>HYPERLINK("http://www.lingerieopt.ru/images/original/831120e2-545f-4f4f-9520-65dc7edd8042.jpg","Фото")</f>
      </c>
    </row>
    <row r="2061">
      <c r="A2061" s="7">
        <f>HYPERLINK("http://www.lingerieopt.ru/item/8853-komplekt-nizhnego-belya-rodos-s-kruzhevnjmi-elementami/","8853")</f>
      </c>
      <c r="B2061" s="8" t="s">
        <v>2055</v>
      </c>
      <c r="C2061" s="9">
        <v>1886</v>
      </c>
      <c r="D2061" s="0">
        <v>10</v>
      </c>
      <c r="E2061" s="10">
        <f>HYPERLINK("http://www.lingerieopt.ru/images/original/6b12db1d-668b-4b6a-aeaf-2f982d4b4b44.jpg","Фото")</f>
      </c>
    </row>
    <row r="2062">
      <c r="A2062" s="7">
        <f>HYPERLINK("http://www.lingerieopt.ru/item/8853-komplekt-nizhnego-belya-rodos-s-kruzhevnjmi-elementami/","8853")</f>
      </c>
      <c r="B2062" s="8" t="s">
        <v>2056</v>
      </c>
      <c r="C2062" s="9">
        <v>1886</v>
      </c>
      <c r="D2062" s="0">
        <v>7</v>
      </c>
      <c r="E2062" s="10">
        <f>HYPERLINK("http://www.lingerieopt.ru/images/original/6b12db1d-668b-4b6a-aeaf-2f982d4b4b44.jpg","Фото")</f>
      </c>
    </row>
    <row r="2063">
      <c r="A2063" s="7">
        <f>HYPERLINK("http://www.lingerieopt.ru/item/8856-igrivji-komplekt-belya-ferrara/","8856")</f>
      </c>
      <c r="B2063" s="8" t="s">
        <v>2057</v>
      </c>
      <c r="C2063" s="9">
        <v>1811</v>
      </c>
      <c r="D2063" s="0">
        <v>2</v>
      </c>
      <c r="E2063" s="10">
        <f>HYPERLINK("http://www.lingerieopt.ru/images/original/29cdc119-7b29-4967-8d99-872193c6014b.jpg","Фото")</f>
      </c>
    </row>
    <row r="2064">
      <c r="A2064" s="7">
        <f>HYPERLINK("http://www.lingerieopt.ru/item/8856-igrivji-komplekt-belya-ferrara/","8856")</f>
      </c>
      <c r="B2064" s="8" t="s">
        <v>2058</v>
      </c>
      <c r="C2064" s="9">
        <v>1811</v>
      </c>
      <c r="D2064" s="0">
        <v>3</v>
      </c>
      <c r="E2064" s="10">
        <f>HYPERLINK("http://www.lingerieopt.ru/images/original/29cdc119-7b29-4967-8d99-872193c6014b.jpg","Фото")</f>
      </c>
    </row>
    <row r="2065">
      <c r="A2065" s="7">
        <f>HYPERLINK("http://www.lingerieopt.ru/item/8856-igrivji-komplekt-belya-ferrara/","8856")</f>
      </c>
      <c r="B2065" s="8" t="s">
        <v>2059</v>
      </c>
      <c r="C2065" s="9">
        <v>1811</v>
      </c>
      <c r="D2065" s="0">
        <v>1</v>
      </c>
      <c r="E2065" s="10">
        <f>HYPERLINK("http://www.lingerieopt.ru/images/original/29cdc119-7b29-4967-8d99-872193c6014b.jpg","Фото")</f>
      </c>
    </row>
    <row r="2066">
      <c r="A2066" s="7">
        <f>HYPERLINK("http://www.lingerieopt.ru/item/8856-igrivji-komplekt-belya-ferrara/","8856")</f>
      </c>
      <c r="B2066" s="8" t="s">
        <v>2060</v>
      </c>
      <c r="C2066" s="9">
        <v>1811</v>
      </c>
      <c r="D2066" s="0">
        <v>1</v>
      </c>
      <c r="E2066" s="10">
        <f>HYPERLINK("http://www.lingerieopt.ru/images/original/29cdc119-7b29-4967-8d99-872193c6014b.jpg","Фото")</f>
      </c>
    </row>
    <row r="2067">
      <c r="A2067" s="7">
        <f>HYPERLINK("http://www.lingerieopt.ru/item/8871-nityanoi-komplekt-belya-samantha/","8871")</f>
      </c>
      <c r="B2067" s="8" t="s">
        <v>2061</v>
      </c>
      <c r="C2067" s="9">
        <v>1439</v>
      </c>
      <c r="D2067" s="0">
        <v>5</v>
      </c>
      <c r="E2067" s="10">
        <f>HYPERLINK("http://www.lingerieopt.ru/images/original/56dfabc8-7261-4683-9f9a-60a28a0ecabc.jpg","Фото")</f>
      </c>
    </row>
    <row r="2068">
      <c r="A2068" s="7">
        <f>HYPERLINK("http://www.lingerieopt.ru/item/8871-nityanoi-komplekt-belya-samantha/","8871")</f>
      </c>
      <c r="B2068" s="8" t="s">
        <v>2062</v>
      </c>
      <c r="C2068" s="9">
        <v>1439</v>
      </c>
      <c r="D2068" s="0">
        <v>2</v>
      </c>
      <c r="E2068" s="10">
        <f>HYPERLINK("http://www.lingerieopt.ru/images/original/56dfabc8-7261-4683-9f9a-60a28a0ecabc.jpg","Фото")</f>
      </c>
    </row>
    <row r="2069">
      <c r="A2069" s="7">
        <f>HYPERLINK("http://www.lingerieopt.ru/item/8871-nityanoi-komplekt-belya-samantha/","8871")</f>
      </c>
      <c r="B2069" s="8" t="s">
        <v>2063</v>
      </c>
      <c r="C2069" s="9">
        <v>1439</v>
      </c>
      <c r="D2069" s="0">
        <v>10</v>
      </c>
      <c r="E2069" s="10">
        <f>HYPERLINK("http://www.lingerieopt.ru/images/original/56dfabc8-7261-4683-9f9a-60a28a0ecabc.jpg","Фото")</f>
      </c>
    </row>
    <row r="2070">
      <c r="A2070" s="7">
        <f>HYPERLINK("http://www.lingerieopt.ru/item/8871-nityanoi-komplekt-belya-samantha/","8871")</f>
      </c>
      <c r="B2070" s="8" t="s">
        <v>2064</v>
      </c>
      <c r="C2070" s="9">
        <v>1439</v>
      </c>
      <c r="D2070" s="0">
        <v>5</v>
      </c>
      <c r="E2070" s="10">
        <f>HYPERLINK("http://www.lingerieopt.ru/images/original/56dfabc8-7261-4683-9f9a-60a28a0ecabc.jpg","Фото")</f>
      </c>
    </row>
    <row r="2071">
      <c r="A2071" s="7">
        <f>HYPERLINK("http://www.lingerieopt.ru/item/8871-nityanoi-komplekt-belya-samantha/","8871")</f>
      </c>
      <c r="B2071" s="8" t="s">
        <v>2065</v>
      </c>
      <c r="C2071" s="9">
        <v>1439</v>
      </c>
      <c r="D2071" s="0">
        <v>5</v>
      </c>
      <c r="E2071" s="10">
        <f>HYPERLINK("http://www.lingerieopt.ru/images/original/56dfabc8-7261-4683-9f9a-60a28a0ecabc.jpg","Фото")</f>
      </c>
    </row>
    <row r="2072">
      <c r="A2072" s="7">
        <f>HYPERLINK("http://www.lingerieopt.ru/item/8871-nityanoi-komplekt-belya-samantha/","8871")</f>
      </c>
      <c r="B2072" s="8" t="s">
        <v>2066</v>
      </c>
      <c r="C2072" s="9">
        <v>1439</v>
      </c>
      <c r="D2072" s="0">
        <v>9</v>
      </c>
      <c r="E2072" s="10">
        <f>HYPERLINK("http://www.lingerieopt.ru/images/original/56dfabc8-7261-4683-9f9a-60a28a0ecabc.jpg","Фото")</f>
      </c>
    </row>
    <row r="2073">
      <c r="A2073" s="7">
        <f>HYPERLINK("http://www.lingerieopt.ru/item/8872-nityanoi-komplekt-belya-jess/","8872")</f>
      </c>
      <c r="B2073" s="8" t="s">
        <v>2067</v>
      </c>
      <c r="C2073" s="9">
        <v>2323</v>
      </c>
      <c r="D2073" s="0">
        <v>8</v>
      </c>
      <c r="E2073" s="10">
        <f>HYPERLINK("http://www.lingerieopt.ru/images/original/2af3b53a-c7b0-404d-b1e4-dcb5905f48cc.jpg","Фото")</f>
      </c>
    </row>
    <row r="2074">
      <c r="A2074" s="7">
        <f>HYPERLINK("http://www.lingerieopt.ru/item/8872-nityanoi-komplekt-belya-jess/","8872")</f>
      </c>
      <c r="B2074" s="8" t="s">
        <v>2068</v>
      </c>
      <c r="C2074" s="9">
        <v>2323</v>
      </c>
      <c r="D2074" s="0">
        <v>5</v>
      </c>
      <c r="E2074" s="10">
        <f>HYPERLINK("http://www.lingerieopt.ru/images/original/2af3b53a-c7b0-404d-b1e4-dcb5905f48cc.jpg","Фото")</f>
      </c>
    </row>
    <row r="2075">
      <c r="A2075" s="7">
        <f>HYPERLINK("http://www.lingerieopt.ru/item/8872-nityanoi-komplekt-belya-jess/","8872")</f>
      </c>
      <c r="B2075" s="8" t="s">
        <v>2069</v>
      </c>
      <c r="C2075" s="9">
        <v>2323</v>
      </c>
      <c r="D2075" s="0">
        <v>4</v>
      </c>
      <c r="E2075" s="10">
        <f>HYPERLINK("http://www.lingerieopt.ru/images/original/2af3b53a-c7b0-404d-b1e4-dcb5905f48cc.jpg","Фото")</f>
      </c>
    </row>
    <row r="2076">
      <c r="A2076" s="7">
        <f>HYPERLINK("http://www.lingerieopt.ru/item/8872-nityanoi-komplekt-belya-jess/","8872")</f>
      </c>
      <c r="B2076" s="8" t="s">
        <v>2070</v>
      </c>
      <c r="C2076" s="9">
        <v>2323</v>
      </c>
      <c r="D2076" s="0">
        <v>6</v>
      </c>
      <c r="E2076" s="10">
        <f>HYPERLINK("http://www.lingerieopt.ru/images/original/2af3b53a-c7b0-404d-b1e4-dcb5905f48cc.jpg","Фото")</f>
      </c>
    </row>
    <row r="2077">
      <c r="A2077" s="7">
        <f>HYPERLINK("http://www.lingerieopt.ru/item/8872-nityanoi-komplekt-belya-jess/","8872")</f>
      </c>
      <c r="B2077" s="8" t="s">
        <v>2071</v>
      </c>
      <c r="C2077" s="9">
        <v>2323</v>
      </c>
      <c r="D2077" s="0">
        <v>5</v>
      </c>
      <c r="E2077" s="10">
        <f>HYPERLINK("http://www.lingerieopt.ru/images/original/2af3b53a-c7b0-404d-b1e4-dcb5905f48cc.jpg","Фото")</f>
      </c>
    </row>
    <row r="2078">
      <c r="A2078" s="7">
        <f>HYPERLINK("http://www.lingerieopt.ru/item/8872-nityanoi-komplekt-belya-jess/","8872")</f>
      </c>
      <c r="B2078" s="8" t="s">
        <v>2072</v>
      </c>
      <c r="C2078" s="9">
        <v>2323</v>
      </c>
      <c r="D2078" s="0">
        <v>5</v>
      </c>
      <c r="E2078" s="10">
        <f>HYPERLINK("http://www.lingerieopt.ru/images/original/2af3b53a-c7b0-404d-b1e4-dcb5905f48cc.jpg","Фото")</f>
      </c>
    </row>
    <row r="2079">
      <c r="A2079" s="7">
        <f>HYPERLINK("http://www.lingerieopt.ru/item/8909-komplekt-belya-aras-iz-3-predmetov/","8909")</f>
      </c>
      <c r="B2079" s="8" t="s">
        <v>2073</v>
      </c>
      <c r="C2079" s="9">
        <v>1578</v>
      </c>
      <c r="D2079" s="0">
        <v>2</v>
      </c>
      <c r="E2079" s="10">
        <f>HYPERLINK("http://www.lingerieopt.ru/images/original/4f7f8922-8b7c-4b6f-bc14-13f35fbf5041.jpg","Фото")</f>
      </c>
    </row>
    <row r="2080">
      <c r="A2080" s="7">
        <f>HYPERLINK("http://www.lingerieopt.ru/item/8909-komplekt-belya-aras-iz-3-predmetov/","8909")</f>
      </c>
      <c r="B2080" s="8" t="s">
        <v>2074</v>
      </c>
      <c r="C2080" s="9">
        <v>1578</v>
      </c>
      <c r="D2080" s="0">
        <v>3</v>
      </c>
      <c r="E2080" s="10">
        <f>HYPERLINK("http://www.lingerieopt.ru/images/original/4f7f8922-8b7c-4b6f-bc14-13f35fbf5041.jpg","Фото")</f>
      </c>
    </row>
    <row r="2081">
      <c r="A2081" s="7">
        <f>HYPERLINK("http://www.lingerieopt.ru/item/8939-otkrovennji-komplekt-belya-aurora-s-otkrjtjm-lifom/","8939")</f>
      </c>
      <c r="B2081" s="8" t="s">
        <v>2075</v>
      </c>
      <c r="C2081" s="9">
        <v>1647</v>
      </c>
      <c r="D2081" s="0">
        <v>4</v>
      </c>
      <c r="E2081" s="10">
        <f>HYPERLINK("http://www.lingerieopt.ru/images/original/15ef40f4-661c-44b3-888d-ea05ccf96a42.jpg","Фото")</f>
      </c>
    </row>
    <row r="2082">
      <c r="A2082" s="7">
        <f>HYPERLINK("http://www.lingerieopt.ru/item/8939-otkrovennji-komplekt-belya-aurora-s-otkrjtjm-lifom/","8939")</f>
      </c>
      <c r="B2082" s="8" t="s">
        <v>2076</v>
      </c>
      <c r="C2082" s="9">
        <v>1647</v>
      </c>
      <c r="D2082" s="0">
        <v>1</v>
      </c>
      <c r="E2082" s="10">
        <f>HYPERLINK("http://www.lingerieopt.ru/images/original/15ef40f4-661c-44b3-888d-ea05ccf96a42.jpg","Фото")</f>
      </c>
    </row>
    <row r="2083">
      <c r="A2083" s="7">
        <f>HYPERLINK("http://www.lingerieopt.ru/item/8940-igrivji-komplekt-belya-fabien-iz-3-predmetov/","8940")</f>
      </c>
      <c r="B2083" s="8" t="s">
        <v>2077</v>
      </c>
      <c r="C2083" s="9">
        <v>1302</v>
      </c>
      <c r="D2083" s="0">
        <v>5</v>
      </c>
      <c r="E2083" s="10">
        <f>HYPERLINK("http://www.lingerieopt.ru/images/original/fe9ba04c-b8c7-41a6-bf4f-d64dc148fd05.jpg","Фото")</f>
      </c>
    </row>
    <row r="2084">
      <c r="A2084" s="7">
        <f>HYPERLINK("http://www.lingerieopt.ru/item/8940-igrivji-komplekt-belya-fabien-iz-3-predmetov/","8940")</f>
      </c>
      <c r="B2084" s="8" t="s">
        <v>2078</v>
      </c>
      <c r="C2084" s="9">
        <v>1302</v>
      </c>
      <c r="D2084" s="0">
        <v>3</v>
      </c>
      <c r="E2084" s="10">
        <f>HYPERLINK("http://www.lingerieopt.ru/images/original/fe9ba04c-b8c7-41a6-bf4f-d64dc148fd05.jpg","Фото")</f>
      </c>
    </row>
    <row r="2085">
      <c r="A2085" s="7">
        <f>HYPERLINK("http://www.lingerieopt.ru/item/8941-kruzhevnoi-komplekt-belya-gigi-s-dopolnitelnjmi-bretelyami/","8941")</f>
      </c>
      <c r="B2085" s="8" t="s">
        <v>2079</v>
      </c>
      <c r="C2085" s="9">
        <v>1210</v>
      </c>
      <c r="D2085" s="0">
        <v>3</v>
      </c>
      <c r="E2085" s="10">
        <f>HYPERLINK("http://www.lingerieopt.ru/images/original/2ab6aca0-4f9b-4196-ae8a-6d2b5715997f.jpg","Фото")</f>
      </c>
    </row>
    <row r="2086">
      <c r="A2086" s="7">
        <f>HYPERLINK("http://www.lingerieopt.ru/item/8941-kruzhevnoi-komplekt-belya-gigi-s-dopolnitelnjmi-bretelyami/","8941")</f>
      </c>
      <c r="B2086" s="8" t="s">
        <v>2080</v>
      </c>
      <c r="C2086" s="9">
        <v>1210</v>
      </c>
      <c r="D2086" s="0">
        <v>3</v>
      </c>
      <c r="E2086" s="10">
        <f>HYPERLINK("http://www.lingerieopt.ru/images/original/2ab6aca0-4f9b-4196-ae8a-6d2b5715997f.jpg","Фото")</f>
      </c>
    </row>
    <row r="2087">
      <c r="A2087" s="7">
        <f>HYPERLINK("http://www.lingerieopt.ru/item/8942-otkrovennji-komplekt-belya-ksenia-s-otkrjtoi-grudyu/","8942")</f>
      </c>
      <c r="B2087" s="8" t="s">
        <v>2081</v>
      </c>
      <c r="C2087" s="9">
        <v>1555</v>
      </c>
      <c r="D2087" s="0">
        <v>4</v>
      </c>
      <c r="E2087" s="10">
        <f>HYPERLINK("http://www.lingerieopt.ru/images/original/50ff4cce-eec5-43c4-b14c-cb4a216ad66c.jpg","Фото")</f>
      </c>
    </row>
    <row r="2088">
      <c r="A2088" s="7">
        <f>HYPERLINK("http://www.lingerieopt.ru/item/8942-otkrovennji-komplekt-belya-ksenia-s-otkrjtoi-grudyu/","8942")</f>
      </c>
      <c r="B2088" s="8" t="s">
        <v>2082</v>
      </c>
      <c r="C2088" s="9">
        <v>1555</v>
      </c>
      <c r="D2088" s="0">
        <v>4</v>
      </c>
      <c r="E2088" s="10">
        <f>HYPERLINK("http://www.lingerieopt.ru/images/original/50ff4cce-eec5-43c4-b14c-cb4a216ad66c.jpg","Фото")</f>
      </c>
    </row>
    <row r="2089">
      <c r="A2089" s="7">
        <f>HYPERLINK("http://www.lingerieopt.ru/item/8943-komplekt-nizhnego-belya-effi-v-melkii-goroh/","8943")</f>
      </c>
      <c r="B2089" s="8" t="s">
        <v>2083</v>
      </c>
      <c r="C2089" s="9">
        <v>1383</v>
      </c>
      <c r="D2089" s="0">
        <v>2</v>
      </c>
      <c r="E2089" s="10">
        <f>HYPERLINK("http://www.lingerieopt.ru/images/original/9f215a57-fdb6-4549-9fb8-067d0fda85c0.jpg","Фото")</f>
      </c>
    </row>
    <row r="2090">
      <c r="A2090" s="7">
        <f>HYPERLINK("http://www.lingerieopt.ru/item/8943-komplekt-nizhnego-belya-effi-v-melkii-goroh/","8943")</f>
      </c>
      <c r="B2090" s="8" t="s">
        <v>2084</v>
      </c>
      <c r="C2090" s="9">
        <v>1383</v>
      </c>
      <c r="D2090" s="0">
        <v>4</v>
      </c>
      <c r="E2090" s="10">
        <f>HYPERLINK("http://www.lingerieopt.ru/images/original/9f215a57-fdb6-4549-9fb8-067d0fda85c0.jpg","Фото")</f>
      </c>
    </row>
    <row r="2091">
      <c r="A2091" s="7">
        <f>HYPERLINK("http://www.lingerieopt.ru/item/8943-komplekt-nizhnego-belya-effi-v-melkii-goroh/","8943")</f>
      </c>
      <c r="B2091" s="8" t="s">
        <v>2085</v>
      </c>
      <c r="C2091" s="9">
        <v>1383</v>
      </c>
      <c r="D2091" s="0">
        <v>5</v>
      </c>
      <c r="E2091" s="10">
        <f>HYPERLINK("http://www.lingerieopt.ru/images/original/9f215a57-fdb6-4549-9fb8-067d0fda85c0.jpg","Фото")</f>
      </c>
    </row>
    <row r="2092">
      <c r="A2092" s="7">
        <f>HYPERLINK("http://www.lingerieopt.ru/item/8943-komplekt-nizhnego-belya-effi-v-melkii-goroh/","8943")</f>
      </c>
      <c r="B2092" s="8" t="s">
        <v>2086</v>
      </c>
      <c r="C2092" s="9">
        <v>1383</v>
      </c>
      <c r="D2092" s="0">
        <v>2</v>
      </c>
      <c r="E2092" s="10">
        <f>HYPERLINK("http://www.lingerieopt.ru/images/original/9f215a57-fdb6-4549-9fb8-067d0fda85c0.jpg","Фото")</f>
      </c>
    </row>
    <row r="2093">
      <c r="A2093" s="7">
        <f>HYPERLINK("http://www.lingerieopt.ru/item/8944-izjskannji-komplekt-belya-catalina-s-poyasom/","8944")</f>
      </c>
      <c r="B2093" s="8" t="s">
        <v>2087</v>
      </c>
      <c r="C2093" s="9">
        <v>1567</v>
      </c>
      <c r="D2093" s="0">
        <v>5</v>
      </c>
      <c r="E2093" s="10">
        <f>HYPERLINK("http://www.lingerieopt.ru/images/original/cdad4c02-eedf-42b6-86a0-812faadb4ded.jpg","Фото")</f>
      </c>
    </row>
    <row r="2094">
      <c r="A2094" s="7">
        <f>HYPERLINK("http://www.lingerieopt.ru/item/8944-izjskannji-komplekt-belya-catalina-s-poyasom/","8944")</f>
      </c>
      <c r="B2094" s="8" t="s">
        <v>2088</v>
      </c>
      <c r="C2094" s="9">
        <v>1567</v>
      </c>
      <c r="D2094" s="0">
        <v>4</v>
      </c>
      <c r="E2094" s="10">
        <f>HYPERLINK("http://www.lingerieopt.ru/images/original/cdad4c02-eedf-42b6-86a0-812faadb4ded.jpg","Фото")</f>
      </c>
    </row>
    <row r="2095">
      <c r="A2095" s="7">
        <f>HYPERLINK("http://www.lingerieopt.ru/item/8954-otkrjtji-lif-i-trusiki-s-ryushami-leo/","8954")</f>
      </c>
      <c r="B2095" s="8" t="s">
        <v>2089</v>
      </c>
      <c r="C2095" s="9">
        <v>1652</v>
      </c>
      <c r="D2095" s="0">
        <v>7</v>
      </c>
      <c r="E2095" s="10">
        <f>HYPERLINK("http://www.lingerieopt.ru/images/original/dfe8a72a-45fd-4b36-ac83-aa0cfa640bed.jpg","Фото")</f>
      </c>
    </row>
    <row r="2096">
      <c r="A2096" s="7">
        <f>HYPERLINK("http://www.lingerieopt.ru/item/8954-otkrjtji-lif-i-trusiki-s-ryushami-leo/","8954")</f>
      </c>
      <c r="B2096" s="8" t="s">
        <v>2090</v>
      </c>
      <c r="C2096" s="9">
        <v>1652</v>
      </c>
      <c r="D2096" s="0">
        <v>12</v>
      </c>
      <c r="E2096" s="10">
        <f>HYPERLINK("http://www.lingerieopt.ru/images/original/dfe8a72a-45fd-4b36-ac83-aa0cfa640bed.jpg","Фото")</f>
      </c>
    </row>
    <row r="2097">
      <c r="A2097" s="7">
        <f>HYPERLINK("http://www.lingerieopt.ru/item/8954-otkrjtji-lif-i-trusiki-s-ryushami-leo/","8954")</f>
      </c>
      <c r="B2097" s="8" t="s">
        <v>2091</v>
      </c>
      <c r="C2097" s="9">
        <v>1652</v>
      </c>
      <c r="D2097" s="0">
        <v>3</v>
      </c>
      <c r="E2097" s="10">
        <f>HYPERLINK("http://www.lingerieopt.ru/images/original/dfe8a72a-45fd-4b36-ac83-aa0cfa640bed.jpg","Фото")</f>
      </c>
    </row>
    <row r="2098">
      <c r="A2098" s="7">
        <f>HYPERLINK("http://www.lingerieopt.ru/item/8969-chernji-poluprozrachnji-komplekt-belya-alix-s-kruzhevami/","8969")</f>
      </c>
      <c r="B2098" s="8" t="s">
        <v>2092</v>
      </c>
      <c r="C2098" s="9">
        <v>2334</v>
      </c>
      <c r="D2098" s="0">
        <v>2</v>
      </c>
      <c r="E2098" s="10">
        <f>HYPERLINK("http://www.lingerieopt.ru/images/original/7107f869-b8b7-4d92-8841-bda68e52b4a0.jpg","Фото")</f>
      </c>
    </row>
    <row r="2099">
      <c r="A2099" s="7">
        <f>HYPERLINK("http://www.lingerieopt.ru/item/8969-chernji-poluprozrachnji-komplekt-belya-alix-s-kruzhevami/","8969")</f>
      </c>
      <c r="B2099" s="8" t="s">
        <v>2093</v>
      </c>
      <c r="C2099" s="9">
        <v>2334</v>
      </c>
      <c r="D2099" s="0">
        <v>4</v>
      </c>
      <c r="E2099" s="10">
        <f>HYPERLINK("http://www.lingerieopt.ru/images/original/7107f869-b8b7-4d92-8841-bda68e52b4a0.jpg","Фото")</f>
      </c>
    </row>
    <row r="2100">
      <c r="A2100" s="7">
        <f>HYPERLINK("http://www.lingerieopt.ru/item/8971-ctrogii-komplekt-belya-martine-s-kruzhevom-i-materialom-s-mokrjm-bleskom/","8971")</f>
      </c>
      <c r="B2100" s="8" t="s">
        <v>2094</v>
      </c>
      <c r="C2100" s="9">
        <v>2853</v>
      </c>
      <c r="D2100" s="0">
        <v>10</v>
      </c>
      <c r="E2100" s="10">
        <f>HYPERLINK("http://www.lingerieopt.ru/images/original/d990b5a2-3b15-42f1-b532-475b5756b709.jpg","Фото")</f>
      </c>
    </row>
    <row r="2101">
      <c r="A2101" s="7">
        <f>HYPERLINK("http://www.lingerieopt.ru/item/8971-ctrogii-komplekt-belya-martine-s-kruzhevom-i-materialom-s-mokrjm-bleskom/","8971")</f>
      </c>
      <c r="B2101" s="8" t="s">
        <v>2095</v>
      </c>
      <c r="C2101" s="9">
        <v>2853</v>
      </c>
      <c r="D2101" s="0">
        <v>0</v>
      </c>
      <c r="E2101" s="10">
        <f>HYPERLINK("http://www.lingerieopt.ru/images/original/d990b5a2-3b15-42f1-b532-475b5756b709.jpg","Фото")</f>
      </c>
    </row>
    <row r="2102">
      <c r="A2102" s="7">
        <f>HYPERLINK("http://www.lingerieopt.ru/item/8972-izjskannji-chernji-komplekt-belya-philippine-iz-materiala-s-mokrjm-bleskom/","8972")</f>
      </c>
      <c r="B2102" s="8" t="s">
        <v>2096</v>
      </c>
      <c r="C2102" s="9">
        <v>2750</v>
      </c>
      <c r="D2102" s="0">
        <v>10</v>
      </c>
      <c r="E2102" s="10">
        <f>HYPERLINK("http://www.lingerieopt.ru/images/original/74d1c919-352f-43a5-afa7-fc2a1cebe927.jpg","Фото")</f>
      </c>
    </row>
    <row r="2103">
      <c r="A2103" s="7">
        <f>HYPERLINK("http://www.lingerieopt.ru/item/8972-izjskannji-chernji-komplekt-belya-philippine-iz-materiala-s-mokrjm-bleskom/","8972")</f>
      </c>
      <c r="B2103" s="8" t="s">
        <v>2097</v>
      </c>
      <c r="C2103" s="9">
        <v>2750</v>
      </c>
      <c r="D2103" s="0">
        <v>1</v>
      </c>
      <c r="E2103" s="10">
        <f>HYPERLINK("http://www.lingerieopt.ru/images/original/74d1c919-352f-43a5-afa7-fc2a1cebe927.jpg","Фото")</f>
      </c>
    </row>
    <row r="2104">
      <c r="A2104" s="7">
        <f>HYPERLINK("http://www.lingerieopt.ru/item/9040-soblaznitelnji-komplekt-belya-gloria-s-dvuhcvetnjm-kruzhevom/","9040")</f>
      </c>
      <c r="B2104" s="8" t="s">
        <v>2098</v>
      </c>
      <c r="C2104" s="9">
        <v>1751</v>
      </c>
      <c r="D2104" s="0">
        <v>6</v>
      </c>
      <c r="E2104" s="10">
        <f>HYPERLINK("http://www.lingerieopt.ru/images/original/6bab4510-488f-4cca-b0b6-ff62281a9a7a.jpg","Фото")</f>
      </c>
    </row>
    <row r="2105">
      <c r="A2105" s="7">
        <f>HYPERLINK("http://www.lingerieopt.ru/item/9040-soblaznitelnji-komplekt-belya-gloria-s-dvuhcvetnjm-kruzhevom/","9040")</f>
      </c>
      <c r="B2105" s="8" t="s">
        <v>2099</v>
      </c>
      <c r="C2105" s="9">
        <v>1751</v>
      </c>
      <c r="D2105" s="0">
        <v>3</v>
      </c>
      <c r="E2105" s="10">
        <f>HYPERLINK("http://www.lingerieopt.ru/images/original/6bab4510-488f-4cca-b0b6-ff62281a9a7a.jpg","Фото")</f>
      </c>
    </row>
    <row r="2106">
      <c r="A2106" s="7">
        <f>HYPERLINK("http://www.lingerieopt.ru/item/9059-soblaznitelnji-komplekt-belya-elodia-iz-lent/","9059")</f>
      </c>
      <c r="B2106" s="8" t="s">
        <v>2100</v>
      </c>
      <c r="C2106" s="9">
        <v>2110</v>
      </c>
      <c r="D2106" s="0">
        <v>3</v>
      </c>
      <c r="E2106" s="10">
        <f>HYPERLINK("http://www.lingerieopt.ru/images/original/638dee1c-8620-4469-9863-58e0c429b851.jpg","Фото")</f>
      </c>
    </row>
    <row r="2107">
      <c r="A2107" s="7">
        <f>HYPERLINK("http://www.lingerieopt.ru/item/9059-soblaznitelnji-komplekt-belya-elodia-iz-lent/","9059")</f>
      </c>
      <c r="B2107" s="8" t="s">
        <v>2101</v>
      </c>
      <c r="C2107" s="9">
        <v>2110</v>
      </c>
      <c r="D2107" s="0">
        <v>4</v>
      </c>
      <c r="E2107" s="10">
        <f>HYPERLINK("http://www.lingerieopt.ru/images/original/638dee1c-8620-4469-9863-58e0c429b851.jpg","Фото")</f>
      </c>
    </row>
    <row r="2108">
      <c r="A2108" s="7">
        <f>HYPERLINK("http://www.lingerieopt.ru/item/9059-soblaznitelnji-komplekt-belya-elodia-iz-lent/","9059")</f>
      </c>
      <c r="B2108" s="8" t="s">
        <v>2102</v>
      </c>
      <c r="C2108" s="9">
        <v>2110</v>
      </c>
      <c r="D2108" s="0">
        <v>11</v>
      </c>
      <c r="E2108" s="10">
        <f>HYPERLINK("http://www.lingerieopt.ru/images/original/638dee1c-8620-4469-9863-58e0c429b851.jpg","Фото")</f>
      </c>
    </row>
    <row r="2109">
      <c r="A2109" s="7">
        <f>HYPERLINK("http://www.lingerieopt.ru/item/9060-komplekt-belya-ginette-iz-lent/","9060")</f>
      </c>
      <c r="B2109" s="8" t="s">
        <v>2103</v>
      </c>
      <c r="C2109" s="9">
        <v>1730</v>
      </c>
      <c r="D2109" s="0">
        <v>13</v>
      </c>
      <c r="E2109" s="10">
        <f>HYPERLINK("http://www.lingerieopt.ru/images/original/efe066dd-840a-440f-a96f-ad905303c701.jpg","Фото")</f>
      </c>
    </row>
    <row r="2110">
      <c r="A2110" s="7">
        <f>HYPERLINK("http://www.lingerieopt.ru/item/9060-komplekt-belya-ginette-iz-lent/","9060")</f>
      </c>
      <c r="B2110" s="8" t="s">
        <v>2104</v>
      </c>
      <c r="C2110" s="9">
        <v>1730</v>
      </c>
      <c r="D2110" s="0">
        <v>14</v>
      </c>
      <c r="E2110" s="10">
        <f>HYPERLINK("http://www.lingerieopt.ru/images/original/efe066dd-840a-440f-a96f-ad905303c701.jpg","Фото")</f>
      </c>
    </row>
    <row r="2111">
      <c r="A2111" s="7">
        <f>HYPERLINK("http://www.lingerieopt.ru/item/9060-komplekt-belya-ginette-iz-lent/","9060")</f>
      </c>
      <c r="B2111" s="8" t="s">
        <v>2105</v>
      </c>
      <c r="C2111" s="9">
        <v>1730</v>
      </c>
      <c r="D2111" s="0">
        <v>4</v>
      </c>
      <c r="E2111" s="10">
        <f>HYPERLINK("http://www.lingerieopt.ru/images/original/efe066dd-840a-440f-a96f-ad905303c701.jpg","Фото")</f>
      </c>
    </row>
    <row r="2112">
      <c r="A2112" s="7">
        <f>HYPERLINK("http://www.lingerieopt.ru/item/9061-soblaznitelnji-komplekt-nizhnego-belya-lisa/","9061")</f>
      </c>
      <c r="B2112" s="8" t="s">
        <v>2106</v>
      </c>
      <c r="C2112" s="9">
        <v>1620</v>
      </c>
      <c r="D2112" s="0">
        <v>0</v>
      </c>
      <c r="E2112" s="10">
        <f>HYPERLINK("http://www.lingerieopt.ru/images/original/377edfd9-5221-4d91-9fa6-fec8d80186ac.jpg","Фото")</f>
      </c>
    </row>
    <row r="2113">
      <c r="A2113" s="7">
        <f>HYPERLINK("http://www.lingerieopt.ru/item/9061-soblaznitelnji-komplekt-nizhnego-belya-lisa/","9061")</f>
      </c>
      <c r="B2113" s="8" t="s">
        <v>2107</v>
      </c>
      <c r="C2113" s="9">
        <v>1620</v>
      </c>
      <c r="D2113" s="0">
        <v>6</v>
      </c>
      <c r="E2113" s="10">
        <f>HYPERLINK("http://www.lingerieopt.ru/images/original/377edfd9-5221-4d91-9fa6-fec8d80186ac.jpg","Фото")</f>
      </c>
    </row>
    <row r="2114">
      <c r="A2114" s="7">
        <f>HYPERLINK("http://www.lingerieopt.ru/item/9061-soblaznitelnji-komplekt-nizhnego-belya-lisa/","9061")</f>
      </c>
      <c r="B2114" s="8" t="s">
        <v>2108</v>
      </c>
      <c r="C2114" s="9">
        <v>1620</v>
      </c>
      <c r="D2114" s="0">
        <v>15</v>
      </c>
      <c r="E2114" s="10">
        <f>HYPERLINK("http://www.lingerieopt.ru/images/original/377edfd9-5221-4d91-9fa6-fec8d80186ac.jpg","Фото")</f>
      </c>
    </row>
    <row r="2115">
      <c r="A2115" s="7">
        <f>HYPERLINK("http://www.lingerieopt.ru/item/9070-soblaznitelnji-komplekt-belya-afesie-lif-i-trusiki/","9070")</f>
      </c>
      <c r="B2115" s="8" t="s">
        <v>2109</v>
      </c>
      <c r="C2115" s="9">
        <v>968</v>
      </c>
      <c r="D2115" s="0">
        <v>3</v>
      </c>
      <c r="E2115" s="10">
        <f>HYPERLINK("http://www.lingerieopt.ru/images/original/bf7774d6-04a6-4d1c-b84f-62036127a700.jpg","Фото")</f>
      </c>
    </row>
    <row r="2116">
      <c r="A2116" s="7">
        <f>HYPERLINK("http://www.lingerieopt.ru/item/9070-soblaznitelnji-komplekt-belya-afesie-lif-i-trusiki/","9070")</f>
      </c>
      <c r="B2116" s="8" t="s">
        <v>2110</v>
      </c>
      <c r="C2116" s="9">
        <v>968</v>
      </c>
      <c r="D2116" s="0">
        <v>5</v>
      </c>
      <c r="E2116" s="10">
        <f>HYPERLINK("http://www.lingerieopt.ru/images/original/bf7774d6-04a6-4d1c-b84f-62036127a700.jpg","Фото")</f>
      </c>
    </row>
    <row r="2117">
      <c r="A2117" s="7">
        <f>HYPERLINK("http://www.lingerieopt.ru/item/9070-soblaznitelnji-komplekt-belya-afesie-lif-i-trusiki/","9070")</f>
      </c>
      <c r="B2117" s="8" t="s">
        <v>2111</v>
      </c>
      <c r="C2117" s="9">
        <v>968</v>
      </c>
      <c r="D2117" s="0">
        <v>1</v>
      </c>
      <c r="E2117" s="10">
        <f>HYPERLINK("http://www.lingerieopt.ru/images/original/bf7774d6-04a6-4d1c-b84f-62036127a700.jpg","Фото")</f>
      </c>
    </row>
    <row r="2118">
      <c r="A2118" s="7">
        <f>HYPERLINK("http://www.lingerieopt.ru/item/9070-soblaznitelnji-komplekt-belya-afesie-lif-i-trusiki/","9070")</f>
      </c>
      <c r="B2118" s="8" t="s">
        <v>2112</v>
      </c>
      <c r="C2118" s="9">
        <v>968</v>
      </c>
      <c r="D2118" s="0">
        <v>8</v>
      </c>
      <c r="E2118" s="10">
        <f>HYPERLINK("http://www.lingerieopt.ru/images/original/bf7774d6-04a6-4d1c-b84f-62036127a700.jpg","Фото")</f>
      </c>
    </row>
    <row r="2119">
      <c r="A2119" s="7">
        <f>HYPERLINK("http://www.lingerieopt.ru/item/9074-ultra-soblaznitelnji-komplekt-belya-esathe/","9074")</f>
      </c>
      <c r="B2119" s="8" t="s">
        <v>2113</v>
      </c>
      <c r="C2119" s="9">
        <v>1509</v>
      </c>
      <c r="D2119" s="0">
        <v>2</v>
      </c>
      <c r="E2119" s="10">
        <f>HYPERLINK("http://www.lingerieopt.ru/images/original/8e395a8d-a1f0-4934-a07f-960e54fdd9f9.jpg","Фото")</f>
      </c>
    </row>
    <row r="2120">
      <c r="A2120" s="7">
        <f>HYPERLINK("http://www.lingerieopt.ru/item/9074-ultra-soblaznitelnji-komplekt-belya-esathe/","9074")</f>
      </c>
      <c r="B2120" s="8" t="s">
        <v>2114</v>
      </c>
      <c r="C2120" s="9">
        <v>1509</v>
      </c>
      <c r="D2120" s="0">
        <v>6</v>
      </c>
      <c r="E2120" s="10">
        <f>HYPERLINK("http://www.lingerieopt.ru/images/original/8e395a8d-a1f0-4934-a07f-960e54fdd9f9.jpg","Фото")</f>
      </c>
    </row>
    <row r="2121">
      <c r="A2121" s="7">
        <f>HYPERLINK("http://www.lingerieopt.ru/item/9074-ultra-soblaznitelnji-komplekt-belya-esathe/","9074")</f>
      </c>
      <c r="B2121" s="8" t="s">
        <v>2115</v>
      </c>
      <c r="C2121" s="9">
        <v>1509</v>
      </c>
      <c r="D2121" s="0">
        <v>10</v>
      </c>
      <c r="E2121" s="10">
        <f>HYPERLINK("http://www.lingerieopt.ru/images/original/8e395a8d-a1f0-4934-a07f-960e54fdd9f9.jpg","Фото")</f>
      </c>
    </row>
    <row r="2122">
      <c r="A2122" s="7">
        <f>HYPERLINK("http://www.lingerieopt.ru/item/9074-ultra-soblaznitelnji-komplekt-belya-esathe/","9074")</f>
      </c>
      <c r="B2122" s="8" t="s">
        <v>2116</v>
      </c>
      <c r="C2122" s="9">
        <v>1509</v>
      </c>
      <c r="D2122" s="0">
        <v>7</v>
      </c>
      <c r="E2122" s="10">
        <f>HYPERLINK("http://www.lingerieopt.ru/images/original/8e395a8d-a1f0-4934-a07f-960e54fdd9f9.jpg","Фото")</f>
      </c>
    </row>
    <row r="2123">
      <c r="A2123" s="7">
        <f>HYPERLINK("http://www.lingerieopt.ru/item/9075-otkrjtji-komplekt-nizhnego-belya-foxen/","9075")</f>
      </c>
      <c r="B2123" s="8" t="s">
        <v>2117</v>
      </c>
      <c r="C2123" s="9">
        <v>1016</v>
      </c>
      <c r="D2123" s="0">
        <v>2</v>
      </c>
      <c r="E2123" s="10">
        <f>HYPERLINK("http://www.lingerieopt.ru/images/original/ca8e3e30-b6cc-4a0f-b0a9-c886cda7d840.jpg","Фото")</f>
      </c>
    </row>
    <row r="2124">
      <c r="A2124" s="7">
        <f>HYPERLINK("http://www.lingerieopt.ru/item/9075-otkrjtji-komplekt-nizhnego-belya-foxen/","9075")</f>
      </c>
      <c r="B2124" s="8" t="s">
        <v>2118</v>
      </c>
      <c r="C2124" s="9">
        <v>1016</v>
      </c>
      <c r="D2124" s="0">
        <v>2</v>
      </c>
      <c r="E2124" s="10">
        <f>HYPERLINK("http://www.lingerieopt.ru/images/original/ca8e3e30-b6cc-4a0f-b0a9-c886cda7d840.jpg","Фото")</f>
      </c>
    </row>
    <row r="2125">
      <c r="A2125" s="7">
        <f>HYPERLINK("http://www.lingerieopt.ru/item/9075-otkrjtji-komplekt-nizhnego-belya-foxen/","9075")</f>
      </c>
      <c r="B2125" s="8" t="s">
        <v>2119</v>
      </c>
      <c r="C2125" s="9">
        <v>1016</v>
      </c>
      <c r="D2125" s="0">
        <v>3</v>
      </c>
      <c r="E2125" s="10">
        <f>HYPERLINK("http://www.lingerieopt.ru/images/original/ca8e3e30-b6cc-4a0f-b0a9-c886cda7d840.jpg","Фото")</f>
      </c>
    </row>
    <row r="2126">
      <c r="A2126" s="7">
        <f>HYPERLINK("http://www.lingerieopt.ru/item/9075-otkrjtji-komplekt-nizhnego-belya-foxen/","9075")</f>
      </c>
      <c r="B2126" s="8" t="s">
        <v>2120</v>
      </c>
      <c r="C2126" s="9">
        <v>1016</v>
      </c>
      <c r="D2126" s="0">
        <v>2</v>
      </c>
      <c r="E2126" s="10">
        <f>HYPERLINK("http://www.lingerieopt.ru/images/original/ca8e3e30-b6cc-4a0f-b0a9-c886cda7d840.jpg","Фото")</f>
      </c>
    </row>
    <row r="2127">
      <c r="A2127" s="7">
        <f>HYPERLINK("http://www.lingerieopt.ru/item/9078-provokacionnji-komplekt-belya-yasena-lif-trusiki-stringi-i-poyas-s-pazhami/","9078")</f>
      </c>
      <c r="B2127" s="8" t="s">
        <v>2121</v>
      </c>
      <c r="C2127" s="9">
        <v>2027</v>
      </c>
      <c r="D2127" s="0">
        <v>5</v>
      </c>
      <c r="E2127" s="10">
        <f>HYPERLINK("http://www.lingerieopt.ru/images/original/77831a7d-fe02-4452-987d-77e449087324.jpg","Фото")</f>
      </c>
    </row>
    <row r="2128">
      <c r="A2128" s="7">
        <f>HYPERLINK("http://www.lingerieopt.ru/item/9078-provokacionnji-komplekt-belya-yasena-lif-trusiki-stringi-i-poyas-s-pazhami/","9078")</f>
      </c>
      <c r="B2128" s="8" t="s">
        <v>2122</v>
      </c>
      <c r="C2128" s="9">
        <v>2027</v>
      </c>
      <c r="D2128" s="0">
        <v>0</v>
      </c>
      <c r="E2128" s="10">
        <f>HYPERLINK("http://www.lingerieopt.ru/images/original/77831a7d-fe02-4452-987d-77e449087324.jpg","Фото")</f>
      </c>
    </row>
    <row r="2129">
      <c r="A2129" s="7">
        <f>HYPERLINK("http://www.lingerieopt.ru/item/9078-provokacionnji-komplekt-belya-yasena-lif-trusiki-stringi-i-poyas-s-pazhami/","9078")</f>
      </c>
      <c r="B2129" s="8" t="s">
        <v>2123</v>
      </c>
      <c r="C2129" s="9">
        <v>2027</v>
      </c>
      <c r="D2129" s="0">
        <v>6</v>
      </c>
      <c r="E2129" s="10">
        <f>HYPERLINK("http://www.lingerieopt.ru/images/original/77831a7d-fe02-4452-987d-77e449087324.jpg","Фото")</f>
      </c>
    </row>
    <row r="2130">
      <c r="A2130" s="7">
        <f>HYPERLINK("http://www.lingerieopt.ru/item/9078-provokacionnji-komplekt-belya-yasena-lif-trusiki-stringi-i-poyas-s-pazhami/","9078")</f>
      </c>
      <c r="B2130" s="8" t="s">
        <v>2124</v>
      </c>
      <c r="C2130" s="9">
        <v>2027</v>
      </c>
      <c r="D2130" s="0">
        <v>3</v>
      </c>
      <c r="E2130" s="10">
        <f>HYPERLINK("http://www.lingerieopt.ru/images/original/77831a7d-fe02-4452-987d-77e449087324.jpg","Фото")</f>
      </c>
    </row>
    <row r="2131">
      <c r="A2131" s="7">
        <f>HYPERLINK("http://www.lingerieopt.ru/item/9079-ocharovatelnji-komplekt-belya-oretha/","9079")</f>
      </c>
      <c r="B2131" s="8" t="s">
        <v>2125</v>
      </c>
      <c r="C2131" s="9">
        <v>1993</v>
      </c>
      <c r="D2131" s="0">
        <v>10</v>
      </c>
      <c r="E2131" s="10">
        <f>HYPERLINK("http://www.lingerieopt.ru/images/original/96f4f675-a2eb-4055-aea3-c29e0eb7a319.jpg","Фото")</f>
      </c>
    </row>
    <row r="2132">
      <c r="A2132" s="7">
        <f>HYPERLINK("http://www.lingerieopt.ru/item/9079-ocharovatelnji-komplekt-belya-oretha/","9079")</f>
      </c>
      <c r="B2132" s="8" t="s">
        <v>2126</v>
      </c>
      <c r="C2132" s="9">
        <v>1993</v>
      </c>
      <c r="D2132" s="0">
        <v>10</v>
      </c>
      <c r="E2132" s="10">
        <f>HYPERLINK("http://www.lingerieopt.ru/images/original/96f4f675-a2eb-4055-aea3-c29e0eb7a319.jpg","Фото")</f>
      </c>
    </row>
    <row r="2133">
      <c r="A2133" s="7">
        <f>HYPERLINK("http://www.lingerieopt.ru/item/9079-ocharovatelnji-komplekt-belya-oretha/","9079")</f>
      </c>
      <c r="B2133" s="8" t="s">
        <v>2127</v>
      </c>
      <c r="C2133" s="9">
        <v>1993</v>
      </c>
      <c r="D2133" s="0">
        <v>11</v>
      </c>
      <c r="E2133" s="10">
        <f>HYPERLINK("http://www.lingerieopt.ru/images/original/96f4f675-a2eb-4055-aea3-c29e0eb7a319.jpg","Фото")</f>
      </c>
    </row>
    <row r="2134">
      <c r="A2134" s="7">
        <f>HYPERLINK("http://www.lingerieopt.ru/item/9085-komplekt-nizhnego-belya-iz-setki-i-kruzhev/","9085")</f>
      </c>
      <c r="B2134" s="8" t="s">
        <v>2128</v>
      </c>
      <c r="C2134" s="9">
        <v>1439</v>
      </c>
      <c r="D2134" s="0">
        <v>2</v>
      </c>
      <c r="E2134" s="10">
        <f>HYPERLINK("http://www.lingerieopt.ru/images/original/dda1c866-174a-45fe-af8d-a49cbd73ee87.jpg","Фото")</f>
      </c>
    </row>
    <row r="2135">
      <c r="A2135" s="7">
        <f>HYPERLINK("http://www.lingerieopt.ru/item/9085-komplekt-nizhnego-belya-iz-setki-i-kruzhev/","9085")</f>
      </c>
      <c r="B2135" s="8" t="s">
        <v>2129</v>
      </c>
      <c r="C2135" s="9">
        <v>1439</v>
      </c>
      <c r="D2135" s="0">
        <v>9</v>
      </c>
      <c r="E2135" s="10">
        <f>HYPERLINK("http://www.lingerieopt.ru/images/original/dda1c866-174a-45fe-af8d-a49cbd73ee87.jpg","Фото")</f>
      </c>
    </row>
    <row r="2136">
      <c r="A2136" s="7">
        <f>HYPERLINK("http://www.lingerieopt.ru/item/9089-soblaznitelnji-komplekt-belya-amazing-iz-3-predmetov/","9089")</f>
      </c>
      <c r="B2136" s="8" t="s">
        <v>2130</v>
      </c>
      <c r="C2136" s="9">
        <v>1753</v>
      </c>
      <c r="D2136" s="0">
        <v>4</v>
      </c>
      <c r="E2136" s="10">
        <f>HYPERLINK("http://www.lingerieopt.ru/images/original/057c6649-d9fd-4505-8356-a859e3472194.jpg","Фото")</f>
      </c>
    </row>
    <row r="2137">
      <c r="A2137" s="7">
        <f>HYPERLINK("http://www.lingerieopt.ru/item/9089-soblaznitelnji-komplekt-belya-amazing-iz-3-predmetov/","9089")</f>
      </c>
      <c r="B2137" s="8" t="s">
        <v>2131</v>
      </c>
      <c r="C2137" s="9">
        <v>1753</v>
      </c>
      <c r="D2137" s="0">
        <v>4</v>
      </c>
      <c r="E2137" s="10">
        <f>HYPERLINK("http://www.lingerieopt.ru/images/original/057c6649-d9fd-4505-8356-a859e3472194.jpg","Фото")</f>
      </c>
    </row>
    <row r="2138">
      <c r="A2138" s="7">
        <f>HYPERLINK("http://www.lingerieopt.ru/item/9099-yarkii-komplekt-zhenskogo-belya-iz-cvetochnogo-azhura/","9099")</f>
      </c>
      <c r="B2138" s="8" t="s">
        <v>2132</v>
      </c>
      <c r="C2138" s="9">
        <v>1651</v>
      </c>
      <c r="D2138" s="0">
        <v>8</v>
      </c>
      <c r="E2138" s="10">
        <f>HYPERLINK("http://www.lingerieopt.ru/images/original/c357dd1c-5191-496f-b02a-98add81f518e.jpg","Фото")</f>
      </c>
    </row>
    <row r="2139">
      <c r="A2139" s="7">
        <f>HYPERLINK("http://www.lingerieopt.ru/item/9099-yarkii-komplekt-zhenskogo-belya-iz-cvetochnogo-azhura/","9099")</f>
      </c>
      <c r="B2139" s="8" t="s">
        <v>2133</v>
      </c>
      <c r="C2139" s="9">
        <v>1651</v>
      </c>
      <c r="D2139" s="0">
        <v>5</v>
      </c>
      <c r="E2139" s="10">
        <f>HYPERLINK("http://www.lingerieopt.ru/images/original/c357dd1c-5191-496f-b02a-98add81f518e.jpg","Фото")</f>
      </c>
    </row>
    <row r="2140">
      <c r="A2140" s="7">
        <f>HYPERLINK("http://www.lingerieopt.ru/item/9101-smelji-komplekt-belya-iz-nezhnogo-kruzheva/","9101")</f>
      </c>
      <c r="B2140" s="8" t="s">
        <v>2134</v>
      </c>
      <c r="C2140" s="9">
        <v>1337</v>
      </c>
      <c r="D2140" s="0">
        <v>5</v>
      </c>
      <c r="E2140" s="10">
        <f>HYPERLINK("http://www.lingerieopt.ru/images/original/5485967f-ef0a-496b-ab3e-8ee644b053b2.jpg","Фото")</f>
      </c>
    </row>
    <row r="2141">
      <c r="A2141" s="7">
        <f>HYPERLINK("http://www.lingerieopt.ru/item/9101-smelji-komplekt-belya-iz-nezhnogo-kruzheva/","9101")</f>
      </c>
      <c r="B2141" s="8" t="s">
        <v>2135</v>
      </c>
      <c r="C2141" s="9">
        <v>1337</v>
      </c>
      <c r="D2141" s="0">
        <v>22</v>
      </c>
      <c r="E2141" s="10">
        <f>HYPERLINK("http://www.lingerieopt.ru/images/original/5485967f-ef0a-496b-ab3e-8ee644b053b2.jpg","Фото")</f>
      </c>
    </row>
    <row r="2142">
      <c r="A2142" s="7">
        <f>HYPERLINK("http://www.lingerieopt.ru/item/9114-komplekt-belya-pauline-s-cvetochnjm-kruzhevom/","9114")</f>
      </c>
      <c r="B2142" s="8" t="s">
        <v>2136</v>
      </c>
      <c r="C2142" s="9">
        <v>1299</v>
      </c>
      <c r="D2142" s="0">
        <v>8</v>
      </c>
      <c r="E2142" s="10">
        <f>HYPERLINK("http://www.lingerieopt.ru/images/original/2193ae70-1ad0-4724-8ae2-fe40392f65ee.jpg","Фото")</f>
      </c>
    </row>
    <row r="2143">
      <c r="A2143" s="7">
        <f>HYPERLINK("http://www.lingerieopt.ru/item/9114-komplekt-belya-pauline-s-cvetochnjm-kruzhevom/","9114")</f>
      </c>
      <c r="B2143" s="8" t="s">
        <v>2137</v>
      </c>
      <c r="C2143" s="9">
        <v>1299</v>
      </c>
      <c r="D2143" s="0">
        <v>3</v>
      </c>
      <c r="E2143" s="10">
        <f>HYPERLINK("http://www.lingerieopt.ru/images/original/2193ae70-1ad0-4724-8ae2-fe40392f65ee.jpg","Фото")</f>
      </c>
    </row>
    <row r="2144">
      <c r="A2144" s="7">
        <f>HYPERLINK("http://www.lingerieopt.ru/item/9121-komplekt-belya-iz-yarkogo-azhura/","9121")</f>
      </c>
      <c r="B2144" s="8" t="s">
        <v>2138</v>
      </c>
      <c r="C2144" s="9">
        <v>1301</v>
      </c>
      <c r="D2144" s="0">
        <v>6</v>
      </c>
      <c r="E2144" s="10">
        <f>HYPERLINK("http://www.lingerieopt.ru/images/original/4687fe9b-8bd9-40ef-bcff-9338c9a72416.jpg","Фото")</f>
      </c>
    </row>
    <row r="2145">
      <c r="A2145" s="7">
        <f>HYPERLINK("http://www.lingerieopt.ru/item/9121-komplekt-belya-iz-yarkogo-azhura/","9121")</f>
      </c>
      <c r="B2145" s="8" t="s">
        <v>2139</v>
      </c>
      <c r="C2145" s="9">
        <v>1301</v>
      </c>
      <c r="D2145" s="0">
        <v>9</v>
      </c>
      <c r="E2145" s="10">
        <f>HYPERLINK("http://www.lingerieopt.ru/images/original/4687fe9b-8bd9-40ef-bcff-9338c9a72416.jpg","Фото")</f>
      </c>
    </row>
    <row r="2146">
      <c r="A2146" s="7">
        <f>HYPERLINK("http://www.lingerieopt.ru/item/9132-soblaznitelnji-komplekt-belya-sedusia/","9132")</f>
      </c>
      <c r="B2146" s="8" t="s">
        <v>2140</v>
      </c>
      <c r="C2146" s="9">
        <v>1439</v>
      </c>
      <c r="D2146" s="0">
        <v>4</v>
      </c>
      <c r="E2146" s="10">
        <f>HYPERLINK("http://www.lingerieopt.ru/images/original/d152d6cf-7059-4124-8714-abfa76ea7082.jpg","Фото")</f>
      </c>
    </row>
    <row r="2147">
      <c r="A2147" s="7">
        <f>HYPERLINK("http://www.lingerieopt.ru/item/9132-soblaznitelnji-komplekt-belya-sedusia/","9132")</f>
      </c>
      <c r="B2147" s="8" t="s">
        <v>2141</v>
      </c>
      <c r="C2147" s="9">
        <v>1439</v>
      </c>
      <c r="D2147" s="0">
        <v>1</v>
      </c>
      <c r="E2147" s="10">
        <f>HYPERLINK("http://www.lingerieopt.ru/images/original/d152d6cf-7059-4124-8714-abfa76ea7082.jpg","Фото")</f>
      </c>
    </row>
    <row r="2148">
      <c r="A2148" s="7">
        <f>HYPERLINK("http://www.lingerieopt.ru/item/9139-soblaznitelnji-komplekt-nizhnego-belya-s-cvetochnjm-uzorom/","9139")</f>
      </c>
      <c r="B2148" s="8" t="s">
        <v>2142</v>
      </c>
      <c r="C2148" s="9">
        <v>1439</v>
      </c>
      <c r="D2148" s="0">
        <v>4</v>
      </c>
      <c r="E2148" s="10">
        <f>HYPERLINK("http://www.lingerieopt.ru/images/original/4682bce0-6677-4043-9834-bce39e45c540.jpg","Фото")</f>
      </c>
    </row>
    <row r="2149">
      <c r="A2149" s="7">
        <f>HYPERLINK("http://www.lingerieopt.ru/item/9139-soblaznitelnji-komplekt-nizhnego-belya-s-cvetochnjm-uzorom/","9139")</f>
      </c>
      <c r="B2149" s="8" t="s">
        <v>2143</v>
      </c>
      <c r="C2149" s="9">
        <v>1439</v>
      </c>
      <c r="D2149" s="0">
        <v>10</v>
      </c>
      <c r="E2149" s="10">
        <f>HYPERLINK("http://www.lingerieopt.ru/images/original/4682bce0-6677-4043-9834-bce39e45c540.jpg","Фото")</f>
      </c>
    </row>
    <row r="2150">
      <c r="A2150" s="7">
        <f>HYPERLINK("http://www.lingerieopt.ru/item/9150-igrivji-komplekt-belya-s-bahromoi/","9150")</f>
      </c>
      <c r="B2150" s="8" t="s">
        <v>2144</v>
      </c>
      <c r="C2150" s="9">
        <v>1381</v>
      </c>
      <c r="D2150" s="0">
        <v>4</v>
      </c>
      <c r="E2150" s="10">
        <f>HYPERLINK("http://www.lingerieopt.ru/images/original/eeda4943-8733-4e96-856a-4b4ca02f058a.jpg","Фото")</f>
      </c>
    </row>
    <row r="2151">
      <c r="A2151" s="7">
        <f>HYPERLINK("http://www.lingerieopt.ru/item/9150-igrivji-komplekt-belya-s-bahromoi/","9150")</f>
      </c>
      <c r="B2151" s="8" t="s">
        <v>2145</v>
      </c>
      <c r="C2151" s="9">
        <v>1381</v>
      </c>
      <c r="D2151" s="0">
        <v>2</v>
      </c>
      <c r="E2151" s="10">
        <f>HYPERLINK("http://www.lingerieopt.ru/images/original/eeda4943-8733-4e96-856a-4b4ca02f058a.jpg","Фото")</f>
      </c>
    </row>
    <row r="2152">
      <c r="A2152" s="7">
        <f>HYPERLINK("http://www.lingerieopt.ru/item/9181-derzkii-komplekt-belya-s-dopolnitelnjmi-bretelyami/","9181")</f>
      </c>
      <c r="B2152" s="8" t="s">
        <v>2146</v>
      </c>
      <c r="C2152" s="9">
        <v>1779</v>
      </c>
      <c r="D2152" s="0">
        <v>2</v>
      </c>
      <c r="E2152" s="10">
        <f>HYPERLINK("http://www.lingerieopt.ru/images/original/eaa24688-d805-4d38-a267-06a8b078ed37.jpg","Фото")</f>
      </c>
    </row>
    <row r="2153">
      <c r="A2153" s="7">
        <f>HYPERLINK("http://www.lingerieopt.ru/item/9181-derzkii-komplekt-belya-s-dopolnitelnjmi-bretelyami/","9181")</f>
      </c>
      <c r="B2153" s="8" t="s">
        <v>2147</v>
      </c>
      <c r="C2153" s="9">
        <v>1779</v>
      </c>
      <c r="D2153" s="0">
        <v>2</v>
      </c>
      <c r="E2153" s="10">
        <f>HYPERLINK("http://www.lingerieopt.ru/images/original/eaa24688-d805-4d38-a267-06a8b078ed37.jpg","Фото")</f>
      </c>
    </row>
    <row r="2154">
      <c r="A2154" s="7">
        <f>HYPERLINK("http://www.lingerieopt.ru/item/9208-poluprozrachnji-azhurnji-komplekt/","9208")</f>
      </c>
      <c r="B2154" s="8" t="s">
        <v>2148</v>
      </c>
      <c r="C2154" s="9">
        <v>1732</v>
      </c>
      <c r="D2154" s="0">
        <v>3</v>
      </c>
      <c r="E2154" s="10">
        <f>HYPERLINK("http://www.lingerieopt.ru/images/original/2f2d5fc6-c31e-4df6-a808-bd2da239ca93.jpg","Фото")</f>
      </c>
    </row>
    <row r="2155">
      <c r="A2155" s="7">
        <f>HYPERLINK("http://www.lingerieopt.ru/item/9208-poluprozrachnji-azhurnji-komplekt/","9208")</f>
      </c>
      <c r="B2155" s="8" t="s">
        <v>2149</v>
      </c>
      <c r="C2155" s="9">
        <v>1732</v>
      </c>
      <c r="D2155" s="0">
        <v>1</v>
      </c>
      <c r="E2155" s="10">
        <f>HYPERLINK("http://www.lingerieopt.ru/images/original/2f2d5fc6-c31e-4df6-a808-bd2da239ca93.jpg","Фото")</f>
      </c>
    </row>
    <row r="2156">
      <c r="A2156" s="7">
        <f>HYPERLINK("http://www.lingerieopt.ru/item/9209-azhurnji-komplekt-bikini/","9209")</f>
      </c>
      <c r="B2156" s="8" t="s">
        <v>2150</v>
      </c>
      <c r="C2156" s="9">
        <v>1286</v>
      </c>
      <c r="D2156" s="0">
        <v>3</v>
      </c>
      <c r="E2156" s="10">
        <f>HYPERLINK("http://www.lingerieopt.ru/images/original/98159acd-904c-4c91-9512-7873a01bf3ad.jpg","Фото")</f>
      </c>
    </row>
    <row r="2157">
      <c r="A2157" s="7">
        <f>HYPERLINK("http://www.lingerieopt.ru/item/9209-azhurnji-komplekt-bikini/","9209")</f>
      </c>
      <c r="B2157" s="8" t="s">
        <v>2151</v>
      </c>
      <c r="C2157" s="9">
        <v>1286</v>
      </c>
      <c r="D2157" s="0">
        <v>0</v>
      </c>
      <c r="E2157" s="10">
        <f>HYPERLINK("http://www.lingerieopt.ru/images/original/98159acd-904c-4c91-9512-7873a01bf3ad.jpg","Фото")</f>
      </c>
    </row>
    <row r="2158">
      <c r="A2158" s="7">
        <f>HYPERLINK("http://www.lingerieopt.ru/item/9220-soblaznitelnji-komplekt-belya-s-kletchatjmi-elementami/","9220")</f>
      </c>
      <c r="B2158" s="8" t="s">
        <v>2152</v>
      </c>
      <c r="C2158" s="9">
        <v>1439</v>
      </c>
      <c r="D2158" s="0">
        <v>0</v>
      </c>
      <c r="E2158" s="10">
        <f>HYPERLINK("http://www.lingerieopt.ru/images/original/624df065-51d0-4e83-9663-7dd4072fe4c3.jpg","Фото")</f>
      </c>
    </row>
    <row r="2159">
      <c r="A2159" s="7">
        <f>HYPERLINK("http://www.lingerieopt.ru/item/9220-soblaznitelnji-komplekt-belya-s-kletchatjmi-elementami/","9220")</f>
      </c>
      <c r="B2159" s="8" t="s">
        <v>2153</v>
      </c>
      <c r="C2159" s="9">
        <v>1439</v>
      </c>
      <c r="D2159" s="0">
        <v>2</v>
      </c>
      <c r="E2159" s="10">
        <f>HYPERLINK("http://www.lingerieopt.ru/images/original/624df065-51d0-4e83-9663-7dd4072fe4c3.jpg","Фото")</f>
      </c>
    </row>
    <row r="2160">
      <c r="A2160" s="7">
        <f>HYPERLINK("http://www.lingerieopt.ru/item/9233-soblaznitelnji-komplekt-belya-s-businkami/","9233")</f>
      </c>
      <c r="B2160" s="8" t="s">
        <v>2154</v>
      </c>
      <c r="C2160" s="9">
        <v>1439</v>
      </c>
      <c r="D2160" s="0">
        <v>0</v>
      </c>
      <c r="E2160" s="10">
        <f>HYPERLINK("http://www.lingerieopt.ru/images/original/bfb96307-0d8f-40a1-8f2c-8c156c9b4339.jpg","Фото")</f>
      </c>
    </row>
    <row r="2161">
      <c r="A2161" s="7">
        <f>HYPERLINK("http://www.lingerieopt.ru/item/9233-soblaznitelnji-komplekt-belya-s-businkami/","9233")</f>
      </c>
      <c r="B2161" s="8" t="s">
        <v>2155</v>
      </c>
      <c r="C2161" s="9">
        <v>1439</v>
      </c>
      <c r="D2161" s="0">
        <v>3</v>
      </c>
      <c r="E2161" s="10">
        <f>HYPERLINK("http://www.lingerieopt.ru/images/original/bfb96307-0d8f-40a1-8f2c-8c156c9b4339.jpg","Фото")</f>
      </c>
    </row>
    <row r="2162">
      <c r="A2162" s="7">
        <f>HYPERLINK("http://www.lingerieopt.ru/item/9290-soblaznitelnji-komplekt-belya-s-vjshivkoi/","9290")</f>
      </c>
      <c r="B2162" s="8" t="s">
        <v>2156</v>
      </c>
      <c r="C2162" s="9">
        <v>1673</v>
      </c>
      <c r="D2162" s="0">
        <v>2</v>
      </c>
      <c r="E2162" s="10">
        <f>HYPERLINK("http://www.lingerieopt.ru/images/original/4ef6e165-8c2d-471c-bdd1-601f3d05c785.jpg","Фото")</f>
      </c>
    </row>
    <row r="2163">
      <c r="A2163" s="7">
        <f>HYPERLINK("http://www.lingerieopt.ru/item/9290-soblaznitelnji-komplekt-belya-s-vjshivkoi/","9290")</f>
      </c>
      <c r="B2163" s="8" t="s">
        <v>2157</v>
      </c>
      <c r="C2163" s="9">
        <v>1673</v>
      </c>
      <c r="D2163" s="0">
        <v>5</v>
      </c>
      <c r="E2163" s="10">
        <f>HYPERLINK("http://www.lingerieopt.ru/images/original/4ef6e165-8c2d-471c-bdd1-601f3d05c785.jpg","Фото")</f>
      </c>
    </row>
    <row r="2164">
      <c r="A2164" s="7">
        <f>HYPERLINK("http://www.lingerieopt.ru/item/9299-poluprozrachnji-komplekt-belya-s-kruzhevnoi-otdelkoi/","9299")</f>
      </c>
      <c r="B2164" s="8" t="s">
        <v>2158</v>
      </c>
      <c r="C2164" s="9">
        <v>1241</v>
      </c>
      <c r="D2164" s="0">
        <v>2</v>
      </c>
      <c r="E2164" s="10">
        <f>HYPERLINK("http://www.lingerieopt.ru/images/original/27678f4d-86ed-42a7-85ca-e0beee8a58e6.jpg","Фото")</f>
      </c>
    </row>
    <row r="2165">
      <c r="A2165" s="7">
        <f>HYPERLINK("http://www.lingerieopt.ru/item/9299-poluprozrachnji-komplekt-belya-s-kruzhevnoi-otdelkoi/","9299")</f>
      </c>
      <c r="B2165" s="8" t="s">
        <v>2159</v>
      </c>
      <c r="C2165" s="9">
        <v>1241</v>
      </c>
      <c r="D2165" s="0">
        <v>2</v>
      </c>
      <c r="E2165" s="10">
        <f>HYPERLINK("http://www.lingerieopt.ru/images/original/27678f4d-86ed-42a7-85ca-e0beee8a58e6.jpg","Фото")</f>
      </c>
    </row>
    <row r="2166">
      <c r="A2166" s="7">
        <f>HYPERLINK("http://www.lingerieopt.ru/item/9306-charuyuschii-komplekt-belya-iz-nezhnogo-kruzheva-s-ukrasheniem-na-trusikah/","9306")</f>
      </c>
      <c r="B2166" s="8" t="s">
        <v>2160</v>
      </c>
      <c r="C2166" s="9">
        <v>1558</v>
      </c>
      <c r="D2166" s="0">
        <v>6</v>
      </c>
      <c r="E2166" s="10">
        <f>HYPERLINK("http://www.lingerieopt.ru/images/original/7e288bc6-271b-4c10-a334-8d7ec46a7f60.jpg","Фото")</f>
      </c>
    </row>
    <row r="2167">
      <c r="A2167" s="7">
        <f>HYPERLINK("http://www.lingerieopt.ru/item/9306-charuyuschii-komplekt-belya-iz-nezhnogo-kruzheva-s-ukrasheniem-na-trusikah/","9306")</f>
      </c>
      <c r="B2167" s="8" t="s">
        <v>2161</v>
      </c>
      <c r="C2167" s="9">
        <v>1558</v>
      </c>
      <c r="D2167" s="0">
        <v>7</v>
      </c>
      <c r="E2167" s="10">
        <f>HYPERLINK("http://www.lingerieopt.ru/images/original/7e288bc6-271b-4c10-a334-8d7ec46a7f60.jpg","Фото")</f>
      </c>
    </row>
    <row r="2168">
      <c r="A2168" s="7">
        <f>HYPERLINK("http://www.lingerieopt.ru/item/9317-soblaznitelnji-komplekt-medsestrj-iz-setki/","9317")</f>
      </c>
      <c r="B2168" s="8" t="s">
        <v>2162</v>
      </c>
      <c r="C2168" s="9">
        <v>1769</v>
      </c>
      <c r="D2168" s="0">
        <v>5</v>
      </c>
      <c r="E2168" s="10">
        <f>HYPERLINK("http://www.lingerieopt.ru/images/original/80796a2c-3fb7-4cff-8e37-14e7943a9d5f.jpg","Фото")</f>
      </c>
    </row>
    <row r="2169">
      <c r="A2169" s="7">
        <f>HYPERLINK("http://www.lingerieopt.ru/item/9317-soblaznitelnji-komplekt-medsestrj-iz-setki/","9317")</f>
      </c>
      <c r="B2169" s="8" t="s">
        <v>2163</v>
      </c>
      <c r="C2169" s="9">
        <v>1769</v>
      </c>
      <c r="D2169" s="0">
        <v>10</v>
      </c>
      <c r="E2169" s="10">
        <f>HYPERLINK("http://www.lingerieopt.ru/images/original/80796a2c-3fb7-4cff-8e37-14e7943a9d5f.jpg","Фото")</f>
      </c>
    </row>
    <row r="2170">
      <c r="A2170" s="7">
        <f>HYPERLINK("http://www.lingerieopt.ru/item/9347-komplekt-belya-lotus/","9347")</f>
      </c>
      <c r="B2170" s="8" t="s">
        <v>2164</v>
      </c>
      <c r="C2170" s="9">
        <v>1990</v>
      </c>
      <c r="D2170" s="0">
        <v>7</v>
      </c>
      <c r="E2170" s="10">
        <f>HYPERLINK("http://www.lingerieopt.ru/images/original/22cecb66-f73d-4b81-9891-f4c9e1ee88f7.jpg","Фото")</f>
      </c>
    </row>
    <row r="2171">
      <c r="A2171" s="7">
        <f>HYPERLINK("http://www.lingerieopt.ru/item/9347-komplekt-belya-lotus/","9347")</f>
      </c>
      <c r="B2171" s="8" t="s">
        <v>2165</v>
      </c>
      <c r="C2171" s="9">
        <v>1990</v>
      </c>
      <c r="D2171" s="0">
        <v>6</v>
      </c>
      <c r="E2171" s="10">
        <f>HYPERLINK("http://www.lingerieopt.ru/images/original/22cecb66-f73d-4b81-9891-f4c9e1ee88f7.jpg","Фото")</f>
      </c>
    </row>
    <row r="2172">
      <c r="A2172" s="7">
        <f>HYPERLINK("http://www.lingerieopt.ru/item/9347-komplekt-belya-lotus/","9347")</f>
      </c>
      <c r="B2172" s="8" t="s">
        <v>2166</v>
      </c>
      <c r="C2172" s="9">
        <v>1990</v>
      </c>
      <c r="D2172" s="0">
        <v>0</v>
      </c>
      <c r="E2172" s="10">
        <f>HYPERLINK("http://www.lingerieopt.ru/images/original/22cecb66-f73d-4b81-9891-f4c9e1ee88f7.jpg","Фото")</f>
      </c>
    </row>
    <row r="2173">
      <c r="A2173" s="7">
        <f>HYPERLINK("http://www.lingerieopt.ru/item/9347-komplekt-belya-lotus/","9347")</f>
      </c>
      <c r="B2173" s="8" t="s">
        <v>2167</v>
      </c>
      <c r="C2173" s="9">
        <v>1990</v>
      </c>
      <c r="D2173" s="0">
        <v>5</v>
      </c>
      <c r="E2173" s="10">
        <f>HYPERLINK("http://www.lingerieopt.ru/images/original/22cecb66-f73d-4b81-9891-f4c9e1ee88f7.jpg","Фото")</f>
      </c>
    </row>
    <row r="2174">
      <c r="A2174" s="7">
        <f>HYPERLINK("http://www.lingerieopt.ru/item/9355-komplekt-belya-afrodita-plus-size/","9355")</f>
      </c>
      <c r="B2174" s="8" t="s">
        <v>2168</v>
      </c>
      <c r="C2174" s="9">
        <v>1075</v>
      </c>
      <c r="D2174" s="0">
        <v>2</v>
      </c>
      <c r="E2174" s="10">
        <f>HYPERLINK("http://www.lingerieopt.ru/images/original/ea189149-a702-40bc-92dc-726987607986.jpg","Фото")</f>
      </c>
    </row>
    <row r="2175">
      <c r="A2175" s="7">
        <f>HYPERLINK("http://www.lingerieopt.ru/item/9355-komplekt-belya-afrodita-plus-size/","9355")</f>
      </c>
      <c r="B2175" s="8" t="s">
        <v>2169</v>
      </c>
      <c r="C2175" s="9">
        <v>1075</v>
      </c>
      <c r="D2175" s="0">
        <v>0</v>
      </c>
      <c r="E2175" s="10">
        <f>HYPERLINK("http://www.lingerieopt.ru/images/original/ea189149-a702-40bc-92dc-726987607986.jpg","Фото")</f>
      </c>
    </row>
    <row r="2176">
      <c r="A2176" s="7">
        <f>HYPERLINK("http://www.lingerieopt.ru/item/9361-provokacionnji-komplekt-belya-chloe-plus-size/","9361")</f>
      </c>
      <c r="B2176" s="8" t="s">
        <v>2170</v>
      </c>
      <c r="C2176" s="9">
        <v>1075</v>
      </c>
      <c r="D2176" s="0">
        <v>2</v>
      </c>
      <c r="E2176" s="10">
        <f>HYPERLINK("http://www.lingerieopt.ru/images/original/68419559-cb3d-45f7-8e71-f2d750c9e16e.jpg","Фото")</f>
      </c>
    </row>
    <row r="2177">
      <c r="A2177" s="7">
        <f>HYPERLINK("http://www.lingerieopt.ru/item/9361-provokacionnji-komplekt-belya-chloe-plus-size/","9361")</f>
      </c>
      <c r="B2177" s="8" t="s">
        <v>2171</v>
      </c>
      <c r="C2177" s="9">
        <v>1075</v>
      </c>
      <c r="D2177" s="0">
        <v>3</v>
      </c>
      <c r="E2177" s="10">
        <f>HYPERLINK("http://www.lingerieopt.ru/images/original/68419559-cb3d-45f7-8e71-f2d750c9e16e.jpg","Фото")</f>
      </c>
    </row>
    <row r="2178">
      <c r="A2178" s="7">
        <f>HYPERLINK("http://www.lingerieopt.ru/item/9362-provokacionnji-komplekt-belya-chloe-s-metallicheskimi-kolechkami/","9362")</f>
      </c>
      <c r="B2178" s="8" t="s">
        <v>2172</v>
      </c>
      <c r="C2178" s="9">
        <v>1075</v>
      </c>
      <c r="D2178" s="0">
        <v>7</v>
      </c>
      <c r="E2178" s="10">
        <f>HYPERLINK("http://www.lingerieopt.ru/images/original/e4ba4192-db97-47d2-95b7-31308d5fb9ba.jpg","Фото")</f>
      </c>
    </row>
    <row r="2179">
      <c r="A2179" s="7">
        <f>HYPERLINK("http://www.lingerieopt.ru/item/9362-provokacionnji-komplekt-belya-chloe-s-metallicheskimi-kolechkami/","9362")</f>
      </c>
      <c r="B2179" s="8" t="s">
        <v>2173</v>
      </c>
      <c r="C2179" s="9">
        <v>1075</v>
      </c>
      <c r="D2179" s="0">
        <v>5</v>
      </c>
      <c r="E2179" s="10">
        <f>HYPERLINK("http://www.lingerieopt.ru/images/original/e4ba4192-db97-47d2-95b7-31308d5fb9ba.jpg","Фото")</f>
      </c>
    </row>
    <row r="2180">
      <c r="A2180" s="7">
        <f>HYPERLINK("http://www.lingerieopt.ru/item/9362-provokacionnji-komplekt-belya-chloe-s-metallicheskimi-kolechkami/","9362")</f>
      </c>
      <c r="B2180" s="8" t="s">
        <v>2174</v>
      </c>
      <c r="C2180" s="9">
        <v>1075</v>
      </c>
      <c r="D2180" s="0">
        <v>10</v>
      </c>
      <c r="E2180" s="10">
        <f>HYPERLINK("http://www.lingerieopt.ru/images/original/e4ba4192-db97-47d2-95b7-31308d5fb9ba.jpg","Фото")</f>
      </c>
    </row>
    <row r="2181">
      <c r="A2181" s="7">
        <f>HYPERLINK("http://www.lingerieopt.ru/item/9362-provokacionnji-komplekt-belya-chloe-s-metallicheskimi-kolechkami/","9362")</f>
      </c>
      <c r="B2181" s="8" t="s">
        <v>2175</v>
      </c>
      <c r="C2181" s="9">
        <v>1075</v>
      </c>
      <c r="D2181" s="0">
        <v>10</v>
      </c>
      <c r="E2181" s="10">
        <f>HYPERLINK("http://www.lingerieopt.ru/images/original/e4ba4192-db97-47d2-95b7-31308d5fb9ba.jpg","Фото")</f>
      </c>
    </row>
    <row r="2182">
      <c r="A2182" s="7">
        <f>HYPERLINK("http://www.lingerieopt.ru/item/9363-neobjchnji-komplekt-belya-claire-plus-size/","9363")</f>
      </c>
      <c r="B2182" s="8" t="s">
        <v>2176</v>
      </c>
      <c r="C2182" s="9">
        <v>1636</v>
      </c>
      <c r="D2182" s="0">
        <v>2</v>
      </c>
      <c r="E2182" s="10">
        <f>HYPERLINK("http://www.lingerieopt.ru/images/original/f47ce78f-1283-4fe6-86be-fbf1c6231e6b.jpg","Фото")</f>
      </c>
    </row>
    <row r="2183">
      <c r="A2183" s="7">
        <f>HYPERLINK("http://www.lingerieopt.ru/item/9363-neobjchnji-komplekt-belya-claire-plus-size/","9363")</f>
      </c>
      <c r="B2183" s="8" t="s">
        <v>2177</v>
      </c>
      <c r="C2183" s="9">
        <v>1636</v>
      </c>
      <c r="D2183" s="0">
        <v>2</v>
      </c>
      <c r="E2183" s="10">
        <f>HYPERLINK("http://www.lingerieopt.ru/images/original/f47ce78f-1283-4fe6-86be-fbf1c6231e6b.jpg","Фото")</f>
      </c>
    </row>
    <row r="2184">
      <c r="A2184" s="7">
        <f>HYPERLINK("http://www.lingerieopt.ru/item/9364-neobjchnji-i-ochen-seksapilnji-komplekt-belya-claire-s-bantami/","9364")</f>
      </c>
      <c r="B2184" s="8" t="s">
        <v>2178</v>
      </c>
      <c r="C2184" s="9">
        <v>1636</v>
      </c>
      <c r="D2184" s="0">
        <v>3</v>
      </c>
      <c r="E2184" s="10">
        <f>HYPERLINK("http://www.lingerieopt.ru/images/original/811c4e1c-a63c-49c8-9a3b-3101a8af6147.jpg","Фото")</f>
      </c>
    </row>
    <row r="2185">
      <c r="A2185" s="7">
        <f>HYPERLINK("http://www.lingerieopt.ru/item/9364-neobjchnji-i-ochen-seksapilnji-komplekt-belya-claire-s-bantami/","9364")</f>
      </c>
      <c r="B2185" s="8" t="s">
        <v>2179</v>
      </c>
      <c r="C2185" s="9">
        <v>1636</v>
      </c>
      <c r="D2185" s="0">
        <v>3</v>
      </c>
      <c r="E2185" s="10">
        <f>HYPERLINK("http://www.lingerieopt.ru/images/original/811c4e1c-a63c-49c8-9a3b-3101a8af6147.jpg","Фото")</f>
      </c>
    </row>
    <row r="2186">
      <c r="A2186" s="7">
        <f>HYPERLINK("http://www.lingerieopt.ru/item/9364-neobjchnji-i-ochen-seksapilnji-komplekt-belya-claire-s-bantami/","9364")</f>
      </c>
      <c r="B2186" s="8" t="s">
        <v>2180</v>
      </c>
      <c r="C2186" s="9">
        <v>1636</v>
      </c>
      <c r="D2186" s="0">
        <v>5</v>
      </c>
      <c r="E2186" s="10">
        <f>HYPERLINK("http://www.lingerieopt.ru/images/original/811c4e1c-a63c-49c8-9a3b-3101a8af6147.jpg","Фото")</f>
      </c>
    </row>
    <row r="2187">
      <c r="A2187" s="7">
        <f>HYPERLINK("http://www.lingerieopt.ru/item/9364-neobjchnji-i-ochen-seksapilnji-komplekt-belya-claire-s-bantami/","9364")</f>
      </c>
      <c r="B2187" s="8" t="s">
        <v>2181</v>
      </c>
      <c r="C2187" s="9">
        <v>1636</v>
      </c>
      <c r="D2187" s="0">
        <v>4</v>
      </c>
      <c r="E2187" s="10">
        <f>HYPERLINK("http://www.lingerieopt.ru/images/original/811c4e1c-a63c-49c8-9a3b-3101a8af6147.jpg","Фото")</f>
      </c>
    </row>
    <row r="2188">
      <c r="A2188" s="7">
        <f>HYPERLINK("http://www.lingerieopt.ru/item/9365-poluprozrachnji-kletchatji-komplekt-belya-clover-plus-size/","9365")</f>
      </c>
      <c r="B2188" s="8" t="s">
        <v>2182</v>
      </c>
      <c r="C2188" s="9">
        <v>1051</v>
      </c>
      <c r="D2188" s="0">
        <v>2</v>
      </c>
      <c r="E2188" s="10">
        <f>HYPERLINK("http://www.lingerieopt.ru/images/original/abae615e-e872-4651-be8c-b079a581f8e7.jpg","Фото")</f>
      </c>
    </row>
    <row r="2189">
      <c r="A2189" s="7">
        <f>HYPERLINK("http://www.lingerieopt.ru/item/9365-poluprozrachnji-kletchatji-komplekt-belya-clover-plus-size/","9365")</f>
      </c>
      <c r="B2189" s="8" t="s">
        <v>2183</v>
      </c>
      <c r="C2189" s="9">
        <v>1051</v>
      </c>
      <c r="D2189" s="0">
        <v>2</v>
      </c>
      <c r="E2189" s="10">
        <f>HYPERLINK("http://www.lingerieopt.ru/images/original/abae615e-e872-4651-be8c-b079a581f8e7.jpg","Фото")</f>
      </c>
    </row>
    <row r="2190">
      <c r="A2190" s="7">
        <f>HYPERLINK("http://www.lingerieopt.ru/item/9366-poluprozrachnji-komplekt-belya-clover-iz-materiala-v-kletochku/","9366")</f>
      </c>
      <c r="B2190" s="8" t="s">
        <v>2184</v>
      </c>
      <c r="C2190" s="9">
        <v>1051</v>
      </c>
      <c r="D2190" s="0">
        <v>2</v>
      </c>
      <c r="E2190" s="10">
        <f>HYPERLINK("http://www.lingerieopt.ru/images/original/cd0f2a08-688c-4049-b052-b2df7399d285.jpg","Фото")</f>
      </c>
    </row>
    <row r="2191">
      <c r="A2191" s="7">
        <f>HYPERLINK("http://www.lingerieopt.ru/item/9366-poluprozrachnji-komplekt-belya-clover-iz-materiala-v-kletochku/","9366")</f>
      </c>
      <c r="B2191" s="8" t="s">
        <v>2185</v>
      </c>
      <c r="C2191" s="9">
        <v>1051</v>
      </c>
      <c r="D2191" s="0">
        <v>2</v>
      </c>
      <c r="E2191" s="10">
        <f>HYPERLINK("http://www.lingerieopt.ru/images/original/cd0f2a08-688c-4049-b052-b2df7399d285.jpg","Фото")</f>
      </c>
    </row>
    <row r="2192">
      <c r="A2192" s="7">
        <f>HYPERLINK("http://www.lingerieopt.ru/item/9366-poluprozrachnji-komplekt-belya-clover-iz-materiala-v-kletochku/","9366")</f>
      </c>
      <c r="B2192" s="8" t="s">
        <v>2186</v>
      </c>
      <c r="C2192" s="9">
        <v>1051</v>
      </c>
      <c r="D2192" s="0">
        <v>3</v>
      </c>
      <c r="E2192" s="10">
        <f>HYPERLINK("http://www.lingerieopt.ru/images/original/cd0f2a08-688c-4049-b052-b2df7399d285.jpg","Фото")</f>
      </c>
    </row>
    <row r="2193">
      <c r="A2193" s="7">
        <f>HYPERLINK("http://www.lingerieopt.ru/item/9366-poluprozrachnji-komplekt-belya-clover-iz-materiala-v-kletochku/","9366")</f>
      </c>
      <c r="B2193" s="8" t="s">
        <v>2187</v>
      </c>
      <c r="C2193" s="9">
        <v>1051</v>
      </c>
      <c r="D2193" s="0">
        <v>0</v>
      </c>
      <c r="E2193" s="10">
        <f>HYPERLINK("http://www.lingerieopt.ru/images/original/cd0f2a08-688c-4049-b052-b2df7399d285.jpg","Фото")</f>
      </c>
    </row>
    <row r="2194">
      <c r="A2194" s="7">
        <f>HYPERLINK("http://www.lingerieopt.ru/item/9368-komplekt-belya-donna-plus-size-iz-3-predmetov/","9368")</f>
      </c>
      <c r="B2194" s="8" t="s">
        <v>2188</v>
      </c>
      <c r="C2194" s="9">
        <v>2299</v>
      </c>
      <c r="D2194" s="0">
        <v>3</v>
      </c>
      <c r="E2194" s="10">
        <f>HYPERLINK("http://www.lingerieopt.ru/images/original/f235b7a9-2056-4cbb-844d-0a5f4b68d115.jpg","Фото")</f>
      </c>
    </row>
    <row r="2195">
      <c r="A2195" s="7">
        <f>HYPERLINK("http://www.lingerieopt.ru/item/9368-komplekt-belya-donna-plus-size-iz-3-predmetov/","9368")</f>
      </c>
      <c r="B2195" s="8" t="s">
        <v>2189</v>
      </c>
      <c r="C2195" s="9">
        <v>2299</v>
      </c>
      <c r="D2195" s="0">
        <v>3</v>
      </c>
      <c r="E2195" s="10">
        <f>HYPERLINK("http://www.lingerieopt.ru/images/original/f235b7a9-2056-4cbb-844d-0a5f4b68d115.jpg","Фото")</f>
      </c>
    </row>
    <row r="2196">
      <c r="A2196" s="7">
        <f>HYPERLINK("http://www.lingerieopt.ru/item/9369-komplekt-belya-s-cvetochnjm-uzorom-donna-iz-3-predmetov/","9369")</f>
      </c>
      <c r="B2196" s="8" t="s">
        <v>2190</v>
      </c>
      <c r="C2196" s="9">
        <v>2299</v>
      </c>
      <c r="D2196" s="0">
        <v>5</v>
      </c>
      <c r="E2196" s="10">
        <f>HYPERLINK("http://www.lingerieopt.ru/images/original/7cfc34c7-8e47-419f-ad06-ba2fa388d881.jpg","Фото")</f>
      </c>
    </row>
    <row r="2197">
      <c r="A2197" s="7">
        <f>HYPERLINK("http://www.lingerieopt.ru/item/9369-komplekt-belya-s-cvetochnjm-uzorom-donna-iz-3-predmetov/","9369")</f>
      </c>
      <c r="B2197" s="8" t="s">
        <v>2191</v>
      </c>
      <c r="C2197" s="9">
        <v>2299</v>
      </c>
      <c r="D2197" s="0">
        <v>4</v>
      </c>
      <c r="E2197" s="10">
        <f>HYPERLINK("http://www.lingerieopt.ru/images/original/7cfc34c7-8e47-419f-ad06-ba2fa388d881.jpg","Фото")</f>
      </c>
    </row>
    <row r="2198">
      <c r="A2198" s="7">
        <f>HYPERLINK("http://www.lingerieopt.ru/item/9369-komplekt-belya-s-cvetochnjm-uzorom-donna-iz-3-predmetov/","9369")</f>
      </c>
      <c r="B2198" s="8" t="s">
        <v>2192</v>
      </c>
      <c r="C2198" s="9">
        <v>2299</v>
      </c>
      <c r="D2198" s="0">
        <v>7</v>
      </c>
      <c r="E2198" s="10">
        <f>HYPERLINK("http://www.lingerieopt.ru/images/original/7cfc34c7-8e47-419f-ad06-ba2fa388d881.jpg","Фото")</f>
      </c>
    </row>
    <row r="2199">
      <c r="A2199" s="7">
        <f>HYPERLINK("http://www.lingerieopt.ru/item/9369-komplekt-belya-s-cvetochnjm-uzorom-donna-iz-3-predmetov/","9369")</f>
      </c>
      <c r="B2199" s="8" t="s">
        <v>2193</v>
      </c>
      <c r="C2199" s="9">
        <v>2299</v>
      </c>
      <c r="D2199" s="0">
        <v>9</v>
      </c>
      <c r="E2199" s="10">
        <f>HYPERLINK("http://www.lingerieopt.ru/images/original/7cfc34c7-8e47-419f-ad06-ba2fa388d881.jpg","Фото")</f>
      </c>
    </row>
    <row r="2200">
      <c r="A2200" s="7">
        <f>HYPERLINK("http://www.lingerieopt.ru/item/9370-otkrjtji-komplekt-belya-doris-plus-size-s-ukrasheniem-na-shee/","9370")</f>
      </c>
      <c r="B2200" s="8" t="s">
        <v>2194</v>
      </c>
      <c r="C2200" s="9">
        <v>1348</v>
      </c>
      <c r="D2200" s="0">
        <v>4</v>
      </c>
      <c r="E2200" s="10">
        <f>HYPERLINK("http://www.lingerieopt.ru/images/original/0c7ed335-d464-4cc7-92d8-cf1eeb3f2d57.jpg","Фото")</f>
      </c>
    </row>
    <row r="2201">
      <c r="A2201" s="7">
        <f>HYPERLINK("http://www.lingerieopt.ru/item/9370-otkrjtji-komplekt-belya-doris-plus-size-s-ukrasheniem-na-shee/","9370")</f>
      </c>
      <c r="B2201" s="8" t="s">
        <v>2195</v>
      </c>
      <c r="C2201" s="9">
        <v>1348</v>
      </c>
      <c r="D2201" s="0">
        <v>3</v>
      </c>
      <c r="E2201" s="10">
        <f>HYPERLINK("http://www.lingerieopt.ru/images/original/0c7ed335-d464-4cc7-92d8-cf1eeb3f2d57.jpg","Фото")</f>
      </c>
    </row>
    <row r="2202">
      <c r="A2202" s="7">
        <f>HYPERLINK("http://www.lingerieopt.ru/item/9378-otkrovennji-komplekt-zhenskogo-belya-hope-plus-size/","9378")</f>
      </c>
      <c r="B2202" s="8" t="s">
        <v>2196</v>
      </c>
      <c r="C2202" s="9">
        <v>992</v>
      </c>
      <c r="D2202" s="0">
        <v>7</v>
      </c>
      <c r="E2202" s="10">
        <f>HYPERLINK("http://www.lingerieopt.ru/images/original/a7c38827-00a6-43ff-bd36-7e61492054bc.jpg","Фото")</f>
      </c>
    </row>
    <row r="2203">
      <c r="A2203" s="7">
        <f>HYPERLINK("http://www.lingerieopt.ru/item/9378-otkrovennji-komplekt-zhenskogo-belya-hope-plus-size/","9378")</f>
      </c>
      <c r="B2203" s="8" t="s">
        <v>2197</v>
      </c>
      <c r="C2203" s="9">
        <v>992</v>
      </c>
      <c r="D2203" s="0">
        <v>4</v>
      </c>
      <c r="E2203" s="10">
        <f>HYPERLINK("http://www.lingerieopt.ru/images/original/a7c38827-00a6-43ff-bd36-7e61492054bc.jpg","Фото")</f>
      </c>
    </row>
    <row r="2204">
      <c r="A2204" s="7">
        <f>HYPERLINK("http://www.lingerieopt.ru/item/9378-otkrovennji-komplekt-zhenskogo-belya-hope-plus-size/","9378")</f>
      </c>
      <c r="B2204" s="8" t="s">
        <v>2198</v>
      </c>
      <c r="C2204" s="9">
        <v>992</v>
      </c>
      <c r="D2204" s="0">
        <v>2</v>
      </c>
      <c r="E2204" s="10">
        <f>HYPERLINK("http://www.lingerieopt.ru/images/original/a7c38827-00a6-43ff-bd36-7e61492054bc.jpg","Фото")</f>
      </c>
    </row>
    <row r="2205">
      <c r="A2205" s="7">
        <f>HYPERLINK("http://www.lingerieopt.ru/item/9378-otkrovennji-komplekt-zhenskogo-belya-hope-plus-size/","9378")</f>
      </c>
      <c r="B2205" s="8" t="s">
        <v>2199</v>
      </c>
      <c r="C2205" s="9">
        <v>992</v>
      </c>
      <c r="D2205" s="0">
        <v>3</v>
      </c>
      <c r="E2205" s="10">
        <f>HYPERLINK("http://www.lingerieopt.ru/images/original/a7c38827-00a6-43ff-bd36-7e61492054bc.jpg","Фото")</f>
      </c>
    </row>
    <row r="2206">
      <c r="A2206" s="7">
        <f>HYPERLINK("http://www.lingerieopt.ru/item/9390-chuvstvennji-komplekt-belya-pleasure-plus-size-iz-3-predmetov/","9390")</f>
      </c>
      <c r="B2206" s="8" t="s">
        <v>2200</v>
      </c>
      <c r="C2206" s="9">
        <v>1232</v>
      </c>
      <c r="D2206" s="0">
        <v>2</v>
      </c>
      <c r="E2206" s="10">
        <f>HYPERLINK("http://www.lingerieopt.ru/images/original/9ba5f69a-7d56-440b-9cd9-cfb3dae6afc7.jpg","Фото")</f>
      </c>
    </row>
    <row r="2207">
      <c r="A2207" s="7">
        <f>HYPERLINK("http://www.lingerieopt.ru/item/9390-chuvstvennji-komplekt-belya-pleasure-plus-size-iz-3-predmetov/","9390")</f>
      </c>
      <c r="B2207" s="8" t="s">
        <v>2201</v>
      </c>
      <c r="C2207" s="9">
        <v>1232</v>
      </c>
      <c r="D2207" s="0">
        <v>2</v>
      </c>
      <c r="E2207" s="10">
        <f>HYPERLINK("http://www.lingerieopt.ru/images/original/9ba5f69a-7d56-440b-9cd9-cfb3dae6afc7.jpg","Фото")</f>
      </c>
    </row>
    <row r="2208">
      <c r="A2208" s="7">
        <f>HYPERLINK("http://www.lingerieopt.ru/item/9392-provokacionnji-komplekt-belya-serena-plus-size-iz-3-predmetov/","9392")</f>
      </c>
      <c r="B2208" s="8" t="s">
        <v>2202</v>
      </c>
      <c r="C2208" s="9">
        <v>1766</v>
      </c>
      <c r="D2208" s="0">
        <v>2</v>
      </c>
      <c r="E2208" s="10">
        <f>HYPERLINK("http://www.lingerieopt.ru/images/original/70cdac0e-3d27-4e37-8c4b-1eb35accd8cd.jpg","Фото")</f>
      </c>
    </row>
    <row r="2209">
      <c r="A2209" s="7">
        <f>HYPERLINK("http://www.lingerieopt.ru/item/9392-provokacionnji-komplekt-belya-serena-plus-size-iz-3-predmetov/","9392")</f>
      </c>
      <c r="B2209" s="8" t="s">
        <v>2203</v>
      </c>
      <c r="C2209" s="9">
        <v>1766</v>
      </c>
      <c r="D2209" s="0">
        <v>2</v>
      </c>
      <c r="E2209" s="10">
        <f>HYPERLINK("http://www.lingerieopt.ru/images/original/70cdac0e-3d27-4e37-8c4b-1eb35accd8cd.jpg","Фото")</f>
      </c>
    </row>
    <row r="2210">
      <c r="A2210" s="7">
        <f>HYPERLINK("http://www.lingerieopt.ru/item/9397-koketlivji-komplekt-belya-ferrara-plus-size/","9397")</f>
      </c>
      <c r="B2210" s="8" t="s">
        <v>2204</v>
      </c>
      <c r="C2210" s="9">
        <v>1590</v>
      </c>
      <c r="D2210" s="0">
        <v>1</v>
      </c>
      <c r="E2210" s="10">
        <f>HYPERLINK("http://www.lingerieopt.ru/images/original/67154895-2c72-4405-a889-c4396af38b9d.jpg","Фото")</f>
      </c>
    </row>
    <row r="2211">
      <c r="A2211" s="7">
        <f>HYPERLINK("http://www.lingerieopt.ru/item/9397-koketlivji-komplekt-belya-ferrara-plus-size/","9397")</f>
      </c>
      <c r="B2211" s="8" t="s">
        <v>2205</v>
      </c>
      <c r="C2211" s="9">
        <v>1590</v>
      </c>
      <c r="D2211" s="0">
        <v>1</v>
      </c>
      <c r="E2211" s="10">
        <f>HYPERLINK("http://www.lingerieopt.ru/images/original/67154895-2c72-4405-a889-c4396af38b9d.jpg","Фото")</f>
      </c>
    </row>
    <row r="2212">
      <c r="A2212" s="7">
        <f>HYPERLINK("http://www.lingerieopt.ru/item/9398-komplekt-belya-iz-3-predmetov-tierra-plus-size/","9398")</f>
      </c>
      <c r="B2212" s="8" t="s">
        <v>2206</v>
      </c>
      <c r="C2212" s="9">
        <v>1533</v>
      </c>
      <c r="D2212" s="0">
        <v>0</v>
      </c>
      <c r="E2212" s="10">
        <f>HYPERLINK("http://www.lingerieopt.ru/images/original/f117b347-3b9b-4f41-93d1-f9c783ef30fc.jpg","Фото")</f>
      </c>
    </row>
    <row r="2213">
      <c r="A2213" s="7">
        <f>HYPERLINK("http://www.lingerieopt.ru/item/9398-komplekt-belya-iz-3-predmetov-tierra-plus-size/","9398")</f>
      </c>
      <c r="B2213" s="8" t="s">
        <v>2207</v>
      </c>
      <c r="C2213" s="9">
        <v>1533</v>
      </c>
      <c r="D2213" s="0">
        <v>2</v>
      </c>
      <c r="E2213" s="10">
        <f>HYPERLINK("http://www.lingerieopt.ru/images/original/f117b347-3b9b-4f41-93d1-f9c783ef30fc.jpg","Фото")</f>
      </c>
    </row>
    <row r="2214">
      <c r="A2214" s="7">
        <f>HYPERLINK("http://www.lingerieopt.ru/item/9399-komplekt-belya-iralin-plus-size-s-cvetochnjm-risunkom-na-trusikah/","9399")</f>
      </c>
      <c r="B2214" s="8" t="s">
        <v>2208</v>
      </c>
      <c r="C2214" s="9">
        <v>1429</v>
      </c>
      <c r="D2214" s="0">
        <v>2</v>
      </c>
      <c r="E2214" s="10">
        <f>HYPERLINK("http://www.lingerieopt.ru/images/original/647c8cae-6c91-457c-8795-2d1d8fbf8575.jpg","Фото")</f>
      </c>
    </row>
    <row r="2215">
      <c r="A2215" s="7">
        <f>HYPERLINK("http://www.lingerieopt.ru/item/9399-komplekt-belya-iralin-plus-size-s-cvetochnjm-risunkom-na-trusikah/","9399")</f>
      </c>
      <c r="B2215" s="8" t="s">
        <v>2209</v>
      </c>
      <c r="C2215" s="9">
        <v>1429</v>
      </c>
      <c r="D2215" s="0">
        <v>2</v>
      </c>
      <c r="E2215" s="10">
        <f>HYPERLINK("http://www.lingerieopt.ru/images/original/647c8cae-6c91-457c-8795-2d1d8fbf8575.jpg","Фото")</f>
      </c>
    </row>
    <row r="2216">
      <c r="A2216" s="7">
        <f>HYPERLINK("http://www.lingerieopt.ru/item/9401-poluprozrachnji-komplekt-belya-afesie-plus-size/","9401")</f>
      </c>
      <c r="B2216" s="8" t="s">
        <v>2210</v>
      </c>
      <c r="C2216" s="9">
        <v>968</v>
      </c>
      <c r="D2216" s="0">
        <v>2</v>
      </c>
      <c r="E2216" s="10">
        <f>HYPERLINK("http://www.lingerieopt.ru/images/original/36970e34-0049-4340-931f-4bb5ac33436a.jpg","Фото")</f>
      </c>
    </row>
    <row r="2217">
      <c r="A2217" s="7">
        <f>HYPERLINK("http://www.lingerieopt.ru/item/9401-poluprozrachnji-komplekt-belya-afesie-plus-size/","9401")</f>
      </c>
      <c r="B2217" s="8" t="s">
        <v>2211</v>
      </c>
      <c r="C2217" s="9">
        <v>968</v>
      </c>
      <c r="D2217" s="0">
        <v>2</v>
      </c>
      <c r="E2217" s="10">
        <f>HYPERLINK("http://www.lingerieopt.ru/images/original/36970e34-0049-4340-931f-4bb5ac33436a.jpg","Фото")</f>
      </c>
    </row>
    <row r="2218">
      <c r="A2218" s="7">
        <f>HYPERLINK("http://www.lingerieopt.ru/item/9407-soblaznitelnji-komplekt-belya-esathe-plus-size/","9407")</f>
      </c>
      <c r="B2218" s="8" t="s">
        <v>2212</v>
      </c>
      <c r="C2218" s="9">
        <v>1509</v>
      </c>
      <c r="D2218" s="0">
        <v>2</v>
      </c>
      <c r="E2218" s="10">
        <f>HYPERLINK("http://www.lingerieopt.ru/images/original/298f83f9-6124-4051-877e-1b6e187d3a44.jpg","Фото")</f>
      </c>
    </row>
    <row r="2219">
      <c r="A2219" s="7">
        <f>HYPERLINK("http://www.lingerieopt.ru/item/9407-soblaznitelnji-komplekt-belya-esathe-plus-size/","9407")</f>
      </c>
      <c r="B2219" s="8" t="s">
        <v>2213</v>
      </c>
      <c r="C2219" s="9">
        <v>1509</v>
      </c>
      <c r="D2219" s="0">
        <v>5</v>
      </c>
      <c r="E2219" s="10">
        <f>HYPERLINK("http://www.lingerieopt.ru/images/original/298f83f9-6124-4051-877e-1b6e187d3a44.jpg","Фото")</f>
      </c>
    </row>
    <row r="2220">
      <c r="A2220" s="7">
        <f>HYPERLINK("http://www.lingerieopt.ru/item/9412-azhurnji-komplekt-belya-menei-plus-size/","9412")</f>
      </c>
      <c r="B2220" s="8" t="s">
        <v>2214</v>
      </c>
      <c r="C2220" s="9">
        <v>1099</v>
      </c>
      <c r="D2220" s="0">
        <v>3</v>
      </c>
      <c r="E2220" s="10">
        <f>HYPERLINK("http://www.lingerieopt.ru/images/original/01012f69-18eb-4081-9598-f590478a8d8e.jpg","Фото")</f>
      </c>
    </row>
    <row r="2221">
      <c r="A2221" s="7">
        <f>HYPERLINK("http://www.lingerieopt.ru/item/9412-azhurnji-komplekt-belya-menei-plus-size/","9412")</f>
      </c>
      <c r="B2221" s="8" t="s">
        <v>2215</v>
      </c>
      <c r="C2221" s="9">
        <v>1099</v>
      </c>
      <c r="D2221" s="0">
        <v>3</v>
      </c>
      <c r="E2221" s="10">
        <f>HYPERLINK("http://www.lingerieopt.ru/images/original/01012f69-18eb-4081-9598-f590478a8d8e.jpg","Фото")</f>
      </c>
    </row>
    <row r="2222">
      <c r="A2222" s="7">
        <f>HYPERLINK("http://www.lingerieopt.ru/item/9420-provokacionnji-komplekt-belya-yasena-plus-size/","9420")</f>
      </c>
      <c r="B2222" s="8" t="s">
        <v>2216</v>
      </c>
      <c r="C2222" s="9">
        <v>2027</v>
      </c>
      <c r="D2222" s="0">
        <v>4</v>
      </c>
      <c r="E2222" s="10">
        <f>HYPERLINK("http://www.lingerieopt.ru/images/original/dca60acc-fd97-4e11-8ee7-3cf14f469075.jpg","Фото")</f>
      </c>
    </row>
    <row r="2223">
      <c r="A2223" s="7">
        <f>HYPERLINK("http://www.lingerieopt.ru/item/9420-provokacionnji-komplekt-belya-yasena-plus-size/","9420")</f>
      </c>
      <c r="B2223" s="8" t="s">
        <v>2217</v>
      </c>
      <c r="C2223" s="9">
        <v>2027</v>
      </c>
      <c r="D2223" s="0">
        <v>3</v>
      </c>
      <c r="E2223" s="10">
        <f>HYPERLINK("http://www.lingerieopt.ru/images/original/dca60acc-fd97-4e11-8ee7-3cf14f469075.jpg","Фото")</f>
      </c>
    </row>
    <row r="2224">
      <c r="A2224" s="7">
        <f>HYPERLINK("http://www.lingerieopt.ru/item/9423-komplekt-nizhnego-belya-aquilo-plus-size/","9423")</f>
      </c>
      <c r="B2224" s="8" t="s">
        <v>2218</v>
      </c>
      <c r="C2224" s="9">
        <v>1993</v>
      </c>
      <c r="D2224" s="0">
        <v>2</v>
      </c>
      <c r="E2224" s="10">
        <f>HYPERLINK("http://www.lingerieopt.ru/images/original/a170eb80-e23a-41f8-aea8-e4d10c79ae0f.jpg","Фото")</f>
      </c>
    </row>
    <row r="2225">
      <c r="A2225" s="7">
        <f>HYPERLINK("http://www.lingerieopt.ru/item/9423-komplekt-nizhnego-belya-aquilo-plus-size/","9423")</f>
      </c>
      <c r="B2225" s="8" t="s">
        <v>2219</v>
      </c>
      <c r="C2225" s="9">
        <v>1993</v>
      </c>
      <c r="D2225" s="0">
        <v>2</v>
      </c>
      <c r="E2225" s="10">
        <f>HYPERLINK("http://www.lingerieopt.ru/images/original/a170eb80-e23a-41f8-aea8-e4d10c79ae0f.jpg","Фото")</f>
      </c>
    </row>
    <row r="2226">
      <c r="A2226" s="7">
        <f>HYPERLINK("http://www.lingerieopt.ru/item/9426-poluprozrachnji-komplekt-belya-fendia/","9426")</f>
      </c>
      <c r="B2226" s="8" t="s">
        <v>2220</v>
      </c>
      <c r="C2226" s="9">
        <v>1360</v>
      </c>
      <c r="D2226" s="0">
        <v>15</v>
      </c>
      <c r="E2226" s="10">
        <f>HYPERLINK("http://www.lingerieopt.ru/images/original/1ad9100c-e449-4092-b6ec-ef915dcdac4f.jpg","Фото")</f>
      </c>
    </row>
    <row r="2227">
      <c r="A2227" s="7">
        <f>HYPERLINK("http://www.lingerieopt.ru/item/9426-poluprozrachnji-komplekt-belya-fendia/","9426")</f>
      </c>
      <c r="B2227" s="8" t="s">
        <v>2221</v>
      </c>
      <c r="C2227" s="9">
        <v>1360</v>
      </c>
      <c r="D2227" s="0">
        <v>9</v>
      </c>
      <c r="E2227" s="10">
        <f>HYPERLINK("http://www.lingerieopt.ru/images/original/1ad9100c-e449-4092-b6ec-ef915dcdac4f.jpg","Фото")</f>
      </c>
    </row>
    <row r="2228">
      <c r="A2228" s="7">
        <f>HYPERLINK("http://www.lingerieopt.ru/item/9426-poluprozrachnji-komplekt-belya-fendia/","9426")</f>
      </c>
      <c r="B2228" s="8" t="s">
        <v>2222</v>
      </c>
      <c r="C2228" s="9">
        <v>1360</v>
      </c>
      <c r="D2228" s="0">
        <v>10</v>
      </c>
      <c r="E2228" s="10">
        <f>HYPERLINK("http://www.lingerieopt.ru/images/original/1ad9100c-e449-4092-b6ec-ef915dcdac4f.jpg","Фото")</f>
      </c>
    </row>
    <row r="2229">
      <c r="A2229" s="7">
        <f>HYPERLINK("http://www.lingerieopt.ru/item/9431-effektnji-komplekt-belya-vivienne-s-otkrjtoi-grudyu/","9431")</f>
      </c>
      <c r="B2229" s="8" t="s">
        <v>2223</v>
      </c>
      <c r="C2229" s="9">
        <v>1993</v>
      </c>
      <c r="D2229" s="0">
        <v>3</v>
      </c>
      <c r="E2229" s="10">
        <f>HYPERLINK("http://www.lingerieopt.ru/images/original/374674b7-5823-48ff-ad38-0729e0857642.jpg","Фото")</f>
      </c>
    </row>
    <row r="2230">
      <c r="A2230" s="7">
        <f>HYPERLINK("http://www.lingerieopt.ru/item/9431-effektnji-komplekt-belya-vivienne-s-otkrjtoi-grudyu/","9431")</f>
      </c>
      <c r="B2230" s="8" t="s">
        <v>2224</v>
      </c>
      <c r="C2230" s="9">
        <v>1993</v>
      </c>
      <c r="D2230" s="0">
        <v>4</v>
      </c>
      <c r="E2230" s="10">
        <f>HYPERLINK("http://www.lingerieopt.ru/images/original/374674b7-5823-48ff-ad38-0729e0857642.jpg","Фото")</f>
      </c>
    </row>
    <row r="2231">
      <c r="A2231" s="7">
        <f>HYPERLINK("http://www.lingerieopt.ru/item/9431-effektnji-komplekt-belya-vivienne-s-otkrjtoi-grudyu/","9431")</f>
      </c>
      <c r="B2231" s="8" t="s">
        <v>2225</v>
      </c>
      <c r="C2231" s="9">
        <v>1993</v>
      </c>
      <c r="D2231" s="0">
        <v>2</v>
      </c>
      <c r="E2231" s="10">
        <f>HYPERLINK("http://www.lingerieopt.ru/images/original/374674b7-5823-48ff-ad38-0729e0857642.jpg","Фото")</f>
      </c>
    </row>
    <row r="2232">
      <c r="A2232" s="7">
        <f>HYPERLINK("http://www.lingerieopt.ru/item/9431-effektnji-komplekt-belya-vivienne-s-otkrjtoi-grudyu/","9431")</f>
      </c>
      <c r="B2232" s="8" t="s">
        <v>2226</v>
      </c>
      <c r="C2232" s="9">
        <v>1993</v>
      </c>
      <c r="D2232" s="0">
        <v>3</v>
      </c>
      <c r="E2232" s="10">
        <f>HYPERLINK("http://www.lingerieopt.ru/images/original/374674b7-5823-48ff-ad38-0729e0857642.jpg","Фото")</f>
      </c>
    </row>
    <row r="2233">
      <c r="A2233" s="7">
        <f>HYPERLINK("http://www.lingerieopt.ru/item/9432-komplekt-belya-vivienne-plus-size-s-otkrjtoi-grudyu/","9432")</f>
      </c>
      <c r="B2233" s="8" t="s">
        <v>2227</v>
      </c>
      <c r="C2233" s="9">
        <v>1993</v>
      </c>
      <c r="D2233" s="0">
        <v>2</v>
      </c>
      <c r="E2233" s="10">
        <f>HYPERLINK("http://www.lingerieopt.ru/images/original/b2567b50-1ee3-4f60-a3b1-91eeec4630d1.jpg","Фото")</f>
      </c>
    </row>
    <row r="2234">
      <c r="A2234" s="7">
        <f>HYPERLINK("http://www.lingerieopt.ru/item/9446-komplekt-belya-sonya-plus-size-s-metallicheskimi-kolechkami/","9446")</f>
      </c>
      <c r="B2234" s="8" t="s">
        <v>2228</v>
      </c>
      <c r="C2234" s="9">
        <v>1075</v>
      </c>
      <c r="D2234" s="0">
        <v>1</v>
      </c>
      <c r="E2234" s="10">
        <f>HYPERLINK("http://www.lingerieopt.ru/images/original/90717152-7874-478a-ac5b-366875897282.jpg","Фото")</f>
      </c>
    </row>
    <row r="2235">
      <c r="A2235" s="7">
        <f>HYPERLINK("http://www.lingerieopt.ru/item/9446-komplekt-belya-sonya-plus-size-s-metallicheskimi-kolechkami/","9446")</f>
      </c>
      <c r="B2235" s="8" t="s">
        <v>2229</v>
      </c>
      <c r="C2235" s="9">
        <v>1075</v>
      </c>
      <c r="D2235" s="0">
        <v>2</v>
      </c>
      <c r="E2235" s="10">
        <f>HYPERLINK("http://www.lingerieopt.ru/images/original/90717152-7874-478a-ac5b-366875897282.jpg","Фото")</f>
      </c>
    </row>
    <row r="2236">
      <c r="A2236" s="7">
        <f>HYPERLINK("http://www.lingerieopt.ru/item/9464-soblaznitelnji-komplekt-belya-foxen-plus-size/","9464")</f>
      </c>
      <c r="B2236" s="8" t="s">
        <v>2230</v>
      </c>
      <c r="C2236" s="9">
        <v>1016</v>
      </c>
      <c r="D2236" s="0">
        <v>3</v>
      </c>
      <c r="E2236" s="10">
        <f>HYPERLINK("http://www.lingerieopt.ru/images/original/3d7223e9-ecdf-422b-b3b4-3600128e5019.jpg","Фото")</f>
      </c>
    </row>
    <row r="2237">
      <c r="A2237" s="7">
        <f>HYPERLINK("http://www.lingerieopt.ru/item/9464-soblaznitelnji-komplekt-belya-foxen-plus-size/","9464")</f>
      </c>
      <c r="B2237" s="8" t="s">
        <v>2231</v>
      </c>
      <c r="C2237" s="9">
        <v>1016</v>
      </c>
      <c r="D2237" s="0">
        <v>3</v>
      </c>
      <c r="E2237" s="10">
        <f>HYPERLINK("http://www.lingerieopt.ru/images/original/3d7223e9-ecdf-422b-b3b4-3600128e5019.jpg","Фото")</f>
      </c>
    </row>
    <row r="2238">
      <c r="A2238" s="7">
        <f>HYPERLINK("http://www.lingerieopt.ru/item/9467-soblaznitelnji-komplekt-belya-breve-plus-size/","9467")</f>
      </c>
      <c r="B2238" s="8" t="s">
        <v>2232</v>
      </c>
      <c r="C2238" s="9">
        <v>886</v>
      </c>
      <c r="D2238" s="0">
        <v>4</v>
      </c>
      <c r="E2238" s="10">
        <f>HYPERLINK("http://www.lingerieopt.ru/images/original/dd7ede02-70d8-47d1-a9e6-4e2ad54fdac0.jpg","Фото")</f>
      </c>
    </row>
    <row r="2239">
      <c r="A2239" s="7">
        <f>HYPERLINK("http://www.lingerieopt.ru/item/9467-soblaznitelnji-komplekt-belya-breve-plus-size/","9467")</f>
      </c>
      <c r="B2239" s="8" t="s">
        <v>2233</v>
      </c>
      <c r="C2239" s="9">
        <v>886</v>
      </c>
      <c r="D2239" s="0">
        <v>1</v>
      </c>
      <c r="E2239" s="10">
        <f>HYPERLINK("http://www.lingerieopt.ru/images/original/dd7ede02-70d8-47d1-a9e6-4e2ad54fdac0.jpg","Фото")</f>
      </c>
    </row>
    <row r="2240">
      <c r="A2240" s="7">
        <f>HYPERLINK("http://www.lingerieopt.ru/item/9469-derzkii-komplekt-belya-tiffiny-plus-size/","9469")</f>
      </c>
      <c r="B2240" s="8" t="s">
        <v>2234</v>
      </c>
      <c r="C2240" s="9">
        <v>1279</v>
      </c>
      <c r="D2240" s="0">
        <v>3</v>
      </c>
      <c r="E2240" s="10">
        <f>HYPERLINK("http://www.lingerieopt.ru/images/original/1d65fb8d-e4c2-4ca2-aef0-9b529abdbc6e.jpg","Фото")</f>
      </c>
    </row>
    <row r="2241">
      <c r="A2241" s="7">
        <f>HYPERLINK("http://www.lingerieopt.ru/item/9469-derzkii-komplekt-belya-tiffiny-plus-size/","9469")</f>
      </c>
      <c r="B2241" s="8" t="s">
        <v>2235</v>
      </c>
      <c r="C2241" s="9">
        <v>1279</v>
      </c>
      <c r="D2241" s="0">
        <v>0</v>
      </c>
      <c r="E2241" s="10">
        <f>HYPERLINK("http://www.lingerieopt.ru/images/original/1d65fb8d-e4c2-4ca2-aef0-9b529abdbc6e.jpg","Фото")</f>
      </c>
    </row>
    <row r="2242">
      <c r="A2242" s="7">
        <f>HYPERLINK("http://www.lingerieopt.ru/item/9470-derzkii-komplekt-belya-tiffiny-s-perchatkami/","9470")</f>
      </c>
      <c r="B2242" s="8" t="s">
        <v>2236</v>
      </c>
      <c r="C2242" s="9">
        <v>1279</v>
      </c>
      <c r="D2242" s="0">
        <v>2</v>
      </c>
      <c r="E2242" s="10">
        <f>HYPERLINK("http://www.lingerieopt.ru/images/original/47ecbd22-7467-4a23-8de4-a9271d5ffde9.jpg","Фото")</f>
      </c>
    </row>
    <row r="2243">
      <c r="A2243" s="7">
        <f>HYPERLINK("http://www.lingerieopt.ru/item/9470-derzkii-komplekt-belya-tiffiny-s-perchatkami/","9470")</f>
      </c>
      <c r="B2243" s="8" t="s">
        <v>2237</v>
      </c>
      <c r="C2243" s="9">
        <v>1279</v>
      </c>
      <c r="D2243" s="0">
        <v>0</v>
      </c>
      <c r="E2243" s="10">
        <f>HYPERLINK("http://www.lingerieopt.ru/images/original/47ecbd22-7467-4a23-8de4-a9271d5ffde9.jpg","Фото")</f>
      </c>
    </row>
    <row r="2244">
      <c r="A2244" s="7">
        <f>HYPERLINK("http://www.lingerieopt.ru/item/9470-derzkii-komplekt-belya-tiffiny-s-perchatkami/","9470")</f>
      </c>
      <c r="B2244" s="8" t="s">
        <v>2238</v>
      </c>
      <c r="C2244" s="9">
        <v>1279</v>
      </c>
      <c r="D2244" s="0">
        <v>2</v>
      </c>
      <c r="E2244" s="10">
        <f>HYPERLINK("http://www.lingerieopt.ru/images/original/47ecbd22-7467-4a23-8de4-a9271d5ffde9.jpg","Фото")</f>
      </c>
    </row>
    <row r="2245">
      <c r="A2245" s="7">
        <f>HYPERLINK("http://www.lingerieopt.ru/item/9470-derzkii-komplekt-belya-tiffiny-s-perchatkami/","9470")</f>
      </c>
      <c r="B2245" s="8" t="s">
        <v>2239</v>
      </c>
      <c r="C2245" s="9">
        <v>1279</v>
      </c>
      <c r="D2245" s="0">
        <v>3</v>
      </c>
      <c r="E2245" s="10">
        <f>HYPERLINK("http://www.lingerieopt.ru/images/original/47ecbd22-7467-4a23-8de4-a9271d5ffde9.jpg","Фото")</f>
      </c>
    </row>
    <row r="2246">
      <c r="A2246" s="7">
        <f>HYPERLINK("http://www.lingerieopt.ru/item/9471-komplekt-belya-heaven-plus-size-s-mokrjm-bleskom/","9471")</f>
      </c>
      <c r="B2246" s="8" t="s">
        <v>2240</v>
      </c>
      <c r="C2246" s="9">
        <v>1182</v>
      </c>
      <c r="D2246" s="0">
        <v>0</v>
      </c>
      <c r="E2246" s="10">
        <f>HYPERLINK("http://www.lingerieopt.ru/images/original/a99712ed-70d3-4a20-b2e0-0b14ea6503b0.jpg","Фото")</f>
      </c>
    </row>
    <row r="2247">
      <c r="A2247" s="7">
        <f>HYPERLINK("http://www.lingerieopt.ru/item/9471-komplekt-belya-heaven-plus-size-s-mokrjm-bleskom/","9471")</f>
      </c>
      <c r="B2247" s="8" t="s">
        <v>2241</v>
      </c>
      <c r="C2247" s="9">
        <v>1182</v>
      </c>
      <c r="D2247" s="0">
        <v>2</v>
      </c>
      <c r="E2247" s="10">
        <f>HYPERLINK("http://www.lingerieopt.ru/images/original/a99712ed-70d3-4a20-b2e0-0b14ea6503b0.jpg","Фото")</f>
      </c>
    </row>
    <row r="2248">
      <c r="A2248" s="7">
        <f>HYPERLINK("http://www.lingerieopt.ru/item/9472-komplekt-belya-heaven-s-poluotkrjtjm-lifom-i-mokrjm-bleskom/","9472")</f>
      </c>
      <c r="B2248" s="8" t="s">
        <v>2242</v>
      </c>
      <c r="C2248" s="9">
        <v>1182</v>
      </c>
      <c r="D2248" s="0">
        <v>3</v>
      </c>
      <c r="E2248" s="10">
        <f>HYPERLINK("http://www.lingerieopt.ru/images/original/e5ad5136-62a5-4153-a4a9-d8405fe9f572.jpg","Фото")</f>
      </c>
    </row>
    <row r="2249">
      <c r="A2249" s="7">
        <f>HYPERLINK("http://www.lingerieopt.ru/item/9472-komplekt-belya-heaven-s-poluotkrjtjm-lifom-i-mokrjm-bleskom/","9472")</f>
      </c>
      <c r="B2249" s="8" t="s">
        <v>2243</v>
      </c>
      <c r="C2249" s="9">
        <v>1182</v>
      </c>
      <c r="D2249" s="0">
        <v>6</v>
      </c>
      <c r="E2249" s="10">
        <f>HYPERLINK("http://www.lingerieopt.ru/images/original/e5ad5136-62a5-4153-a4a9-d8405fe9f572.jpg","Фото")</f>
      </c>
    </row>
    <row r="2250">
      <c r="A2250" s="7">
        <f>HYPERLINK("http://www.lingerieopt.ru/item/9472-komplekt-belya-heaven-s-poluotkrjtjm-lifom-i-mokrjm-bleskom/","9472")</f>
      </c>
      <c r="B2250" s="8" t="s">
        <v>2244</v>
      </c>
      <c r="C2250" s="9">
        <v>1182</v>
      </c>
      <c r="D2250" s="0">
        <v>1</v>
      </c>
      <c r="E2250" s="10">
        <f>HYPERLINK("http://www.lingerieopt.ru/images/original/e5ad5136-62a5-4153-a4a9-d8405fe9f572.jpg","Фото")</f>
      </c>
    </row>
    <row r="2251">
      <c r="A2251" s="7">
        <f>HYPERLINK("http://www.lingerieopt.ru/item/9472-komplekt-belya-heaven-s-poluotkrjtjm-lifom-i-mokrjm-bleskom/","9472")</f>
      </c>
      <c r="B2251" s="8" t="s">
        <v>2245</v>
      </c>
      <c r="C2251" s="9">
        <v>1182</v>
      </c>
      <c r="D2251" s="0">
        <v>4</v>
      </c>
      <c r="E2251" s="10">
        <f>HYPERLINK("http://www.lingerieopt.ru/images/original/e5ad5136-62a5-4153-a4a9-d8405fe9f572.jpg","Фото")</f>
      </c>
    </row>
    <row r="2252">
      <c r="A2252" s="7">
        <f>HYPERLINK("http://www.lingerieopt.ru/item/9488-mikro-bikini-chiquita-plus-size-iz-poluprozrachnogo-azhura/","9488")</f>
      </c>
      <c r="B2252" s="8" t="s">
        <v>2246</v>
      </c>
      <c r="C2252" s="9">
        <v>827</v>
      </c>
      <c r="D2252" s="0">
        <v>3</v>
      </c>
      <c r="E2252" s="10">
        <f>HYPERLINK("http://www.lingerieopt.ru/images/original/629b2470-1208-4cd4-aa2d-7e75affe0ee8.jpg","Фото")</f>
      </c>
    </row>
    <row r="2253">
      <c r="A2253" s="7">
        <f>HYPERLINK("http://www.lingerieopt.ru/item/9488-mikro-bikini-chiquita-plus-size-iz-poluprozrachnogo-azhura/","9488")</f>
      </c>
      <c r="B2253" s="8" t="s">
        <v>2247</v>
      </c>
      <c r="C2253" s="9">
        <v>827</v>
      </c>
      <c r="D2253" s="0">
        <v>1</v>
      </c>
      <c r="E2253" s="10">
        <f>HYPERLINK("http://www.lingerieopt.ru/images/original/629b2470-1208-4cd4-aa2d-7e75affe0ee8.jpg","Фото")</f>
      </c>
    </row>
    <row r="2254">
      <c r="A2254" s="7">
        <f>HYPERLINK("http://www.lingerieopt.ru/item/9489-mikro-bikini-chiquita-iz-poluprozrachnogo-kruzheva/","9489")</f>
      </c>
      <c r="B2254" s="8" t="s">
        <v>2248</v>
      </c>
      <c r="C2254" s="9">
        <v>827</v>
      </c>
      <c r="D2254" s="0">
        <v>3</v>
      </c>
      <c r="E2254" s="10">
        <f>HYPERLINK("http://www.lingerieopt.ru/images/original/2c1597d9-61ec-488a-9ca2-bd1a4df08a86.jpg","Фото")</f>
      </c>
    </row>
    <row r="2255">
      <c r="A2255" s="7">
        <f>HYPERLINK("http://www.lingerieopt.ru/item/9489-mikro-bikini-chiquita-iz-poluprozrachnogo-kruzheva/","9489")</f>
      </c>
      <c r="B2255" s="8" t="s">
        <v>2249</v>
      </c>
      <c r="C2255" s="9">
        <v>827</v>
      </c>
      <c r="D2255" s="0">
        <v>3</v>
      </c>
      <c r="E2255" s="10">
        <f>HYPERLINK("http://www.lingerieopt.ru/images/original/2c1597d9-61ec-488a-9ca2-bd1a4df08a86.jpg","Фото")</f>
      </c>
    </row>
    <row r="2256">
      <c r="A2256" s="7">
        <f>HYPERLINK("http://www.lingerieopt.ru/item/9489-mikro-bikini-chiquita-iz-poluprozrachnogo-kruzheva/","9489")</f>
      </c>
      <c r="B2256" s="8" t="s">
        <v>2250</v>
      </c>
      <c r="C2256" s="9">
        <v>827</v>
      </c>
      <c r="D2256" s="0">
        <v>2</v>
      </c>
      <c r="E2256" s="10">
        <f>HYPERLINK("http://www.lingerieopt.ru/images/original/2c1597d9-61ec-488a-9ca2-bd1a4df08a86.jpg","Фото")</f>
      </c>
    </row>
    <row r="2257">
      <c r="A2257" s="7">
        <f>HYPERLINK("http://www.lingerieopt.ru/item/9489-mikro-bikini-chiquita-iz-poluprozrachnogo-kruzheva/","9489")</f>
      </c>
      <c r="B2257" s="8" t="s">
        <v>2251</v>
      </c>
      <c r="C2257" s="9">
        <v>827</v>
      </c>
      <c r="D2257" s="0">
        <v>2</v>
      </c>
      <c r="E2257" s="10">
        <f>HYPERLINK("http://www.lingerieopt.ru/images/original/2c1597d9-61ec-488a-9ca2-bd1a4df08a86.jpg","Фото")</f>
      </c>
    </row>
    <row r="2258">
      <c r="A2258" s="7">
        <f>HYPERLINK("http://www.lingerieopt.ru/item/9490-oshelomitelnji-komplekt-belya-largo-plus-size/","9490")</f>
      </c>
      <c r="B2258" s="8" t="s">
        <v>2252</v>
      </c>
      <c r="C2258" s="9">
        <v>2186</v>
      </c>
      <c r="D2258" s="0">
        <v>2</v>
      </c>
      <c r="E2258" s="10">
        <f>HYPERLINK("http://www.lingerieopt.ru/images/original/64911e58-5b9b-4bb7-992e-d3d93d596cb5.jpg","Фото")</f>
      </c>
    </row>
    <row r="2259">
      <c r="A2259" s="7">
        <f>HYPERLINK("http://www.lingerieopt.ru/item/9490-oshelomitelnji-komplekt-belya-largo-plus-size/","9490")</f>
      </c>
      <c r="B2259" s="8" t="s">
        <v>2253</v>
      </c>
      <c r="C2259" s="9">
        <v>2186</v>
      </c>
      <c r="D2259" s="0">
        <v>2</v>
      </c>
      <c r="E2259" s="10">
        <f>HYPERLINK("http://www.lingerieopt.ru/images/original/64911e58-5b9b-4bb7-992e-d3d93d596cb5.jpg","Фото")</f>
      </c>
    </row>
    <row r="2260">
      <c r="A2260" s="7">
        <f>HYPERLINK("http://www.lingerieopt.ru/item/9491-seksualnji-komplekt-belya-largo/","9491")</f>
      </c>
      <c r="B2260" s="8" t="s">
        <v>2254</v>
      </c>
      <c r="C2260" s="9">
        <v>2186</v>
      </c>
      <c r="D2260" s="0">
        <v>0</v>
      </c>
      <c r="E2260" s="10">
        <f>HYPERLINK("http://www.lingerieopt.ru/images/original/1fd8ec31-0c39-4dca-983a-d414dbac443a.jpg","Фото")</f>
      </c>
    </row>
    <row r="2261">
      <c r="A2261" s="7">
        <f>HYPERLINK("http://www.lingerieopt.ru/item/9491-seksualnji-komplekt-belya-largo/","9491")</f>
      </c>
      <c r="B2261" s="8" t="s">
        <v>2255</v>
      </c>
      <c r="C2261" s="9">
        <v>2186</v>
      </c>
      <c r="D2261" s="0">
        <v>1</v>
      </c>
      <c r="E2261" s="10">
        <f>HYPERLINK("http://www.lingerieopt.ru/images/original/1fd8ec31-0c39-4dca-983a-d414dbac443a.jpg","Фото")</f>
      </c>
    </row>
    <row r="2262">
      <c r="A2262" s="7">
        <f>HYPERLINK("http://www.lingerieopt.ru/item/9491-seksualnji-komplekt-belya-largo/","9491")</f>
      </c>
      <c r="B2262" s="8" t="s">
        <v>2256</v>
      </c>
      <c r="C2262" s="9">
        <v>2186</v>
      </c>
      <c r="D2262" s="0">
        <v>0</v>
      </c>
      <c r="E2262" s="10">
        <f>HYPERLINK("http://www.lingerieopt.ru/images/original/1fd8ec31-0c39-4dca-983a-d414dbac443a.jpg","Фото")</f>
      </c>
    </row>
    <row r="2263">
      <c r="A2263" s="7">
        <f>HYPERLINK("http://www.lingerieopt.ru/item/9491-seksualnji-komplekt-belya-largo/","9491")</f>
      </c>
      <c r="B2263" s="8" t="s">
        <v>2257</v>
      </c>
      <c r="C2263" s="9">
        <v>2186</v>
      </c>
      <c r="D2263" s="0">
        <v>1</v>
      </c>
      <c r="E2263" s="10">
        <f>HYPERLINK("http://www.lingerieopt.ru/images/original/1fd8ec31-0c39-4dca-983a-d414dbac443a.jpg","Фото")</f>
      </c>
    </row>
    <row r="2264">
      <c r="A2264" s="7">
        <f>HYPERLINK("http://www.lingerieopt.ru/item/9494-kruzhevnoi-komplekt-belya-arlett-plus-size-s-cvetochnjm-uzorom/","9494")</f>
      </c>
      <c r="B2264" s="8" t="s">
        <v>2258</v>
      </c>
      <c r="C2264" s="9">
        <v>1682</v>
      </c>
      <c r="D2264" s="0">
        <v>2</v>
      </c>
      <c r="E2264" s="10">
        <f>HYPERLINK("http://www.lingerieopt.ru/images/original/9296ff5f-723b-4b8f-bd32-e9658525c682.jpg","Фото")</f>
      </c>
    </row>
    <row r="2265">
      <c r="A2265" s="7">
        <f>HYPERLINK("http://www.lingerieopt.ru/item/9494-kruzhevnoi-komplekt-belya-arlett-plus-size-s-cvetochnjm-uzorom/","9494")</f>
      </c>
      <c r="B2265" s="8" t="s">
        <v>2259</v>
      </c>
      <c r="C2265" s="9">
        <v>1682</v>
      </c>
      <c r="D2265" s="0">
        <v>0</v>
      </c>
      <c r="E2265" s="10">
        <f>HYPERLINK("http://www.lingerieopt.ru/images/original/9296ff5f-723b-4b8f-bd32-e9658525c682.jpg","Фото")</f>
      </c>
    </row>
    <row r="2266">
      <c r="A2266" s="7">
        <f>HYPERLINK("http://www.lingerieopt.ru/item/9499-mini-bikini-cate-plus-size-iz-nezhnogo-kruzheva/","9499")</f>
      </c>
      <c r="B2266" s="8" t="s">
        <v>2260</v>
      </c>
      <c r="C2266" s="9">
        <v>898</v>
      </c>
      <c r="D2266" s="0">
        <v>2</v>
      </c>
      <c r="E2266" s="10">
        <f>HYPERLINK("http://www.lingerieopt.ru/images/original/d6d4b65e-1bac-43e2-b69b-433d8527be9d.jpg","Фото")</f>
      </c>
    </row>
    <row r="2267">
      <c r="A2267" s="7">
        <f>HYPERLINK("http://www.lingerieopt.ru/item/9499-mini-bikini-cate-plus-size-iz-nezhnogo-kruzheva/","9499")</f>
      </c>
      <c r="B2267" s="8" t="s">
        <v>2261</v>
      </c>
      <c r="C2267" s="9">
        <v>898</v>
      </c>
      <c r="D2267" s="0">
        <v>4</v>
      </c>
      <c r="E2267" s="10">
        <f>HYPERLINK("http://www.lingerieopt.ru/images/original/d6d4b65e-1bac-43e2-b69b-433d8527be9d.jpg","Фото")</f>
      </c>
    </row>
    <row r="2268">
      <c r="A2268" s="7">
        <f>HYPERLINK("http://www.lingerieopt.ru/item/9500-kruzhevnoe-mini-bikini-cate/","9500")</f>
      </c>
      <c r="B2268" s="8" t="s">
        <v>2262</v>
      </c>
      <c r="C2268" s="9">
        <v>898</v>
      </c>
      <c r="D2268" s="0">
        <v>3</v>
      </c>
      <c r="E2268" s="10">
        <f>HYPERLINK("http://www.lingerieopt.ru/images/original/83410c3d-d68e-42c0-845b-2d316afbe456.jpg","Фото")</f>
      </c>
    </row>
    <row r="2269">
      <c r="A2269" s="7">
        <f>HYPERLINK("http://www.lingerieopt.ru/item/9500-kruzhevnoe-mini-bikini-cate/","9500")</f>
      </c>
      <c r="B2269" s="8" t="s">
        <v>2263</v>
      </c>
      <c r="C2269" s="9">
        <v>898</v>
      </c>
      <c r="D2269" s="0">
        <v>3</v>
      </c>
      <c r="E2269" s="10">
        <f>HYPERLINK("http://www.lingerieopt.ru/images/original/83410c3d-d68e-42c0-845b-2d316afbe456.jpg","Фото")</f>
      </c>
    </row>
    <row r="2270">
      <c r="A2270" s="7">
        <f>HYPERLINK("http://www.lingerieopt.ru/item/9500-kruzhevnoe-mini-bikini-cate/","9500")</f>
      </c>
      <c r="B2270" s="8" t="s">
        <v>2264</v>
      </c>
      <c r="C2270" s="9">
        <v>898</v>
      </c>
      <c r="D2270" s="0">
        <v>2</v>
      </c>
      <c r="E2270" s="10">
        <f>HYPERLINK("http://www.lingerieopt.ru/images/original/83410c3d-d68e-42c0-845b-2d316afbe456.jpg","Фото")</f>
      </c>
    </row>
    <row r="2271">
      <c r="A2271" s="7">
        <f>HYPERLINK("http://www.lingerieopt.ru/item/9500-kruzhevnoe-mini-bikini-cate/","9500")</f>
      </c>
      <c r="B2271" s="8" t="s">
        <v>2265</v>
      </c>
      <c r="C2271" s="9">
        <v>898</v>
      </c>
      <c r="D2271" s="0">
        <v>3</v>
      </c>
      <c r="E2271" s="10">
        <f>HYPERLINK("http://www.lingerieopt.ru/images/original/83410c3d-d68e-42c0-845b-2d316afbe456.jpg","Фото")</f>
      </c>
    </row>
    <row r="2272">
      <c r="A2272" s="7">
        <f>HYPERLINK("http://www.lingerieopt.ru/item/9503-roskoshnji-komplekt-belya-lulie-plus-size-iz-vozdushnogo-tonkogo-kruzheva/","9503")</f>
      </c>
      <c r="B2272" s="8" t="s">
        <v>2266</v>
      </c>
      <c r="C2272" s="9">
        <v>2129</v>
      </c>
      <c r="D2272" s="0">
        <v>1</v>
      </c>
      <c r="E2272" s="10">
        <f>HYPERLINK("http://www.lingerieopt.ru/images/original/9080f0b9-6762-45d5-96f4-1e4de7653d1b.jpg","Фото")</f>
      </c>
    </row>
    <row r="2273">
      <c r="A2273" s="7">
        <f>HYPERLINK("http://www.lingerieopt.ru/item/9503-roskoshnji-komplekt-belya-lulie-plus-size-iz-vozdushnogo-tonkogo-kruzheva/","9503")</f>
      </c>
      <c r="B2273" s="8" t="s">
        <v>2267</v>
      </c>
      <c r="C2273" s="9">
        <v>2129</v>
      </c>
      <c r="D2273" s="0">
        <v>3</v>
      </c>
      <c r="E2273" s="10">
        <f>HYPERLINK("http://www.lingerieopt.ru/images/original/9080f0b9-6762-45d5-96f4-1e4de7653d1b.jpg","Фото")</f>
      </c>
    </row>
    <row r="2274">
      <c r="A2274" s="7">
        <f>HYPERLINK("http://www.lingerieopt.ru/item/9511-komplekt-belya-mango-plus-size-s-vstavkami-iz-straz/","9511")</f>
      </c>
      <c r="B2274" s="8" t="s">
        <v>2268</v>
      </c>
      <c r="C2274" s="9">
        <v>1383</v>
      </c>
      <c r="D2274" s="0">
        <v>2</v>
      </c>
      <c r="E2274" s="10">
        <f>HYPERLINK("http://www.lingerieopt.ru/images/original/1f0f2b23-b302-4f31-a434-cdb3f5f61834.jpg","Фото")</f>
      </c>
    </row>
    <row r="2275">
      <c r="A2275" s="7">
        <f>HYPERLINK("http://www.lingerieopt.ru/item/9511-komplekt-belya-mango-plus-size-s-vstavkami-iz-straz/","9511")</f>
      </c>
      <c r="B2275" s="8" t="s">
        <v>2269</v>
      </c>
      <c r="C2275" s="9">
        <v>1383</v>
      </c>
      <c r="D2275" s="0">
        <v>3</v>
      </c>
      <c r="E2275" s="10">
        <f>HYPERLINK("http://www.lingerieopt.ru/images/original/1f0f2b23-b302-4f31-a434-cdb3f5f61834.jpg","Фото")</f>
      </c>
    </row>
    <row r="2276">
      <c r="A2276" s="7">
        <f>HYPERLINK("http://www.lingerieopt.ru/item/9515-komplekt-belya-donna-plus-size-iz-2-predmetov/","9515")</f>
      </c>
      <c r="B2276" s="8" t="s">
        <v>2270</v>
      </c>
      <c r="C2276" s="9">
        <v>1244</v>
      </c>
      <c r="D2276" s="0">
        <v>3</v>
      </c>
      <c r="E2276" s="10">
        <f>HYPERLINK("http://www.lingerieopt.ru/images/original/81db86a1-667b-488b-8aff-76a564fb4e5c.jpg","Фото")</f>
      </c>
    </row>
    <row r="2277">
      <c r="A2277" s="7">
        <f>HYPERLINK("http://www.lingerieopt.ru/item/9515-komplekt-belya-donna-plus-size-iz-2-predmetov/","9515")</f>
      </c>
      <c r="B2277" s="8" t="s">
        <v>2271</v>
      </c>
      <c r="C2277" s="9">
        <v>1244</v>
      </c>
      <c r="D2277" s="0">
        <v>4</v>
      </c>
      <c r="E2277" s="10">
        <f>HYPERLINK("http://www.lingerieopt.ru/images/original/81db86a1-667b-488b-8aff-76a564fb4e5c.jpg","Фото")</f>
      </c>
    </row>
    <row r="2278">
      <c r="A2278" s="7">
        <f>HYPERLINK("http://www.lingerieopt.ru/item/9516-poluprozrachnji-komplekt-belya-donna-iz-2-predmetov/","9516")</f>
      </c>
      <c r="B2278" s="8" t="s">
        <v>2272</v>
      </c>
      <c r="C2278" s="9">
        <v>1244</v>
      </c>
      <c r="D2278" s="0">
        <v>5</v>
      </c>
      <c r="E2278" s="10">
        <f>HYPERLINK("http://www.lingerieopt.ru/images/original/db241b0b-a719-4baf-833d-8644bc606029.jpg","Фото")</f>
      </c>
    </row>
    <row r="2279">
      <c r="A2279" s="7">
        <f>HYPERLINK("http://www.lingerieopt.ru/item/9516-poluprozrachnji-komplekt-belya-donna-iz-2-predmetov/","9516")</f>
      </c>
      <c r="B2279" s="8" t="s">
        <v>2273</v>
      </c>
      <c r="C2279" s="9">
        <v>1244</v>
      </c>
      <c r="D2279" s="0">
        <v>4</v>
      </c>
      <c r="E2279" s="10">
        <f>HYPERLINK("http://www.lingerieopt.ru/images/original/db241b0b-a719-4baf-833d-8644bc606029.jpg","Фото")</f>
      </c>
    </row>
    <row r="2280">
      <c r="A2280" s="7">
        <f>HYPERLINK("http://www.lingerieopt.ru/item/9516-poluprozrachnji-komplekt-belya-donna-iz-2-predmetov/","9516")</f>
      </c>
      <c r="B2280" s="8" t="s">
        <v>2274</v>
      </c>
      <c r="C2280" s="9">
        <v>1244</v>
      </c>
      <c r="D2280" s="0">
        <v>3</v>
      </c>
      <c r="E2280" s="10">
        <f>HYPERLINK("http://www.lingerieopt.ru/images/original/db241b0b-a719-4baf-833d-8644bc606029.jpg","Фото")</f>
      </c>
    </row>
    <row r="2281">
      <c r="A2281" s="7">
        <f>HYPERLINK("http://www.lingerieopt.ru/item/9516-poluprozrachnji-komplekt-belya-donna-iz-2-predmetov/","9516")</f>
      </c>
      <c r="B2281" s="8" t="s">
        <v>2275</v>
      </c>
      <c r="C2281" s="9">
        <v>1244</v>
      </c>
      <c r="D2281" s="0">
        <v>9</v>
      </c>
      <c r="E2281" s="10">
        <f>HYPERLINK("http://www.lingerieopt.ru/images/original/db241b0b-a719-4baf-833d-8644bc606029.jpg","Фото")</f>
      </c>
    </row>
    <row r="2282">
      <c r="A2282" s="7">
        <f>HYPERLINK("http://www.lingerieopt.ru/item/9521-nevesomji-komplekt-charlize-plus-size-top-i-shortj/","9521")</f>
      </c>
      <c r="B2282" s="8" t="s">
        <v>2276</v>
      </c>
      <c r="C2282" s="9">
        <v>1313</v>
      </c>
      <c r="D2282" s="0">
        <v>3</v>
      </c>
      <c r="E2282" s="10">
        <f>HYPERLINK("http://www.lingerieopt.ru/images/original/321e2a04-7b07-4c08-993d-5d660911177f.jpg","Фото")</f>
      </c>
    </row>
    <row r="2283">
      <c r="A2283" s="7">
        <f>HYPERLINK("http://www.lingerieopt.ru/item/9521-nevesomji-komplekt-charlize-plus-size-top-i-shortj/","9521")</f>
      </c>
      <c r="B2283" s="8" t="s">
        <v>2277</v>
      </c>
      <c r="C2283" s="9">
        <v>1313</v>
      </c>
      <c r="D2283" s="0">
        <v>3</v>
      </c>
      <c r="E2283" s="10">
        <f>HYPERLINK("http://www.lingerieopt.ru/images/original/321e2a04-7b07-4c08-993d-5d660911177f.jpg","Фото")</f>
      </c>
    </row>
    <row r="2284">
      <c r="A2284" s="7">
        <f>HYPERLINK("http://www.lingerieopt.ru/item/9533-kruzhevnoi-komplekt-belya-miren-plus-size-iz-3-predmetov/","9533")</f>
      </c>
      <c r="B2284" s="8" t="s">
        <v>2278</v>
      </c>
      <c r="C2284" s="9">
        <v>1803</v>
      </c>
      <c r="D2284" s="0">
        <v>1</v>
      </c>
      <c r="E2284" s="10">
        <f>HYPERLINK("http://www.lingerieopt.ru/images/original/9c10bacd-db23-4d90-8fe8-17736f1ad9ca.jpg","Фото")</f>
      </c>
    </row>
    <row r="2285">
      <c r="A2285" s="7">
        <f>HYPERLINK("http://www.lingerieopt.ru/item/9533-kruzhevnoi-komplekt-belya-miren-plus-size-iz-3-predmetov/","9533")</f>
      </c>
      <c r="B2285" s="8" t="s">
        <v>2279</v>
      </c>
      <c r="C2285" s="9">
        <v>1803</v>
      </c>
      <c r="D2285" s="0">
        <v>1</v>
      </c>
      <c r="E2285" s="10">
        <f>HYPERLINK("http://www.lingerieopt.ru/images/original/9c10bacd-db23-4d90-8fe8-17736f1ad9ca.jpg","Фото")</f>
      </c>
    </row>
    <row r="2286">
      <c r="A2286" s="7">
        <f>HYPERLINK("http://www.lingerieopt.ru/item/9534-izjskannji-komplekt-belya-miren-iz-3-predmetov/","9534")</f>
      </c>
      <c r="B2286" s="8" t="s">
        <v>2280</v>
      </c>
      <c r="C2286" s="9">
        <v>1671</v>
      </c>
      <c r="D2286" s="0">
        <v>2</v>
      </c>
      <c r="E2286" s="10">
        <f>HYPERLINK("http://www.lingerieopt.ru/images/original/ac61519e-b890-4543-8871-0088b9d5f6e4.jpg","Фото")</f>
      </c>
    </row>
    <row r="2287">
      <c r="A2287" s="7">
        <f>HYPERLINK("http://www.lingerieopt.ru/item/9534-izjskannji-komplekt-belya-miren-iz-3-predmetov/","9534")</f>
      </c>
      <c r="B2287" s="8" t="s">
        <v>2281</v>
      </c>
      <c r="C2287" s="9">
        <v>1671</v>
      </c>
      <c r="D2287" s="0">
        <v>0</v>
      </c>
      <c r="E2287" s="10">
        <f>HYPERLINK("http://www.lingerieopt.ru/images/original/ac61519e-b890-4543-8871-0088b9d5f6e4.jpg","Фото")</f>
      </c>
    </row>
    <row r="2288">
      <c r="A2288" s="7">
        <f>HYPERLINK("http://www.lingerieopt.ru/item/9534-izjskannji-komplekt-belya-miren-iz-3-predmetov/","9534")</f>
      </c>
      <c r="B2288" s="8" t="s">
        <v>2282</v>
      </c>
      <c r="C2288" s="9">
        <v>1671</v>
      </c>
      <c r="D2288" s="0">
        <v>0</v>
      </c>
      <c r="E2288" s="10">
        <f>HYPERLINK("http://www.lingerieopt.ru/images/original/ac61519e-b890-4543-8871-0088b9d5f6e4.jpg","Фото")</f>
      </c>
    </row>
    <row r="2289">
      <c r="A2289" s="7">
        <f>HYPERLINK("http://www.lingerieopt.ru/item/9534-izjskannji-komplekt-belya-miren-iz-3-predmetov/","9534")</f>
      </c>
      <c r="B2289" s="8" t="s">
        <v>2283</v>
      </c>
      <c r="C2289" s="9">
        <v>1671</v>
      </c>
      <c r="D2289" s="0">
        <v>0</v>
      </c>
      <c r="E2289" s="10">
        <f>HYPERLINK("http://www.lingerieopt.ru/images/original/ac61519e-b890-4543-8871-0088b9d5f6e4.jpg","Фото")</f>
      </c>
    </row>
    <row r="2290">
      <c r="A2290" s="7">
        <f>HYPERLINK("http://www.lingerieopt.ru/item/9535-nezhnji-komplekt-dlya-sna-marcia-plus-size-s-kruzhevnoi-otorochkoi/","9535")</f>
      </c>
      <c r="B2290" s="8" t="s">
        <v>2284</v>
      </c>
      <c r="C2290" s="9">
        <v>1313</v>
      </c>
      <c r="D2290" s="0">
        <v>4</v>
      </c>
      <c r="E2290" s="10">
        <f>HYPERLINK("http://www.lingerieopt.ru/images/original/abdbc058-1557-47ea-ac70-d07f232def65.jpg","Фото")</f>
      </c>
    </row>
    <row r="2291">
      <c r="A2291" s="7">
        <f>HYPERLINK("http://www.lingerieopt.ru/item/9535-nezhnji-komplekt-dlya-sna-marcia-plus-size-s-kruzhevnoi-otorochkoi/","9535")</f>
      </c>
      <c r="B2291" s="8" t="s">
        <v>2285</v>
      </c>
      <c r="C2291" s="9">
        <v>1313</v>
      </c>
      <c r="D2291" s="0">
        <v>3</v>
      </c>
      <c r="E2291" s="10">
        <f>HYPERLINK("http://www.lingerieopt.ru/images/original/abdbc058-1557-47ea-ac70-d07f232def65.jpg","Фото")</f>
      </c>
    </row>
    <row r="2292">
      <c r="A2292" s="7">
        <f>HYPERLINK("http://www.lingerieopt.ru/item/9538-yarkii-komplekt-belya-dlya-sna-petra/","9538")</f>
      </c>
      <c r="B2292" s="8" t="s">
        <v>2286</v>
      </c>
      <c r="C2292" s="9">
        <v>1578</v>
      </c>
      <c r="D2292" s="0">
        <v>5</v>
      </c>
      <c r="E2292" s="10">
        <f>HYPERLINK("http://www.lingerieopt.ru/images/original/ce315815-6b2a-4ab6-b788-82c115a7bb71.jpg","Фото")</f>
      </c>
    </row>
    <row r="2293">
      <c r="A2293" s="7">
        <f>HYPERLINK("http://www.lingerieopt.ru/item/9538-yarkii-komplekt-belya-dlya-sna-petra/","9538")</f>
      </c>
      <c r="B2293" s="8" t="s">
        <v>2287</v>
      </c>
      <c r="C2293" s="9">
        <v>1578</v>
      </c>
      <c r="D2293" s="0">
        <v>12</v>
      </c>
      <c r="E2293" s="10">
        <f>HYPERLINK("http://www.lingerieopt.ru/images/original/ce315815-6b2a-4ab6-b788-82c115a7bb71.jpg","Фото")</f>
      </c>
    </row>
    <row r="2294">
      <c r="A2294" s="7">
        <f>HYPERLINK("http://www.lingerieopt.ru/item/9538-yarkii-komplekt-belya-dlya-sna-petra/","9538")</f>
      </c>
      <c r="B2294" s="8" t="s">
        <v>2288</v>
      </c>
      <c r="C2294" s="9">
        <v>1578</v>
      </c>
      <c r="D2294" s="0">
        <v>10</v>
      </c>
      <c r="E2294" s="10">
        <f>HYPERLINK("http://www.lingerieopt.ru/images/original/ce315815-6b2a-4ab6-b788-82c115a7bb71.jpg","Фото")</f>
      </c>
    </row>
    <row r="2295">
      <c r="A2295" s="7">
        <f>HYPERLINK("http://www.lingerieopt.ru/item/9538-yarkii-komplekt-belya-dlya-sna-petra/","9538")</f>
      </c>
      <c r="B2295" s="8" t="s">
        <v>2289</v>
      </c>
      <c r="C2295" s="9">
        <v>1578</v>
      </c>
      <c r="D2295" s="0">
        <v>10</v>
      </c>
      <c r="E2295" s="10">
        <f>HYPERLINK("http://www.lingerieopt.ru/images/original/ce315815-6b2a-4ab6-b788-82c115a7bb71.jpg","Фото")</f>
      </c>
    </row>
    <row r="2296">
      <c r="A2296" s="7">
        <f>HYPERLINK("http://www.lingerieopt.ru/item/9541-kruzhevnoi-komplekt-belya-cristal-plus-size-so-shnurovkami/","9541")</f>
      </c>
      <c r="B2296" s="8" t="s">
        <v>2290</v>
      </c>
      <c r="C2296" s="9">
        <v>1313</v>
      </c>
      <c r="D2296" s="0">
        <v>2</v>
      </c>
      <c r="E2296" s="10">
        <f>HYPERLINK("http://www.lingerieopt.ru/images/original/fd1fb425-1d03-4a2d-b27d-61830e3d87a6.jpg","Фото")</f>
      </c>
    </row>
    <row r="2297">
      <c r="A2297" s="7">
        <f>HYPERLINK("http://www.lingerieopt.ru/item/9541-kruzhevnoi-komplekt-belya-cristal-plus-size-so-shnurovkami/","9541")</f>
      </c>
      <c r="B2297" s="8" t="s">
        <v>2291</v>
      </c>
      <c r="C2297" s="9">
        <v>1313</v>
      </c>
      <c r="D2297" s="0">
        <v>2</v>
      </c>
      <c r="E2297" s="10">
        <f>HYPERLINK("http://www.lingerieopt.ru/images/original/fd1fb425-1d03-4a2d-b27d-61830e3d87a6.jpg","Фото")</f>
      </c>
    </row>
    <row r="2298">
      <c r="A2298" s="7">
        <f>HYPERLINK("http://www.lingerieopt.ru/item/9542-kruzhevnoi-komplekt-belya-cristal/","9542")</f>
      </c>
      <c r="B2298" s="8" t="s">
        <v>2292</v>
      </c>
      <c r="C2298" s="9">
        <v>1313</v>
      </c>
      <c r="D2298" s="0">
        <v>1</v>
      </c>
      <c r="E2298" s="10">
        <f>HYPERLINK("http://www.lingerieopt.ru/images/original/b1ab22e5-6651-4dc8-9e6f-000f4f5a6470.jpg","Фото")</f>
      </c>
    </row>
    <row r="2299">
      <c r="A2299" s="7">
        <f>HYPERLINK("http://www.lingerieopt.ru/item/9542-kruzhevnoi-komplekt-belya-cristal/","9542")</f>
      </c>
      <c r="B2299" s="8" t="s">
        <v>2293</v>
      </c>
      <c r="C2299" s="9">
        <v>1313</v>
      </c>
      <c r="D2299" s="0">
        <v>2</v>
      </c>
      <c r="E2299" s="10">
        <f>HYPERLINK("http://www.lingerieopt.ru/images/original/b1ab22e5-6651-4dc8-9e6f-000f4f5a6470.jpg","Фото")</f>
      </c>
    </row>
    <row r="2300">
      <c r="A2300" s="7">
        <f>HYPERLINK("http://www.lingerieopt.ru/item/9542-kruzhevnoi-komplekt-belya-cristal/","9542")</f>
      </c>
      <c r="B2300" s="8" t="s">
        <v>2294</v>
      </c>
      <c r="C2300" s="9">
        <v>1313</v>
      </c>
      <c r="D2300" s="0">
        <v>0</v>
      </c>
      <c r="E2300" s="10">
        <f>HYPERLINK("http://www.lingerieopt.ru/images/original/b1ab22e5-6651-4dc8-9e6f-000f4f5a6470.jpg","Фото")</f>
      </c>
    </row>
    <row r="2301">
      <c r="A2301" s="7">
        <f>HYPERLINK("http://www.lingerieopt.ru/item/9542-kruzhevnoi-komplekt-belya-cristal/","9542")</f>
      </c>
      <c r="B2301" s="8" t="s">
        <v>2295</v>
      </c>
      <c r="C2301" s="9">
        <v>1313</v>
      </c>
      <c r="D2301" s="0">
        <v>2</v>
      </c>
      <c r="E2301" s="10">
        <f>HYPERLINK("http://www.lingerieopt.ru/images/original/b1ab22e5-6651-4dc8-9e6f-000f4f5a6470.jpg","Фото")</f>
      </c>
    </row>
    <row r="2302">
      <c r="A2302" s="7">
        <f>HYPERLINK("http://www.lingerieopt.ru/item/9545-soblaznitelnji-komplekt-belya-estell-plus-size/","9545")</f>
      </c>
      <c r="B2302" s="8" t="s">
        <v>2296</v>
      </c>
      <c r="C2302" s="9">
        <v>1027</v>
      </c>
      <c r="D2302" s="0">
        <v>2</v>
      </c>
      <c r="E2302" s="10">
        <f>HYPERLINK("http://www.lingerieopt.ru/images/original/27b70fe6-904d-45b0-908c-734195d5b223.jpg","Фото")</f>
      </c>
    </row>
    <row r="2303">
      <c r="A2303" s="7">
        <f>HYPERLINK("http://www.lingerieopt.ru/item/9545-soblaznitelnji-komplekt-belya-estell-plus-size/","9545")</f>
      </c>
      <c r="B2303" s="8" t="s">
        <v>2297</v>
      </c>
      <c r="C2303" s="9">
        <v>1027</v>
      </c>
      <c r="D2303" s="0">
        <v>2</v>
      </c>
      <c r="E2303" s="10">
        <f>HYPERLINK("http://www.lingerieopt.ru/images/original/27b70fe6-904d-45b0-908c-734195d5b223.jpg","Фото")</f>
      </c>
    </row>
    <row r="2304">
      <c r="A2304" s="7">
        <f>HYPERLINK("http://www.lingerieopt.ru/item/9546-soblaznitelnji-komplekt-belya-estell-s-krasnjmi-bantikami/","9546")</f>
      </c>
      <c r="B2304" s="8" t="s">
        <v>2298</v>
      </c>
      <c r="C2304" s="9">
        <v>1027</v>
      </c>
      <c r="D2304" s="0">
        <v>5</v>
      </c>
      <c r="E2304" s="10">
        <f>HYPERLINK("http://www.lingerieopt.ru/images/original/5b692789-87a0-4b68-8e93-3d7b3a5ad79a.jpg","Фото")</f>
      </c>
    </row>
    <row r="2305">
      <c r="A2305" s="7">
        <f>HYPERLINK("http://www.lingerieopt.ru/item/9546-soblaznitelnji-komplekt-belya-estell-s-krasnjmi-bantikami/","9546")</f>
      </c>
      <c r="B2305" s="8" t="s">
        <v>2299</v>
      </c>
      <c r="C2305" s="9">
        <v>1027</v>
      </c>
      <c r="D2305" s="0">
        <v>6</v>
      </c>
      <c r="E2305" s="10">
        <f>HYPERLINK("http://www.lingerieopt.ru/images/original/5b692789-87a0-4b68-8e93-3d7b3a5ad79a.jpg","Фото")</f>
      </c>
    </row>
    <row r="2306">
      <c r="A2306" s="7">
        <f>HYPERLINK("http://www.lingerieopt.ru/item/9546-soblaznitelnji-komplekt-belya-estell-s-krasnjmi-bantikami/","9546")</f>
      </c>
      <c r="B2306" s="8" t="s">
        <v>2300</v>
      </c>
      <c r="C2306" s="9">
        <v>1027</v>
      </c>
      <c r="D2306" s="0">
        <v>4</v>
      </c>
      <c r="E2306" s="10">
        <f>HYPERLINK("http://www.lingerieopt.ru/images/original/5b692789-87a0-4b68-8e93-3d7b3a5ad79a.jpg","Фото")</f>
      </c>
    </row>
    <row r="2307">
      <c r="A2307" s="7">
        <f>HYPERLINK("http://www.lingerieopt.ru/item/9546-soblaznitelnji-komplekt-belya-estell-s-krasnjmi-bantikami/","9546")</f>
      </c>
      <c r="B2307" s="8" t="s">
        <v>2301</v>
      </c>
      <c r="C2307" s="9">
        <v>1027</v>
      </c>
      <c r="D2307" s="0">
        <v>10</v>
      </c>
      <c r="E2307" s="10">
        <f>HYPERLINK("http://www.lingerieopt.ru/images/original/5b692789-87a0-4b68-8e93-3d7b3a5ad79a.jpg","Фото")</f>
      </c>
    </row>
    <row r="2308">
      <c r="A2308" s="7">
        <f>HYPERLINK("http://www.lingerieopt.ru/item/9551-otkrovennji-komplekt-belya-polyos-plus-size/","9551")</f>
      </c>
      <c r="B2308" s="8" t="s">
        <v>2302</v>
      </c>
      <c r="C2308" s="9">
        <v>1801</v>
      </c>
      <c r="D2308" s="0">
        <v>3</v>
      </c>
      <c r="E2308" s="10">
        <f>HYPERLINK("http://www.lingerieopt.ru/images/original/a659b93e-139d-4ef9-bb43-142d564a79d3.jpg","Фото")</f>
      </c>
    </row>
    <row r="2309">
      <c r="A2309" s="7">
        <f>HYPERLINK("http://www.lingerieopt.ru/item/9551-otkrovennji-komplekt-belya-polyos-plus-size/","9551")</f>
      </c>
      <c r="B2309" s="8" t="s">
        <v>2303</v>
      </c>
      <c r="C2309" s="9">
        <v>1801</v>
      </c>
      <c r="D2309" s="0">
        <v>2</v>
      </c>
      <c r="E2309" s="10">
        <f>HYPERLINK("http://www.lingerieopt.ru/images/original/a659b93e-139d-4ef9-bb43-142d564a79d3.jpg","Фото")</f>
      </c>
    </row>
    <row r="2310">
      <c r="A2310" s="7">
        <f>HYPERLINK("http://www.lingerieopt.ru/item/9552-otkrjtji-komplekt-belya-polyos-iz-strep-lent/","9552")</f>
      </c>
      <c r="B2310" s="8" t="s">
        <v>2304</v>
      </c>
      <c r="C2310" s="9">
        <v>3300</v>
      </c>
      <c r="D2310" s="0">
        <v>4</v>
      </c>
      <c r="E2310" s="10">
        <f>HYPERLINK("http://www.lingerieopt.ru/images/original/bdfe3788-1b46-41b4-ba4a-b9d7fb5235e0.jpg","Фото")</f>
      </c>
    </row>
    <row r="2311">
      <c r="A2311" s="7">
        <f>HYPERLINK("http://www.lingerieopt.ru/item/9552-otkrjtji-komplekt-belya-polyos-iz-strep-lent/","9552")</f>
      </c>
      <c r="B2311" s="8" t="s">
        <v>2305</v>
      </c>
      <c r="C2311" s="9">
        <v>3300</v>
      </c>
      <c r="D2311" s="0">
        <v>5</v>
      </c>
      <c r="E2311" s="10">
        <f>HYPERLINK("http://www.lingerieopt.ru/images/original/bdfe3788-1b46-41b4-ba4a-b9d7fb5235e0.jpg","Фото")</f>
      </c>
    </row>
    <row r="2312">
      <c r="A2312" s="7">
        <f>HYPERLINK("http://www.lingerieopt.ru/item/9552-otkrjtji-komplekt-belya-polyos-iz-strep-lent/","9552")</f>
      </c>
      <c r="B2312" s="8" t="s">
        <v>2306</v>
      </c>
      <c r="C2312" s="9">
        <v>3300</v>
      </c>
      <c r="D2312" s="0">
        <v>5</v>
      </c>
      <c r="E2312" s="10">
        <f>HYPERLINK("http://www.lingerieopt.ru/images/original/bdfe3788-1b46-41b4-ba4a-b9d7fb5235e0.jpg","Фото")</f>
      </c>
    </row>
    <row r="2313">
      <c r="A2313" s="7">
        <f>HYPERLINK("http://www.lingerieopt.ru/item/9552-otkrjtji-komplekt-belya-polyos-iz-strep-lent/","9552")</f>
      </c>
      <c r="B2313" s="8" t="s">
        <v>2307</v>
      </c>
      <c r="C2313" s="9">
        <v>3300</v>
      </c>
      <c r="D2313" s="0">
        <v>5</v>
      </c>
      <c r="E2313" s="10">
        <f>HYPERLINK("http://www.lingerieopt.ru/images/original/bdfe3788-1b46-41b4-ba4a-b9d7fb5235e0.jpg","Фото")</f>
      </c>
    </row>
    <row r="2314">
      <c r="A2314" s="7">
        <f>HYPERLINK("http://www.lingerieopt.ru/item/9569-yarkii-komplekt-belya-brianna-plus-size-iz-2-predmetov/","9569")</f>
      </c>
      <c r="B2314" s="8" t="s">
        <v>2308</v>
      </c>
      <c r="C2314" s="9">
        <v>1170</v>
      </c>
      <c r="D2314" s="0">
        <v>3</v>
      </c>
      <c r="E2314" s="10">
        <f>HYPERLINK("http://www.lingerieopt.ru/images/original/37084ace-ef25-4dcf-ad6d-e3e3907220cf.jpg","Фото")</f>
      </c>
    </row>
    <row r="2315">
      <c r="A2315" s="7">
        <f>HYPERLINK("http://www.lingerieopt.ru/item/9569-yarkii-komplekt-belya-brianna-plus-size-iz-2-predmetov/","9569")</f>
      </c>
      <c r="B2315" s="8" t="s">
        <v>2309</v>
      </c>
      <c r="C2315" s="9">
        <v>1170</v>
      </c>
      <c r="D2315" s="0">
        <v>2</v>
      </c>
      <c r="E2315" s="10">
        <f>HYPERLINK("http://www.lingerieopt.ru/images/original/37084ace-ef25-4dcf-ad6d-e3e3907220cf.jpg","Фото")</f>
      </c>
    </row>
    <row r="2316">
      <c r="A2316" s="7">
        <f>HYPERLINK("http://www.lingerieopt.ru/item/9570-soblaznitelnji-dvuhcvetnji-komplekt-belya-brianna-iz-2-predmetov/","9570")</f>
      </c>
      <c r="B2316" s="8" t="s">
        <v>2310</v>
      </c>
      <c r="C2316" s="9">
        <v>1170</v>
      </c>
      <c r="D2316" s="0">
        <v>4</v>
      </c>
      <c r="E2316" s="10">
        <f>HYPERLINK("http://www.lingerieopt.ru/images/original/4107dd08-2a48-433e-990b-965541ee5f52.jpg","Фото")</f>
      </c>
    </row>
    <row r="2317">
      <c r="A2317" s="7">
        <f>HYPERLINK("http://www.lingerieopt.ru/item/9570-soblaznitelnji-dvuhcvetnji-komplekt-belya-brianna-iz-2-predmetov/","9570")</f>
      </c>
      <c r="B2317" s="8" t="s">
        <v>2311</v>
      </c>
      <c r="C2317" s="9">
        <v>1170</v>
      </c>
      <c r="D2317" s="0">
        <v>5</v>
      </c>
      <c r="E2317" s="10">
        <f>HYPERLINK("http://www.lingerieopt.ru/images/original/4107dd08-2a48-433e-990b-965541ee5f52.jpg","Фото")</f>
      </c>
    </row>
    <row r="2318">
      <c r="A2318" s="7">
        <f>HYPERLINK("http://www.lingerieopt.ru/item/9570-soblaznitelnji-dvuhcvetnji-komplekt-belya-brianna-iz-2-predmetov/","9570")</f>
      </c>
      <c r="B2318" s="8" t="s">
        <v>2312</v>
      </c>
      <c r="C2318" s="9">
        <v>1170</v>
      </c>
      <c r="D2318" s="0">
        <v>3</v>
      </c>
      <c r="E2318" s="10">
        <f>HYPERLINK("http://www.lingerieopt.ru/images/original/4107dd08-2a48-433e-990b-965541ee5f52.jpg","Фото")</f>
      </c>
    </row>
    <row r="2319">
      <c r="A2319" s="7">
        <f>HYPERLINK("http://www.lingerieopt.ru/item/9570-soblaznitelnji-dvuhcvetnji-komplekt-belya-brianna-iz-2-predmetov/","9570")</f>
      </c>
      <c r="B2319" s="8" t="s">
        <v>2313</v>
      </c>
      <c r="C2319" s="9">
        <v>1170</v>
      </c>
      <c r="D2319" s="0">
        <v>5</v>
      </c>
      <c r="E2319" s="10">
        <f>HYPERLINK("http://www.lingerieopt.ru/images/original/4107dd08-2a48-433e-990b-965541ee5f52.jpg","Фото")</f>
      </c>
    </row>
    <row r="2320">
      <c r="A2320" s="7">
        <f>HYPERLINK("http://www.lingerieopt.ru/item/9588-originalnji-komplekt-belya-tess/","9588")</f>
      </c>
      <c r="B2320" s="8" t="s">
        <v>2314</v>
      </c>
      <c r="C2320" s="9">
        <v>1720</v>
      </c>
      <c r="D2320" s="0">
        <v>8</v>
      </c>
      <c r="E2320" s="10">
        <f>HYPERLINK("http://www.lingerieopt.ru/images/original/7846a67c-8006-464e-a7df-c52e6389fa3a.jpg","Фото")</f>
      </c>
    </row>
    <row r="2321">
      <c r="A2321" s="7">
        <f>HYPERLINK("http://www.lingerieopt.ru/item/9588-originalnji-komplekt-belya-tess/","9588")</f>
      </c>
      <c r="B2321" s="8" t="s">
        <v>2315</v>
      </c>
      <c r="C2321" s="9">
        <v>1720</v>
      </c>
      <c r="D2321" s="0">
        <v>5</v>
      </c>
      <c r="E2321" s="10">
        <f>HYPERLINK("http://www.lingerieopt.ru/images/original/7846a67c-8006-464e-a7df-c52e6389fa3a.jpg","Фото")</f>
      </c>
    </row>
    <row r="2322">
      <c r="A2322" s="7">
        <f>HYPERLINK("http://www.lingerieopt.ru/item/9593-poluprozrachnji-komplekt-nizhnego-belya-s-bantikami/","9593")</f>
      </c>
      <c r="B2322" s="8" t="s">
        <v>2316</v>
      </c>
      <c r="C2322" s="9">
        <v>1381</v>
      </c>
      <c r="D2322" s="0">
        <v>4</v>
      </c>
      <c r="E2322" s="10">
        <f>HYPERLINK("http://www.lingerieopt.ru/images/original/56077c6e-8370-45d4-a860-1616c287e35c.jpg","Фото")</f>
      </c>
    </row>
    <row r="2323">
      <c r="A2323" s="7">
        <f>HYPERLINK("http://www.lingerieopt.ru/item/9593-poluprozrachnji-komplekt-nizhnego-belya-s-bantikami/","9593")</f>
      </c>
      <c r="B2323" s="8" t="s">
        <v>2317</v>
      </c>
      <c r="C2323" s="9">
        <v>1381</v>
      </c>
      <c r="D2323" s="0">
        <v>2</v>
      </c>
      <c r="E2323" s="10">
        <f>HYPERLINK("http://www.lingerieopt.ru/images/original/56077c6e-8370-45d4-a860-1616c287e35c.jpg","Фото")</f>
      </c>
    </row>
    <row r="2324">
      <c r="A2324" s="7">
        <f>HYPERLINK("http://www.lingerieopt.ru/item/9602-komplekt-belya-carla-s-otkrjtjm-lifom/","9602")</f>
      </c>
      <c r="B2324" s="8" t="s">
        <v>2318</v>
      </c>
      <c r="C2324" s="9">
        <v>876</v>
      </c>
      <c r="D2324" s="0">
        <v>0</v>
      </c>
      <c r="E2324" s="10">
        <f>HYPERLINK("http://www.lingerieopt.ru/images/original/6a9acbfe-5f62-486b-bbdf-353ff22abc2b.jpg","Фото")</f>
      </c>
    </row>
    <row r="2325">
      <c r="A2325" s="7">
        <f>HYPERLINK("http://www.lingerieopt.ru/item/9602-komplekt-belya-carla-s-otkrjtjm-lifom/","9602")</f>
      </c>
      <c r="B2325" s="8" t="s">
        <v>2319</v>
      </c>
      <c r="C2325" s="9">
        <v>876</v>
      </c>
      <c r="D2325" s="0">
        <v>2</v>
      </c>
      <c r="E2325" s="10">
        <f>HYPERLINK("http://www.lingerieopt.ru/images/original/6a9acbfe-5f62-486b-bbdf-353ff22abc2b.jpg","Фото")</f>
      </c>
    </row>
    <row r="2326">
      <c r="A2326" s="7">
        <f>HYPERLINK("http://www.lingerieopt.ru/item/9606-soblaznitelnji-komplekt-zhenskogo-belya-isidora-s-kruzhevami/","9606")</f>
      </c>
      <c r="B2326" s="8" t="s">
        <v>2320</v>
      </c>
      <c r="C2326" s="9">
        <v>1863</v>
      </c>
      <c r="D2326" s="0">
        <v>5</v>
      </c>
      <c r="E2326" s="10">
        <f>HYPERLINK("http://www.lingerieopt.ru/images/original/962b4b5c-2ffc-4121-b82d-cd9c9a3e5ae8.jpg","Фото")</f>
      </c>
    </row>
    <row r="2327">
      <c r="A2327" s="7">
        <f>HYPERLINK("http://www.lingerieopt.ru/item/9606-soblaznitelnji-komplekt-zhenskogo-belya-isidora-s-kruzhevami/","9606")</f>
      </c>
      <c r="B2327" s="8" t="s">
        <v>2321</v>
      </c>
      <c r="C2327" s="9">
        <v>1863</v>
      </c>
      <c r="D2327" s="0">
        <v>7</v>
      </c>
      <c r="E2327" s="10">
        <f>HYPERLINK("http://www.lingerieopt.ru/images/original/962b4b5c-2ffc-4121-b82d-cd9c9a3e5ae8.jpg","Фото")</f>
      </c>
    </row>
    <row r="2328">
      <c r="A2328" s="7">
        <f>HYPERLINK("http://www.lingerieopt.ru/item/9607-komplekt-belya-isidora-plus-size-s-kruzhevami/","9607")</f>
      </c>
      <c r="B2328" s="8" t="s">
        <v>2322</v>
      </c>
      <c r="C2328" s="9">
        <v>1863</v>
      </c>
      <c r="D2328" s="0">
        <v>1</v>
      </c>
      <c r="E2328" s="10">
        <f>HYPERLINK("http://www.lingerieopt.ru/images/original/f0a43155-99cb-4998-b456-57224f8f6c75.jpg","Фото")</f>
      </c>
    </row>
    <row r="2329">
      <c r="A2329" s="7">
        <f>HYPERLINK("http://www.lingerieopt.ru/item/9616-otkrovennji-komplekt-belya-rita-plus-size-s-otkrjtjm-lifom/","9616")</f>
      </c>
      <c r="B2329" s="8" t="s">
        <v>2323</v>
      </c>
      <c r="C2329" s="9">
        <v>1044</v>
      </c>
      <c r="D2329" s="0">
        <v>2</v>
      </c>
      <c r="E2329" s="10">
        <f>HYPERLINK("http://www.lingerieopt.ru/images/original/3349c5eb-3f47-4ddb-9189-76b1e9cfc4cd.jpg","Фото")</f>
      </c>
    </row>
    <row r="2330">
      <c r="A2330" s="7">
        <f>HYPERLINK("http://www.lingerieopt.ru/item/9621-pikantnji-komplekt-belya-goldie-s-poluotkrjtjm-lifom-i-kruzhevom/","9621")</f>
      </c>
      <c r="B2330" s="8" t="s">
        <v>2324</v>
      </c>
      <c r="C2330" s="9">
        <v>1193</v>
      </c>
      <c r="D2330" s="0">
        <v>2</v>
      </c>
      <c r="E2330" s="10">
        <f>HYPERLINK("http://www.lingerieopt.ru/images/original/09550a73-c344-40e4-8626-56cf67cdbed8.jpg","Фото")</f>
      </c>
    </row>
    <row r="2331">
      <c r="A2331" s="7">
        <f>HYPERLINK("http://www.lingerieopt.ru/item/9621-pikantnji-komplekt-belya-goldie-s-poluotkrjtjm-lifom-i-kruzhevom/","9621")</f>
      </c>
      <c r="B2331" s="8" t="s">
        <v>2325</v>
      </c>
      <c r="C2331" s="9">
        <v>1193</v>
      </c>
      <c r="D2331" s="0">
        <v>1</v>
      </c>
      <c r="E2331" s="10">
        <f>HYPERLINK("http://www.lingerieopt.ru/images/original/09550a73-c344-40e4-8626-56cf67cdbed8.jpg","Фото")</f>
      </c>
    </row>
    <row r="2332">
      <c r="A2332" s="7">
        <f>HYPERLINK("http://www.lingerieopt.ru/item/9625-provokacionnji-komplekt-belya-diva-s-kontrastnoi-strochkoi/","9625")</f>
      </c>
      <c r="B2332" s="8" t="s">
        <v>2326</v>
      </c>
      <c r="C2332" s="9">
        <v>1357</v>
      </c>
      <c r="D2332" s="0">
        <v>2</v>
      </c>
      <c r="E2332" s="10">
        <f>HYPERLINK("http://www.lingerieopt.ru/images/original/e75c2b8a-ce28-4b27-a059-669018f24deb.jpg","Фото")</f>
      </c>
    </row>
    <row r="2333">
      <c r="A2333" s="7">
        <f>HYPERLINK("http://www.lingerieopt.ru/item/9625-provokacionnji-komplekt-belya-diva-s-kontrastnoi-strochkoi/","9625")</f>
      </c>
      <c r="B2333" s="8" t="s">
        <v>2327</v>
      </c>
      <c r="C2333" s="9">
        <v>1357</v>
      </c>
      <c r="D2333" s="0">
        <v>2</v>
      </c>
      <c r="E2333" s="10">
        <f>HYPERLINK("http://www.lingerieopt.ru/images/original/e75c2b8a-ce28-4b27-a059-669018f24deb.jpg","Фото")</f>
      </c>
    </row>
    <row r="2334">
      <c r="A2334" s="7">
        <f>HYPERLINK("http://www.lingerieopt.ru/item/9626-provokacionnji-komplekt-belya-diva-plus-size-s-kontrastnoi-strochkoi/","9626")</f>
      </c>
      <c r="B2334" s="8" t="s">
        <v>2328</v>
      </c>
      <c r="C2334" s="9">
        <v>1357</v>
      </c>
      <c r="D2334" s="0">
        <v>2</v>
      </c>
      <c r="E2334" s="10">
        <f>HYPERLINK("http://www.lingerieopt.ru/images/original/3689e30c-fd66-475c-b3bd-40676e0935ae.jpg","Фото")</f>
      </c>
    </row>
    <row r="2335">
      <c r="A2335" s="7">
        <f>HYPERLINK("http://www.lingerieopt.ru/item/9627-soblaznitelnji-kruzhevnoi-komplekt-belya-amelie-s-otkrjtjm-lifom/","9627")</f>
      </c>
      <c r="B2335" s="8" t="s">
        <v>2329</v>
      </c>
      <c r="C2335" s="9">
        <v>1638</v>
      </c>
      <c r="D2335" s="0">
        <v>5</v>
      </c>
      <c r="E2335" s="10">
        <f>HYPERLINK("http://www.lingerieopt.ru/images/original/19259941-022d-4bb8-88a6-d8c62134d572.jpg","Фото")</f>
      </c>
    </row>
    <row r="2336">
      <c r="A2336" s="7">
        <f>HYPERLINK("http://www.lingerieopt.ru/item/9627-soblaznitelnji-kruzhevnoi-komplekt-belya-amelie-s-otkrjtjm-lifom/","9627")</f>
      </c>
      <c r="B2336" s="8" t="s">
        <v>2330</v>
      </c>
      <c r="C2336" s="9">
        <v>1638</v>
      </c>
      <c r="D2336" s="0">
        <v>5</v>
      </c>
      <c r="E2336" s="10">
        <f>HYPERLINK("http://www.lingerieopt.ru/images/original/19259941-022d-4bb8-88a6-d8c62134d572.jpg","Фото")</f>
      </c>
    </row>
    <row r="2337">
      <c r="A2337" s="7">
        <f>HYPERLINK("http://www.lingerieopt.ru/item/9628-soblaznitelnji-kruzhevnoi-komplekt-belya-amelie-plus-size-s-otkrjtjm-lifom/","9628")</f>
      </c>
      <c r="B2337" s="8" t="s">
        <v>2331</v>
      </c>
      <c r="C2337" s="9">
        <v>1638</v>
      </c>
      <c r="D2337" s="0">
        <v>4</v>
      </c>
      <c r="E2337" s="10">
        <f>HYPERLINK("http://www.lingerieopt.ru/images/original/8a54ed84-b1d0-47ee-ba93-b50795829b3e.jpg","Фото")</f>
      </c>
    </row>
    <row r="2338">
      <c r="A2338" s="7">
        <f>HYPERLINK("http://www.lingerieopt.ru/item/9633-ozornoi-komplekt-belya-anette-na-zavyazkah/","9633")</f>
      </c>
      <c r="B2338" s="8" t="s">
        <v>2332</v>
      </c>
      <c r="C2338" s="9">
        <v>852</v>
      </c>
      <c r="D2338" s="0">
        <v>6</v>
      </c>
      <c r="E2338" s="10">
        <f>HYPERLINK("http://www.lingerieopt.ru/images/original/3a2d3678-6288-4224-bd47-84ce358286cb.jpg","Фото")</f>
      </c>
    </row>
    <row r="2339">
      <c r="A2339" s="7">
        <f>HYPERLINK("http://www.lingerieopt.ru/item/9633-ozornoi-komplekt-belya-anette-na-zavyazkah/","9633")</f>
      </c>
      <c r="B2339" s="8" t="s">
        <v>2333</v>
      </c>
      <c r="C2339" s="9">
        <v>852</v>
      </c>
      <c r="D2339" s="0">
        <v>1</v>
      </c>
      <c r="E2339" s="10">
        <f>HYPERLINK("http://www.lingerieopt.ru/images/original/3a2d3678-6288-4224-bd47-84ce358286cb.jpg","Фото")</f>
      </c>
    </row>
    <row r="2340">
      <c r="A2340" s="7">
        <f>HYPERLINK("http://www.lingerieopt.ru/item/9656-komplekt-belya-capri-iz-tkani-s-wet-effektom/","9656")</f>
      </c>
      <c r="B2340" s="8" t="s">
        <v>2334</v>
      </c>
      <c r="C2340" s="9">
        <v>1299</v>
      </c>
      <c r="D2340" s="0">
        <v>4</v>
      </c>
      <c r="E2340" s="10">
        <f>HYPERLINK("http://www.lingerieopt.ru/images/original/b9c2d698-a321-4cd5-9805-3fead88fbb0d.jpg","Фото")</f>
      </c>
    </row>
    <row r="2341">
      <c r="A2341" s="7">
        <f>HYPERLINK("http://www.lingerieopt.ru/item/9656-komplekt-belya-capri-iz-tkani-s-wet-effektom/","9656")</f>
      </c>
      <c r="B2341" s="8" t="s">
        <v>2335</v>
      </c>
      <c r="C2341" s="9">
        <v>1299</v>
      </c>
      <c r="D2341" s="0">
        <v>0</v>
      </c>
      <c r="E2341" s="10">
        <f>HYPERLINK("http://www.lingerieopt.ru/images/original/b9c2d698-a321-4cd5-9805-3fead88fbb0d.jpg","Фото")</f>
      </c>
    </row>
    <row r="2342">
      <c r="A2342" s="7">
        <f>HYPERLINK("http://www.lingerieopt.ru/item/9657-strogii-komplekt-belya-capri-plus-size-iz-tkani-s-wet-effektom/","9657")</f>
      </c>
      <c r="B2342" s="8" t="s">
        <v>2336</v>
      </c>
      <c r="C2342" s="9">
        <v>1299</v>
      </c>
      <c r="D2342" s="0">
        <v>1</v>
      </c>
      <c r="E2342" s="10">
        <f>HYPERLINK("http://www.lingerieopt.ru/images/original/178a884c-58a8-478e-bdf6-f3813708a035.jpg","Фото")</f>
      </c>
    </row>
    <row r="2343">
      <c r="A2343" s="7">
        <f>HYPERLINK("http://www.lingerieopt.ru/item/9658-komplekt-belya-expression-plus-size/","9658")</f>
      </c>
      <c r="B2343" s="8" t="s">
        <v>2337</v>
      </c>
      <c r="C2343" s="9">
        <v>1299</v>
      </c>
      <c r="D2343" s="0">
        <v>3</v>
      </c>
      <c r="E2343" s="10">
        <f>HYPERLINK("http://www.lingerieopt.ru/images/original/ae4191a3-4b28-46e3-ad5b-24c39fdd6fd7.jpg","Фото")</f>
      </c>
    </row>
    <row r="2344">
      <c r="A2344" s="7">
        <f>HYPERLINK("http://www.lingerieopt.ru/item/9663-soblaznitelnji-komplekt-belya-neddy-s-wet-effektom/","9663")</f>
      </c>
      <c r="B2344" s="8" t="s">
        <v>2338</v>
      </c>
      <c r="C2344" s="9">
        <v>1299</v>
      </c>
      <c r="D2344" s="0">
        <v>2</v>
      </c>
      <c r="E2344" s="10">
        <f>HYPERLINK("http://www.lingerieopt.ru/images/original/bb146fba-06e4-48fe-8c45-9e2ed78d36d9.jpg","Фото")</f>
      </c>
    </row>
    <row r="2345">
      <c r="A2345" s="7">
        <f>HYPERLINK("http://www.lingerieopt.ru/item/9663-soblaznitelnji-komplekt-belya-neddy-s-wet-effektom/","9663")</f>
      </c>
      <c r="B2345" s="8" t="s">
        <v>2339</v>
      </c>
      <c r="C2345" s="9">
        <v>1299</v>
      </c>
      <c r="D2345" s="0">
        <v>0</v>
      </c>
      <c r="E2345" s="10">
        <f>HYPERLINK("http://www.lingerieopt.ru/images/original/bb146fba-06e4-48fe-8c45-9e2ed78d36d9.jpg","Фото")</f>
      </c>
    </row>
    <row r="2346">
      <c r="A2346" s="7">
        <f>HYPERLINK("http://www.lingerieopt.ru/item/9665-nezhnji-komplekt-belya-ofelia-plus-size-s-poluotkrjtoi-grudyu/","9665")</f>
      </c>
      <c r="B2346" s="8" t="s">
        <v>2340</v>
      </c>
      <c r="C2346" s="9">
        <v>1299</v>
      </c>
      <c r="D2346" s="0">
        <v>3</v>
      </c>
      <c r="E2346" s="10">
        <f>HYPERLINK("http://www.lingerieopt.ru/images/original/26fb6a8e-1cdf-4c96-9b9c-798adde75d0e.jpg","Фото")</f>
      </c>
    </row>
    <row r="2347">
      <c r="A2347" s="7">
        <f>HYPERLINK("http://www.lingerieopt.ru/item/9668-koketlivji-komplekt-belya-angela-iz-2-predmetov/","9668")</f>
      </c>
      <c r="B2347" s="8" t="s">
        <v>2341</v>
      </c>
      <c r="C2347" s="9">
        <v>1140</v>
      </c>
      <c r="D2347" s="0">
        <v>0</v>
      </c>
      <c r="E2347" s="10">
        <f>HYPERLINK("http://www.lingerieopt.ru/images/original/78eb452e-3b15-4a36-be9e-655bac624194.jpg","Фото")</f>
      </c>
    </row>
    <row r="2348">
      <c r="A2348" s="7">
        <f>HYPERLINK("http://www.lingerieopt.ru/item/9668-koketlivji-komplekt-belya-angela-iz-2-predmetov/","9668")</f>
      </c>
      <c r="B2348" s="8" t="s">
        <v>2342</v>
      </c>
      <c r="C2348" s="9">
        <v>1140</v>
      </c>
      <c r="D2348" s="0">
        <v>0</v>
      </c>
      <c r="E2348" s="10">
        <f>HYPERLINK("http://www.lingerieopt.ru/images/original/78eb452e-3b15-4a36-be9e-655bac624194.jpg","Фото")</f>
      </c>
    </row>
    <row r="2349">
      <c r="A2349" s="7">
        <f>HYPERLINK("http://www.lingerieopt.ru/item/9668-koketlivji-komplekt-belya-angela-iz-2-predmetov/","9668")</f>
      </c>
      <c r="B2349" s="8" t="s">
        <v>2343</v>
      </c>
      <c r="C2349" s="9">
        <v>1140</v>
      </c>
      <c r="D2349" s="0">
        <v>0</v>
      </c>
      <c r="E2349" s="10">
        <f>HYPERLINK("http://www.lingerieopt.ru/images/original/78eb452e-3b15-4a36-be9e-655bac624194.jpg","Фото")</f>
      </c>
    </row>
    <row r="2350">
      <c r="A2350" s="7">
        <f>HYPERLINK("http://www.lingerieopt.ru/item/9668-koketlivji-komplekt-belya-angela-iz-2-predmetov/","9668")</f>
      </c>
      <c r="B2350" s="8" t="s">
        <v>2344</v>
      </c>
      <c r="C2350" s="9">
        <v>1140</v>
      </c>
      <c r="D2350" s="0">
        <v>0</v>
      </c>
      <c r="E2350" s="10">
        <f>HYPERLINK("http://www.lingerieopt.ru/images/original/78eb452e-3b15-4a36-be9e-655bac624194.jpg","Фото")</f>
      </c>
    </row>
    <row r="2351">
      <c r="A2351" s="7">
        <f>HYPERLINK("http://www.lingerieopt.ru/item/9668-koketlivji-komplekt-belya-angela-iz-2-predmetov/","9668")</f>
      </c>
      <c r="B2351" s="8" t="s">
        <v>2345</v>
      </c>
      <c r="C2351" s="9">
        <v>1140</v>
      </c>
      <c r="D2351" s="0">
        <v>2</v>
      </c>
      <c r="E2351" s="10">
        <f>HYPERLINK("http://www.lingerieopt.ru/images/original/78eb452e-3b15-4a36-be9e-655bac624194.jpg","Фото")</f>
      </c>
    </row>
    <row r="2352">
      <c r="A2352" s="7">
        <f>HYPERLINK("http://www.lingerieopt.ru/item/9670-seksapilnji-komplekt-diana-iz-2-predmetov/","9670")</f>
      </c>
      <c r="B2352" s="8" t="s">
        <v>2346</v>
      </c>
      <c r="C2352" s="9">
        <v>972</v>
      </c>
      <c r="D2352" s="0">
        <v>3</v>
      </c>
      <c r="E2352" s="10">
        <f>HYPERLINK("http://www.lingerieopt.ru/images/original/27cb06ba-87c5-4d29-b871-01fea2a6696f.jpg","Фото")</f>
      </c>
    </row>
    <row r="2353">
      <c r="A2353" s="7">
        <f>HYPERLINK("http://www.lingerieopt.ru/item/9670-seksapilnji-komplekt-diana-iz-2-predmetov/","9670")</f>
      </c>
      <c r="B2353" s="8" t="s">
        <v>2347</v>
      </c>
      <c r="C2353" s="9">
        <v>972</v>
      </c>
      <c r="D2353" s="0">
        <v>5</v>
      </c>
      <c r="E2353" s="10">
        <f>HYPERLINK("http://www.lingerieopt.ru/images/original/27cb06ba-87c5-4d29-b871-01fea2a6696f.jpg","Фото")</f>
      </c>
    </row>
    <row r="2354">
      <c r="A2354" s="7">
        <f>HYPERLINK("http://www.lingerieopt.ru/item/9670-seksapilnji-komplekt-diana-iz-2-predmetov/","9670")</f>
      </c>
      <c r="B2354" s="8" t="s">
        <v>2348</v>
      </c>
      <c r="C2354" s="9">
        <v>972</v>
      </c>
      <c r="D2354" s="0">
        <v>0</v>
      </c>
      <c r="E2354" s="10">
        <f>HYPERLINK("http://www.lingerieopt.ru/images/original/27cb06ba-87c5-4d29-b871-01fea2a6696f.jpg","Фото")</f>
      </c>
    </row>
    <row r="2355">
      <c r="A2355" s="7">
        <f>HYPERLINK("http://www.lingerieopt.ru/item/9670-seksapilnji-komplekt-diana-iz-2-predmetov/","9670")</f>
      </c>
      <c r="B2355" s="8" t="s">
        <v>2349</v>
      </c>
      <c r="C2355" s="9">
        <v>972</v>
      </c>
      <c r="D2355" s="0">
        <v>4</v>
      </c>
      <c r="E2355" s="10">
        <f>HYPERLINK("http://www.lingerieopt.ru/images/original/27cb06ba-87c5-4d29-b871-01fea2a6696f.jpg","Фото")</f>
      </c>
    </row>
    <row r="2356">
      <c r="A2356" s="7">
        <f>HYPERLINK("http://www.lingerieopt.ru/item/9670-seksapilnji-komplekt-diana-iz-2-predmetov/","9670")</f>
      </c>
      <c r="B2356" s="8" t="s">
        <v>2350</v>
      </c>
      <c r="C2356" s="9">
        <v>972</v>
      </c>
      <c r="D2356" s="0">
        <v>0</v>
      </c>
      <c r="E2356" s="10">
        <f>HYPERLINK("http://www.lingerieopt.ru/images/original/27cb06ba-87c5-4d29-b871-01fea2a6696f.jpg","Фото")</f>
      </c>
    </row>
    <row r="2357">
      <c r="A2357" s="7">
        <f>HYPERLINK("http://www.lingerieopt.ru/item/9670-seksapilnji-komplekt-diana-iz-2-predmetov/","9670")</f>
      </c>
      <c r="B2357" s="8" t="s">
        <v>2351</v>
      </c>
      <c r="C2357" s="9">
        <v>972</v>
      </c>
      <c r="D2357" s="0">
        <v>4</v>
      </c>
      <c r="E2357" s="10">
        <f>HYPERLINK("http://www.lingerieopt.ru/images/original/27cb06ba-87c5-4d29-b871-01fea2a6696f.jpg","Фото")</f>
      </c>
    </row>
    <row r="2358">
      <c r="A2358" s="7">
        <f>HYPERLINK("http://www.lingerieopt.ru/item/9671-seksapilnji-tyulevji-komplekt-belya-diana-plus-size-iz-2-predmetov/","9671")</f>
      </c>
      <c r="B2358" s="8" t="s">
        <v>2352</v>
      </c>
      <c r="C2358" s="9">
        <v>972</v>
      </c>
      <c r="D2358" s="0">
        <v>3</v>
      </c>
      <c r="E2358" s="10">
        <f>HYPERLINK("http://www.lingerieopt.ru/images/original/849f40ab-ff3c-42d6-9d2c-f6bcddfdf0e1.jpg","Фото")</f>
      </c>
    </row>
    <row r="2359">
      <c r="A2359" s="7">
        <f>HYPERLINK("http://www.lingerieopt.ru/item/9671-seksapilnji-tyulevji-komplekt-belya-diana-plus-size-iz-2-predmetov/","9671")</f>
      </c>
      <c r="B2359" s="8" t="s">
        <v>2353</v>
      </c>
      <c r="C2359" s="9">
        <v>972</v>
      </c>
      <c r="D2359" s="0">
        <v>2</v>
      </c>
      <c r="E2359" s="10">
        <f>HYPERLINK("http://www.lingerieopt.ru/images/original/849f40ab-ff3c-42d6-9d2c-f6bcddfdf0e1.jpg","Фото")</f>
      </c>
    </row>
    <row r="2360">
      <c r="A2360" s="7">
        <f>HYPERLINK("http://www.lingerieopt.ru/item/9671-seksapilnji-tyulevji-komplekt-belya-diana-plus-size-iz-2-predmetov/","9671")</f>
      </c>
      <c r="B2360" s="8" t="s">
        <v>2354</v>
      </c>
      <c r="C2360" s="9">
        <v>972</v>
      </c>
      <c r="D2360" s="0">
        <v>2</v>
      </c>
      <c r="E2360" s="10">
        <f>HYPERLINK("http://www.lingerieopt.ru/images/original/849f40ab-ff3c-42d6-9d2c-f6bcddfdf0e1.jpg","Фото")</f>
      </c>
    </row>
    <row r="2361">
      <c r="A2361" s="7">
        <f>HYPERLINK("http://www.lingerieopt.ru/item/9695-originalnji-komplekt-belya-catalina-iz-ryushevjh-lent/","9695")</f>
      </c>
      <c r="B2361" s="8" t="s">
        <v>2355</v>
      </c>
      <c r="C2361" s="9">
        <v>996</v>
      </c>
      <c r="D2361" s="0">
        <v>8</v>
      </c>
      <c r="E2361" s="10">
        <f>HYPERLINK("http://www.lingerieopt.ru/images/original/7a3344e4-7046-4d8c-a037-db6559909897.jpg","Фото")</f>
      </c>
    </row>
    <row r="2362">
      <c r="A2362" s="7">
        <f>HYPERLINK("http://www.lingerieopt.ru/item/9695-originalnji-komplekt-belya-catalina-iz-ryushevjh-lent/","9695")</f>
      </c>
      <c r="B2362" s="8" t="s">
        <v>2356</v>
      </c>
      <c r="C2362" s="9">
        <v>996</v>
      </c>
      <c r="D2362" s="0">
        <v>8</v>
      </c>
      <c r="E2362" s="10">
        <f>HYPERLINK("http://www.lingerieopt.ru/images/original/7a3344e4-7046-4d8c-a037-db6559909897.jpg","Фото")</f>
      </c>
    </row>
    <row r="2363">
      <c r="A2363" s="7">
        <f>HYPERLINK("http://www.lingerieopt.ru/item/9696-originalnji-komplekt-belya-catalina-plus-size-iz-ryushevjh-lent/","9696")</f>
      </c>
      <c r="B2363" s="8" t="s">
        <v>2357</v>
      </c>
      <c r="C2363" s="9">
        <v>996</v>
      </c>
      <c r="D2363" s="0">
        <v>3</v>
      </c>
      <c r="E2363" s="10">
        <f>HYPERLINK("http://www.lingerieopt.ru/images/original/ea26bb82-d5cd-4ced-950e-b91ddeef0642.jpg","Фото")</f>
      </c>
    </row>
    <row r="2364">
      <c r="A2364" s="7">
        <f>HYPERLINK("http://www.lingerieopt.ru/item/9709-poluprozrachnji-komplekt-belya-candace-s-kruzhevnoi-otdelkoi/","9709")</f>
      </c>
      <c r="B2364" s="8" t="s">
        <v>2358</v>
      </c>
      <c r="C2364" s="9">
        <v>1299</v>
      </c>
      <c r="D2364" s="0">
        <v>3</v>
      </c>
      <c r="E2364" s="10">
        <f>HYPERLINK("http://www.lingerieopt.ru/images/original/6c0b35f6-7d96-4e65-95a9-8b51302c5745.jpg","Фото")</f>
      </c>
    </row>
    <row r="2365">
      <c r="A2365" s="7">
        <f>HYPERLINK("http://www.lingerieopt.ru/item/9709-poluprozrachnji-komplekt-belya-candace-s-kruzhevnoi-otdelkoi/","9709")</f>
      </c>
      <c r="B2365" s="8" t="s">
        <v>2359</v>
      </c>
      <c r="C2365" s="9">
        <v>1299</v>
      </c>
      <c r="D2365" s="0">
        <v>8</v>
      </c>
      <c r="E2365" s="10">
        <f>HYPERLINK("http://www.lingerieopt.ru/images/original/6c0b35f6-7d96-4e65-95a9-8b51302c5745.jpg","Фото")</f>
      </c>
    </row>
    <row r="2366">
      <c r="A2366" s="7">
        <f>HYPERLINK("http://www.lingerieopt.ru/item/9724-igrivji-komplekt-belya-alexis-so-strep-lentami/","9724")</f>
      </c>
      <c r="B2366" s="8" t="s">
        <v>2360</v>
      </c>
      <c r="C2366" s="9">
        <v>1228</v>
      </c>
      <c r="D2366" s="0">
        <v>11</v>
      </c>
      <c r="E2366" s="10">
        <f>HYPERLINK("http://www.lingerieopt.ru/images/original/78dca634-0887-43f5-830d-cc2fb931dc0c.jpg","Фото")</f>
      </c>
    </row>
    <row r="2367">
      <c r="A2367" s="7">
        <f>HYPERLINK("http://www.lingerieopt.ru/item/9724-igrivji-komplekt-belya-alexis-so-strep-lentami/","9724")</f>
      </c>
      <c r="B2367" s="8" t="s">
        <v>2361</v>
      </c>
      <c r="C2367" s="9">
        <v>1228</v>
      </c>
      <c r="D2367" s="0">
        <v>9</v>
      </c>
      <c r="E2367" s="10">
        <f>HYPERLINK("http://www.lingerieopt.ru/images/original/78dca634-0887-43f5-830d-cc2fb931dc0c.jpg","Фото")</f>
      </c>
    </row>
    <row r="2368">
      <c r="A2368" s="7">
        <f>HYPERLINK("http://www.lingerieopt.ru/item/9725-igrivji-komplekt-belya-alexis-plus-size-so-strep-lentami/","9725")</f>
      </c>
      <c r="B2368" s="8" t="s">
        <v>2362</v>
      </c>
      <c r="C2368" s="9">
        <v>1228</v>
      </c>
      <c r="D2368" s="0">
        <v>3</v>
      </c>
      <c r="E2368" s="10">
        <f>HYPERLINK("http://www.lingerieopt.ru/images/original/5104266e-8543-4b34-baca-487175fd4e86.jpg","Фото")</f>
      </c>
    </row>
    <row r="2369">
      <c r="A2369" s="7">
        <f>HYPERLINK("http://www.lingerieopt.ru/item/9733-soblaznitelnji-komplekt-belya-isa-so-shnurovkami/","9733")</f>
      </c>
      <c r="B2369" s="8" t="s">
        <v>2363</v>
      </c>
      <c r="C2369" s="9">
        <v>1439</v>
      </c>
      <c r="D2369" s="0">
        <v>6</v>
      </c>
      <c r="E2369" s="10">
        <f>HYPERLINK("http://www.lingerieopt.ru/images/original/3243d6f8-3968-47d3-b815-b6e52900ff69.jpg","Фото")</f>
      </c>
    </row>
    <row r="2370">
      <c r="A2370" s="7">
        <f>HYPERLINK("http://www.lingerieopt.ru/item/9733-soblaznitelnji-komplekt-belya-isa-so-shnurovkami/","9733")</f>
      </c>
      <c r="B2370" s="8" t="s">
        <v>2364</v>
      </c>
      <c r="C2370" s="9">
        <v>1439</v>
      </c>
      <c r="D2370" s="0">
        <v>8</v>
      </c>
      <c r="E2370" s="10">
        <f>HYPERLINK("http://www.lingerieopt.ru/images/original/3243d6f8-3968-47d3-b815-b6e52900ff69.jpg","Фото")</f>
      </c>
    </row>
    <row r="2371">
      <c r="A2371" s="7">
        <f>HYPERLINK("http://www.lingerieopt.ru/item/9734-soblaznitelnji-komplekt-belya-isa-plus-size-so-shnurovkami/","9734")</f>
      </c>
      <c r="B2371" s="8" t="s">
        <v>2365</v>
      </c>
      <c r="C2371" s="9">
        <v>1369</v>
      </c>
      <c r="D2371" s="0">
        <v>4</v>
      </c>
      <c r="E2371" s="10">
        <f>HYPERLINK("http://www.lingerieopt.ru/images/original/f5073295-ba04-4661-b292-4730485735f9.jpg","Фото")</f>
      </c>
    </row>
    <row r="2372">
      <c r="A2372" s="7">
        <f>HYPERLINK("http://www.lingerieopt.ru/item/9748-chuvstvennji-komplekt-belya-anita-iz-strep-lent/","9748")</f>
      </c>
      <c r="B2372" s="8" t="s">
        <v>2366</v>
      </c>
      <c r="C2372" s="9">
        <v>1626</v>
      </c>
      <c r="D2372" s="0">
        <v>5</v>
      </c>
      <c r="E2372" s="10">
        <f>HYPERLINK("http://www.lingerieopt.ru/images/original/9319112c-2165-4e60-b42c-997027d56a25.jpg","Фото")</f>
      </c>
    </row>
    <row r="2373">
      <c r="A2373" s="7">
        <f>HYPERLINK("http://www.lingerieopt.ru/item/9748-chuvstvennji-komplekt-belya-anita-iz-strep-lent/","9748")</f>
      </c>
      <c r="B2373" s="8" t="s">
        <v>2367</v>
      </c>
      <c r="C2373" s="9">
        <v>1626</v>
      </c>
      <c r="D2373" s="0">
        <v>0</v>
      </c>
      <c r="E2373" s="10">
        <f>HYPERLINK("http://www.lingerieopt.ru/images/original/9319112c-2165-4e60-b42c-997027d56a25.jpg","Фото")</f>
      </c>
    </row>
    <row r="2374">
      <c r="A2374" s="7">
        <f>HYPERLINK("http://www.lingerieopt.ru/item/9748-chuvstvennji-komplekt-belya-anita-iz-strep-lent/","9748")</f>
      </c>
      <c r="B2374" s="8" t="s">
        <v>2368</v>
      </c>
      <c r="C2374" s="9">
        <v>1626</v>
      </c>
      <c r="D2374" s="0">
        <v>2</v>
      </c>
      <c r="E2374" s="10">
        <f>HYPERLINK("http://www.lingerieopt.ru/images/original/9319112c-2165-4e60-b42c-997027d56a25.jpg","Фото")</f>
      </c>
    </row>
    <row r="2375">
      <c r="A2375" s="7">
        <f>HYPERLINK("http://www.lingerieopt.ru/item/9748-chuvstvennji-komplekt-belya-anita-iz-strep-lent/","9748")</f>
      </c>
      <c r="B2375" s="8" t="s">
        <v>2369</v>
      </c>
      <c r="C2375" s="9">
        <v>1626</v>
      </c>
      <c r="D2375" s="0">
        <v>7</v>
      </c>
      <c r="E2375" s="10">
        <f>HYPERLINK("http://www.lingerieopt.ru/images/original/9319112c-2165-4e60-b42c-997027d56a25.jpg","Фото")</f>
      </c>
    </row>
    <row r="2376">
      <c r="A2376" s="7">
        <f>HYPERLINK("http://www.lingerieopt.ru/item/9748-chuvstvennji-komplekt-belya-anita-iz-strep-lent/","9748")</f>
      </c>
      <c r="B2376" s="8" t="s">
        <v>2370</v>
      </c>
      <c r="C2376" s="9">
        <v>1626</v>
      </c>
      <c r="D2376" s="0">
        <v>3</v>
      </c>
      <c r="E2376" s="10">
        <f>HYPERLINK("http://www.lingerieopt.ru/images/original/9319112c-2165-4e60-b42c-997027d56a25.jpg","Фото")</f>
      </c>
    </row>
    <row r="2377">
      <c r="A2377" s="7">
        <f>HYPERLINK("http://www.lingerieopt.ru/item/9748-chuvstvennji-komplekt-belya-anita-iz-strep-lent/","9748")</f>
      </c>
      <c r="B2377" s="8" t="s">
        <v>2371</v>
      </c>
      <c r="C2377" s="9">
        <v>1626</v>
      </c>
      <c r="D2377" s="0">
        <v>5</v>
      </c>
      <c r="E2377" s="10">
        <f>HYPERLINK("http://www.lingerieopt.ru/images/original/9319112c-2165-4e60-b42c-997027d56a25.jpg","Фото")</f>
      </c>
    </row>
    <row r="2378">
      <c r="A2378" s="7">
        <f>HYPERLINK("http://www.lingerieopt.ru/item/9749-chuvstvennji-komplekt-belya-anita-plus-size-iz-strep-lent/","9749")</f>
      </c>
      <c r="B2378" s="8" t="s">
        <v>2372</v>
      </c>
      <c r="C2378" s="9">
        <v>1626</v>
      </c>
      <c r="D2378" s="0">
        <v>2</v>
      </c>
      <c r="E2378" s="10">
        <f>HYPERLINK("http://www.lingerieopt.ru/images/original/5b01c441-98a8-4cf9-98b5-3517437eca20.jpg","Фото")</f>
      </c>
    </row>
    <row r="2379">
      <c r="A2379" s="7">
        <f>HYPERLINK("http://www.lingerieopt.ru/item/9749-chuvstvennji-komplekt-belya-anita-plus-size-iz-strep-lent/","9749")</f>
      </c>
      <c r="B2379" s="8" t="s">
        <v>2373</v>
      </c>
      <c r="C2379" s="9">
        <v>1626</v>
      </c>
      <c r="D2379" s="0">
        <v>3</v>
      </c>
      <c r="E2379" s="10">
        <f>HYPERLINK("http://www.lingerieopt.ru/images/original/5b01c441-98a8-4cf9-98b5-3517437eca20.jpg","Фото")</f>
      </c>
    </row>
    <row r="2380">
      <c r="A2380" s="7">
        <f>HYPERLINK("http://www.lingerieopt.ru/item/9749-chuvstvennji-komplekt-belya-anita-plus-size-iz-strep-lent/","9749")</f>
      </c>
      <c r="B2380" s="8" t="s">
        <v>2374</v>
      </c>
      <c r="C2380" s="9">
        <v>1626</v>
      </c>
      <c r="D2380" s="0">
        <v>1</v>
      </c>
      <c r="E2380" s="10">
        <f>HYPERLINK("http://www.lingerieopt.ru/images/original/5b01c441-98a8-4cf9-98b5-3517437eca20.jpg","Фото")</f>
      </c>
    </row>
    <row r="2381">
      <c r="A2381" s="7">
        <f>HYPERLINK("http://www.lingerieopt.ru/item/9754-igrivji-komplekt-belya-babette-plus-size-iz-strep-lent-s-oborochkami/","9754")</f>
      </c>
      <c r="B2381" s="8" t="s">
        <v>2375</v>
      </c>
      <c r="C2381" s="9">
        <v>1580</v>
      </c>
      <c r="D2381" s="0">
        <v>5</v>
      </c>
      <c r="E2381" s="10">
        <f>HYPERLINK("http://www.lingerieopt.ru/images/original/82740f5a-7b05-45c8-9274-06d3552aa220.jpg","Фото")</f>
      </c>
    </row>
    <row r="2382">
      <c r="A2382" s="7">
        <f>HYPERLINK("http://www.lingerieopt.ru/item/9770-chuvstvennji-azhurnji-komplekt-belya-steffie/","9770")</f>
      </c>
      <c r="B2382" s="8" t="s">
        <v>2376</v>
      </c>
      <c r="C2382" s="9">
        <v>1533</v>
      </c>
      <c r="D2382" s="0">
        <v>5</v>
      </c>
      <c r="E2382" s="10">
        <f>HYPERLINK("http://www.lingerieopt.ru/images/original/1ecb2851-55d5-424b-91cf-e3fca37fe3a8.jpg","Фото")</f>
      </c>
    </row>
    <row r="2383">
      <c r="A2383" s="7">
        <f>HYPERLINK("http://www.lingerieopt.ru/item/9770-chuvstvennji-azhurnji-komplekt-belya-steffie/","9770")</f>
      </c>
      <c r="B2383" s="8" t="s">
        <v>2377</v>
      </c>
      <c r="C2383" s="9">
        <v>1533</v>
      </c>
      <c r="D2383" s="0">
        <v>0</v>
      </c>
      <c r="E2383" s="10">
        <f>HYPERLINK("http://www.lingerieopt.ru/images/original/1ecb2851-55d5-424b-91cf-e3fca37fe3a8.jpg","Фото")</f>
      </c>
    </row>
    <row r="2384">
      <c r="A2384" s="7">
        <f>HYPERLINK("http://www.lingerieopt.ru/item/9788-soblaznitelnji-komplekt-belya-camille-plus-size-s-kruzhevnjmi-elementami/","9788")</f>
      </c>
      <c r="B2384" s="8" t="s">
        <v>2378</v>
      </c>
      <c r="C2384" s="9">
        <v>2082</v>
      </c>
      <c r="D2384" s="0">
        <v>0</v>
      </c>
      <c r="E2384" s="10">
        <f>HYPERLINK("http://www.lingerieopt.ru/images/original/871b463d-78d2-4696-bec9-0fd17783459c.jpg","Фото")</f>
      </c>
    </row>
    <row r="2385">
      <c r="A2385" s="7">
        <f>HYPERLINK("http://www.lingerieopt.ru/item/9788-soblaznitelnji-komplekt-belya-camille-plus-size-s-kruzhevnjmi-elementami/","9788")</f>
      </c>
      <c r="B2385" s="8" t="s">
        <v>2379</v>
      </c>
      <c r="C2385" s="9">
        <v>2082</v>
      </c>
      <c r="D2385" s="0">
        <v>2</v>
      </c>
      <c r="E2385" s="10">
        <f>HYPERLINK("http://www.lingerieopt.ru/images/original/871b463d-78d2-4696-bec9-0fd17783459c.jpg","Фото")</f>
      </c>
    </row>
    <row r="2386">
      <c r="A2386" s="7">
        <f>HYPERLINK("http://www.lingerieopt.ru/item/9788-soblaznitelnji-komplekt-belya-camille-plus-size-s-kruzhevnjmi-elementami/","9788")</f>
      </c>
      <c r="B2386" s="8" t="s">
        <v>2380</v>
      </c>
      <c r="C2386" s="9">
        <v>2082</v>
      </c>
      <c r="D2386" s="0">
        <v>2</v>
      </c>
      <c r="E2386" s="10">
        <f>HYPERLINK("http://www.lingerieopt.ru/images/original/871b463d-78d2-4696-bec9-0fd17783459c.jpg","Фото")</f>
      </c>
    </row>
    <row r="2387">
      <c r="A2387" s="7">
        <f>HYPERLINK("http://www.lingerieopt.ru/item/9796-soblaznitelnji-komplekt-nizhnego-belya-aura-s-kruzhevom/","9796")</f>
      </c>
      <c r="B2387" s="8" t="s">
        <v>2381</v>
      </c>
      <c r="C2387" s="9">
        <v>1299</v>
      </c>
      <c r="D2387" s="0">
        <v>2</v>
      </c>
      <c r="E2387" s="10">
        <f>HYPERLINK("http://www.lingerieopt.ru/images/original/3136363d-3402-45bb-ad8c-2072e1f0654a.jpg","Фото")</f>
      </c>
    </row>
    <row r="2388">
      <c r="A2388" s="7">
        <f>HYPERLINK("http://www.lingerieopt.ru/item/9796-soblaznitelnji-komplekt-nizhnego-belya-aura-s-kruzhevom/","9796")</f>
      </c>
      <c r="B2388" s="8" t="s">
        <v>2382</v>
      </c>
      <c r="C2388" s="9">
        <v>1299</v>
      </c>
      <c r="D2388" s="0">
        <v>2</v>
      </c>
      <c r="E2388" s="10">
        <f>HYPERLINK("http://www.lingerieopt.ru/images/original/3136363d-3402-45bb-ad8c-2072e1f0654a.jpg","Фото")</f>
      </c>
    </row>
    <row r="2389">
      <c r="A2389" s="7">
        <f>HYPERLINK("http://www.lingerieopt.ru/item/9797-soblaznitelnji-komplekt-belya-aura-plus-size-s-azhurom/","9797")</f>
      </c>
      <c r="B2389" s="8" t="s">
        <v>2383</v>
      </c>
      <c r="C2389" s="9">
        <v>1299</v>
      </c>
      <c r="D2389" s="0">
        <v>2</v>
      </c>
      <c r="E2389" s="10">
        <f>HYPERLINK("http://www.lingerieopt.ru/images/original/1e41a7e7-8c35-4a77-be52-91a1a978dc2a.jpg","Фото")</f>
      </c>
    </row>
    <row r="2390">
      <c r="A2390" s="7">
        <f>HYPERLINK("http://www.lingerieopt.ru/item/9802-soblaznitelnji-komplekt-belya-imagine-s-poluotkrjtjm-lifom/","9802")</f>
      </c>
      <c r="B2390" s="8" t="s">
        <v>2384</v>
      </c>
      <c r="C2390" s="9">
        <v>1299</v>
      </c>
      <c r="D2390" s="0">
        <v>3</v>
      </c>
      <c r="E2390" s="10">
        <f>HYPERLINK("http://www.lingerieopt.ru/images/original/0a0aa839-9e14-4416-b01a-38751b3eb37a.jpg","Фото")</f>
      </c>
    </row>
    <row r="2391">
      <c r="A2391" s="7">
        <f>HYPERLINK("http://www.lingerieopt.ru/item/9802-soblaznitelnji-komplekt-belya-imagine-s-poluotkrjtjm-lifom/","9802")</f>
      </c>
      <c r="B2391" s="8" t="s">
        <v>2385</v>
      </c>
      <c r="C2391" s="9">
        <v>1299</v>
      </c>
      <c r="D2391" s="0">
        <v>6</v>
      </c>
      <c r="E2391" s="10">
        <f>HYPERLINK("http://www.lingerieopt.ru/images/original/0a0aa839-9e14-4416-b01a-38751b3eb37a.jpg","Фото")</f>
      </c>
    </row>
    <row r="2392">
      <c r="A2392" s="7">
        <f>HYPERLINK("http://www.lingerieopt.ru/item/9806-komplekt-belya-ramona-plus-size-so-shnurovkami/","9806")</f>
      </c>
      <c r="B2392" s="8" t="s">
        <v>2386</v>
      </c>
      <c r="C2392" s="9">
        <v>1299</v>
      </c>
      <c r="D2392" s="0">
        <v>2</v>
      </c>
      <c r="E2392" s="10">
        <f>HYPERLINK("http://www.lingerieopt.ru/images/original/7df28ae1-5a7a-4aa5-b846-10cf339d2530.jpg","Фото")</f>
      </c>
    </row>
    <row r="2393">
      <c r="A2393" s="7">
        <f>HYPERLINK("http://www.lingerieopt.ru/item/9809-poluprozrachnji-komplekt-belya-ulla-na-zavyazkah/","9809")</f>
      </c>
      <c r="B2393" s="8" t="s">
        <v>2387</v>
      </c>
      <c r="C2393" s="9">
        <v>1299</v>
      </c>
      <c r="D2393" s="0">
        <v>6</v>
      </c>
      <c r="E2393" s="10">
        <f>HYPERLINK("http://www.lingerieopt.ru/images/original/a19f3600-bbb4-4146-9fe1-e7efafcd2c9a.jpg","Фото")</f>
      </c>
    </row>
    <row r="2394">
      <c r="A2394" s="7">
        <f>HYPERLINK("http://www.lingerieopt.ru/item/9809-poluprozrachnji-komplekt-belya-ulla-na-zavyazkah/","9809")</f>
      </c>
      <c r="B2394" s="8" t="s">
        <v>2388</v>
      </c>
      <c r="C2394" s="9">
        <v>1299</v>
      </c>
      <c r="D2394" s="0">
        <v>3</v>
      </c>
      <c r="E2394" s="10">
        <f>HYPERLINK("http://www.lingerieopt.ru/images/original/a19f3600-bbb4-4146-9fe1-e7efafcd2c9a.jpg","Фото")</f>
      </c>
    </row>
    <row r="2395">
      <c r="A2395" s="7">
        <f>HYPERLINK("http://www.lingerieopt.ru/item/9810-charuyuschii-komplekt-belya-ulla-plus-size-na-zavyazkah/","9810")</f>
      </c>
      <c r="B2395" s="8" t="s">
        <v>2389</v>
      </c>
      <c r="C2395" s="9">
        <v>1299</v>
      </c>
      <c r="D2395" s="0">
        <v>2</v>
      </c>
      <c r="E2395" s="10">
        <f>HYPERLINK("http://www.lingerieopt.ru/images/original/e2943a1e-9242-4214-abc5-78e8e8e0aa39.jpg","Фото")</f>
      </c>
    </row>
    <row r="2396">
      <c r="A2396" s="7">
        <f>HYPERLINK("http://www.lingerieopt.ru/item/9811-komplekt-belya-will-plus-size-s-podtyazhkami-bantami-i-podvyazkami/","9811")</f>
      </c>
      <c r="B2396" s="8" t="s">
        <v>2390</v>
      </c>
      <c r="C2396" s="9">
        <v>1299</v>
      </c>
      <c r="D2396" s="0">
        <v>3</v>
      </c>
      <c r="E2396" s="10">
        <f>HYPERLINK("http://www.lingerieopt.ru/images/original/5148a5f1-d11c-4116-b7d9-86d7f6438681.jpg","Фото")</f>
      </c>
    </row>
    <row r="2397">
      <c r="A2397" s="7">
        <f>HYPERLINK("http://www.lingerieopt.ru/item/9819-soblaznitelnji-komplekt-belya-celia-plus-size-s-prozrachnjmi-vstavkami/","9819")</f>
      </c>
      <c r="B2397" s="8" t="s">
        <v>2391</v>
      </c>
      <c r="C2397" s="9">
        <v>1267</v>
      </c>
      <c r="D2397" s="0">
        <v>2</v>
      </c>
      <c r="E2397" s="10">
        <f>HYPERLINK("http://www.lingerieopt.ru/images/original/ab6a7fd0-5897-4e9f-9a88-f2d33ee93684.jpg","Фото")</f>
      </c>
    </row>
    <row r="2398">
      <c r="A2398" s="7">
        <f>HYPERLINK("http://www.lingerieopt.ru/item/9819-soblaznitelnji-komplekt-belya-celia-plus-size-s-prozrachnjmi-vstavkami/","9819")</f>
      </c>
      <c r="B2398" s="8" t="s">
        <v>2392</v>
      </c>
      <c r="C2398" s="9">
        <v>1267</v>
      </c>
      <c r="D2398" s="0">
        <v>2</v>
      </c>
      <c r="E2398" s="10">
        <f>HYPERLINK("http://www.lingerieopt.ru/images/original/ab6a7fd0-5897-4e9f-9a88-f2d33ee93684.jpg","Фото")</f>
      </c>
    </row>
    <row r="2399">
      <c r="A2399" s="7">
        <f>HYPERLINK("http://www.lingerieopt.ru/item/9821-charuyuschii-komplekt-belya-karmina-s-otkrjtjm-lifom-i-dvuhcvetnjm-kruzhevom/","9821")</f>
      </c>
      <c r="B2399" s="8" t="s">
        <v>2393</v>
      </c>
      <c r="C2399" s="9">
        <v>1533</v>
      </c>
      <c r="D2399" s="0">
        <v>5</v>
      </c>
      <c r="E2399" s="10">
        <f>HYPERLINK("http://www.lingerieopt.ru/images/original/e1b7cf55-4d5b-49d0-a7b2-40f2519fa22c.jpg","Фото")</f>
      </c>
    </row>
    <row r="2400">
      <c r="A2400" s="7">
        <f>HYPERLINK("http://www.lingerieopt.ru/item/9821-charuyuschii-komplekt-belya-karmina-s-otkrjtjm-lifom-i-dvuhcvetnjm-kruzhevom/","9821")</f>
      </c>
      <c r="B2400" s="8" t="s">
        <v>2394</v>
      </c>
      <c r="C2400" s="9">
        <v>1533</v>
      </c>
      <c r="D2400" s="0">
        <v>3</v>
      </c>
      <c r="E2400" s="10">
        <f>HYPERLINK("http://www.lingerieopt.ru/images/original/e1b7cf55-4d5b-49d0-a7b2-40f2519fa22c.jpg","Фото")</f>
      </c>
    </row>
    <row r="2401">
      <c r="A2401" s="7">
        <f>HYPERLINK("http://www.lingerieopt.ru/item/9822-charuyuschii-komplekt-belya-karmina-plus-size-s-otkrjtjm-lifom-i-dvuhcvetnjm-kruzhevom/","9822")</f>
      </c>
      <c r="B2401" s="8" t="s">
        <v>2395</v>
      </c>
      <c r="C2401" s="9">
        <v>1533</v>
      </c>
      <c r="D2401" s="0">
        <v>3</v>
      </c>
      <c r="E2401" s="10">
        <f>HYPERLINK("http://www.lingerieopt.ru/images/original/ec76443a-4f8c-48ec-ac66-1b091aaa2718.jpg","Фото")</f>
      </c>
    </row>
    <row r="2402">
      <c r="A2402" s="7">
        <f>HYPERLINK("http://www.lingerieopt.ru/item/9825-komplekt-belya-rayen-plus-size-s-kruzhevami-i-shirokim-poyasom-dlya-chulok/","9825")</f>
      </c>
      <c r="B2402" s="8" t="s">
        <v>2396</v>
      </c>
      <c r="C2402" s="9">
        <v>1244</v>
      </c>
      <c r="D2402" s="0">
        <v>2</v>
      </c>
      <c r="E2402" s="10">
        <f>HYPERLINK("http://www.lingerieopt.ru/images/original/9276aa4c-9a35-443d-b991-39441e2dc16f.jpg","Фото")</f>
      </c>
    </row>
    <row r="2403">
      <c r="A2403" s="7">
        <f>HYPERLINK("http://www.lingerieopt.ru/item/9825-komplekt-belya-rayen-plus-size-s-kruzhevami-i-shirokim-poyasom-dlya-chulok/","9825")</f>
      </c>
      <c r="B2403" s="8" t="s">
        <v>2397</v>
      </c>
      <c r="C2403" s="9">
        <v>1244</v>
      </c>
      <c r="D2403" s="0">
        <v>2</v>
      </c>
      <c r="E2403" s="10">
        <f>HYPERLINK("http://www.lingerieopt.ru/images/original/9276aa4c-9a35-443d-b991-39441e2dc16f.jpg","Фото")</f>
      </c>
    </row>
    <row r="2404">
      <c r="A2404" s="7">
        <f>HYPERLINK("http://www.lingerieopt.ru/item/9845-poluprozrachnji-komplekt-belya-libby-plus-size-s-bantikami/","9845")</f>
      </c>
      <c r="B2404" s="8" t="s">
        <v>2398</v>
      </c>
      <c r="C2404" s="9">
        <v>1158</v>
      </c>
      <c r="D2404" s="0">
        <v>1</v>
      </c>
      <c r="E2404" s="10">
        <f>HYPERLINK("http://www.lingerieopt.ru/images/original/e85cffac-2860-4a6c-a7fd-17f7d693248a.jpg","Фото")</f>
      </c>
    </row>
    <row r="2405">
      <c r="A2405" s="7">
        <f>HYPERLINK("http://www.lingerieopt.ru/item/9846-soblaznitelnji-komplekt-belya-nora-s-rozovjmi-bantikami/","9846")</f>
      </c>
      <c r="B2405" s="8" t="s">
        <v>2399</v>
      </c>
      <c r="C2405" s="9">
        <v>1186</v>
      </c>
      <c r="D2405" s="0">
        <v>7</v>
      </c>
      <c r="E2405" s="10">
        <f>HYPERLINK("http://www.lingerieopt.ru/images/original/3efd258d-53ad-4009-92bc-b6798f7f6897.jpg","Фото")</f>
      </c>
    </row>
    <row r="2406">
      <c r="A2406" s="7">
        <f>HYPERLINK("http://www.lingerieopt.ru/item/9846-soblaznitelnji-komplekt-belya-nora-s-rozovjmi-bantikami/","9846")</f>
      </c>
      <c r="B2406" s="8" t="s">
        <v>2400</v>
      </c>
      <c r="C2406" s="9">
        <v>1186</v>
      </c>
      <c r="D2406" s="0">
        <v>5</v>
      </c>
      <c r="E2406" s="10">
        <f>HYPERLINK("http://www.lingerieopt.ru/images/original/3efd258d-53ad-4009-92bc-b6798f7f6897.jpg","Фото")</f>
      </c>
    </row>
    <row r="2407">
      <c r="A2407" s="7">
        <f>HYPERLINK("http://www.lingerieopt.ru/item/9847-soblaznitelnji-komplekt-belya-nora-plus-size-s-rozovjmi-bantikami/","9847")</f>
      </c>
      <c r="B2407" s="8" t="s">
        <v>2401</v>
      </c>
      <c r="C2407" s="9">
        <v>1186</v>
      </c>
      <c r="D2407" s="0">
        <v>2</v>
      </c>
      <c r="E2407" s="10">
        <f>HYPERLINK("http://www.lingerieopt.ru/images/original/b91f8c47-ed3e-48a6-a5bf-bc74200303c8.jpg","Фото")</f>
      </c>
    </row>
    <row r="2408">
      <c r="A2408" s="7">
        <f>HYPERLINK("http://www.lingerieopt.ru/item/9850-chuvstvennji-poluprozrachnji-komplekt-belya-vasper-so-sborochkami/","9850")</f>
      </c>
      <c r="B2408" s="8" t="s">
        <v>2402</v>
      </c>
      <c r="C2408" s="9">
        <v>1198</v>
      </c>
      <c r="D2408" s="0">
        <v>3</v>
      </c>
      <c r="E2408" s="10">
        <f>HYPERLINK("http://www.lingerieopt.ru/images/original/f808eb10-7817-49ae-94c7-999f270ae37a.jpg","Фото")</f>
      </c>
    </row>
    <row r="2409">
      <c r="A2409" s="7">
        <f>HYPERLINK("http://www.lingerieopt.ru/item/9850-chuvstvennji-poluprozrachnji-komplekt-belya-vasper-so-sborochkami/","9850")</f>
      </c>
      <c r="B2409" s="8" t="s">
        <v>2403</v>
      </c>
      <c r="C2409" s="9">
        <v>1198</v>
      </c>
      <c r="D2409" s="0">
        <v>3</v>
      </c>
      <c r="E2409" s="10">
        <f>HYPERLINK("http://www.lingerieopt.ru/images/original/f808eb10-7817-49ae-94c7-999f270ae37a.jpg","Фото")</f>
      </c>
    </row>
    <row r="2410">
      <c r="A2410" s="7">
        <f>HYPERLINK("http://www.lingerieopt.ru/item/9851-pikantnji-poluprozrachnji-komplekt-belya-amore/","9851")</f>
      </c>
      <c r="B2410" s="8" t="s">
        <v>2404</v>
      </c>
      <c r="C2410" s="9">
        <v>1299</v>
      </c>
      <c r="D2410" s="0">
        <v>1</v>
      </c>
      <c r="E2410" s="10">
        <f>HYPERLINK("http://www.lingerieopt.ru/images/original/af390e38-f35a-4b31-b39b-0f65ab26dbf6.jpg","Фото")</f>
      </c>
    </row>
    <row r="2411">
      <c r="A2411" s="7">
        <f>HYPERLINK("http://www.lingerieopt.ru/item/9851-pikantnji-poluprozrachnji-komplekt-belya-amore/","9851")</f>
      </c>
      <c r="B2411" s="8" t="s">
        <v>2405</v>
      </c>
      <c r="C2411" s="9">
        <v>1299</v>
      </c>
      <c r="D2411" s="0">
        <v>6</v>
      </c>
      <c r="E2411" s="10">
        <f>HYPERLINK("http://www.lingerieopt.ru/images/original/af390e38-f35a-4b31-b39b-0f65ab26dbf6.jpg","Фото")</f>
      </c>
    </row>
    <row r="2412">
      <c r="A2412" s="7">
        <f>HYPERLINK("http://www.lingerieopt.ru/item/9851-pikantnji-poluprozrachnji-komplekt-belya-amore/","9851")</f>
      </c>
      <c r="B2412" s="8" t="s">
        <v>2406</v>
      </c>
      <c r="C2412" s="9">
        <v>1299</v>
      </c>
      <c r="D2412" s="0">
        <v>2</v>
      </c>
      <c r="E2412" s="10">
        <f>HYPERLINK("http://www.lingerieopt.ru/images/original/af390e38-f35a-4b31-b39b-0f65ab26dbf6.jpg","Фото")</f>
      </c>
    </row>
    <row r="2413">
      <c r="A2413" s="7">
        <f>HYPERLINK("http://www.lingerieopt.ru/item/9858-igrivji-komplekt-belya-giana-s-razrezami-bantikami-i-ryushkami-po-krayu/","9858")</f>
      </c>
      <c r="B2413" s="8" t="s">
        <v>2407</v>
      </c>
      <c r="C2413" s="9">
        <v>1299</v>
      </c>
      <c r="D2413" s="0">
        <v>5</v>
      </c>
      <c r="E2413" s="10">
        <f>HYPERLINK("http://www.lingerieopt.ru/images/original/d5ad7914-f06f-4ccc-b2b3-f36117b42df2.jpg","Фото")</f>
      </c>
    </row>
    <row r="2414">
      <c r="A2414" s="7">
        <f>HYPERLINK("http://www.lingerieopt.ru/item/9858-igrivji-komplekt-belya-giana-s-razrezami-bantikami-i-ryushkami-po-krayu/","9858")</f>
      </c>
      <c r="B2414" s="8" t="s">
        <v>2408</v>
      </c>
      <c r="C2414" s="9">
        <v>1299</v>
      </c>
      <c r="D2414" s="0">
        <v>1</v>
      </c>
      <c r="E2414" s="10">
        <f>HYPERLINK("http://www.lingerieopt.ru/images/original/d5ad7914-f06f-4ccc-b2b3-f36117b42df2.jpg","Фото")</f>
      </c>
    </row>
    <row r="2415">
      <c r="A2415" s="7">
        <f>HYPERLINK("http://www.lingerieopt.ru/item/9858-igrivji-komplekt-belya-giana-s-razrezami-bantikami-i-ryushkami-po-krayu/","9858")</f>
      </c>
      <c r="B2415" s="8" t="s">
        <v>2409</v>
      </c>
      <c r="C2415" s="9">
        <v>1299</v>
      </c>
      <c r="D2415" s="0">
        <v>1</v>
      </c>
      <c r="E2415" s="10">
        <f>HYPERLINK("http://www.lingerieopt.ru/images/original/d5ad7914-f06f-4ccc-b2b3-f36117b42df2.jpg","Фото")</f>
      </c>
    </row>
    <row r="2416">
      <c r="A2416" s="7">
        <f>HYPERLINK("http://www.lingerieopt.ru/item/9858-igrivji-komplekt-belya-giana-s-razrezami-bantikami-i-ryushkami-po-krayu/","9858")</f>
      </c>
      <c r="B2416" s="8" t="s">
        <v>2410</v>
      </c>
      <c r="C2416" s="9">
        <v>1299</v>
      </c>
      <c r="D2416" s="0">
        <v>4</v>
      </c>
      <c r="E2416" s="10">
        <f>HYPERLINK("http://www.lingerieopt.ru/images/original/d5ad7914-f06f-4ccc-b2b3-f36117b42df2.jpg","Фото")</f>
      </c>
    </row>
    <row r="2417">
      <c r="A2417" s="7">
        <f>HYPERLINK("http://www.lingerieopt.ru/item/9859-igrivji-komplekt-belya-giana-plus-size-s-razrezami-bantikami-i-ryushami-po-krayu/","9859")</f>
      </c>
      <c r="B2417" s="8" t="s">
        <v>2411</v>
      </c>
      <c r="C2417" s="9">
        <v>1299</v>
      </c>
      <c r="D2417" s="0">
        <v>3</v>
      </c>
      <c r="E2417" s="10">
        <f>HYPERLINK("http://www.lingerieopt.ru/images/original/537b6616-c62b-423b-96b6-8b97f2464f49.jpg","Фото")</f>
      </c>
    </row>
    <row r="2418">
      <c r="A2418" s="7">
        <f>HYPERLINK("http://www.lingerieopt.ru/item/9859-igrivji-komplekt-belya-giana-plus-size-s-razrezami-bantikami-i-ryushami-po-krayu/","9859")</f>
      </c>
      <c r="B2418" s="8" t="s">
        <v>2412</v>
      </c>
      <c r="C2418" s="9">
        <v>1299</v>
      </c>
      <c r="D2418" s="0">
        <v>2</v>
      </c>
      <c r="E2418" s="10">
        <f>HYPERLINK("http://www.lingerieopt.ru/images/original/537b6616-c62b-423b-96b6-8b97f2464f49.jpg","Фото")</f>
      </c>
    </row>
    <row r="2419">
      <c r="A2419" s="7">
        <f>HYPERLINK("http://www.lingerieopt.ru/item/9867-originalnji-komplekt-lucia-plus-size-s-oborkoi/","9867")</f>
      </c>
      <c r="B2419" s="8" t="s">
        <v>2413</v>
      </c>
      <c r="C2419" s="9">
        <v>1299</v>
      </c>
      <c r="D2419" s="0">
        <v>2</v>
      </c>
      <c r="E2419" s="10">
        <f>HYPERLINK("http://www.lingerieopt.ru/images/original/c518611f-3495-4b6d-9f1e-f97cde47f8c3.jpg","Фото")</f>
      </c>
    </row>
    <row r="2420">
      <c r="A2420" s="7">
        <f>HYPERLINK("http://www.lingerieopt.ru/item/9872-igrivji-komplekt-belya-lumia-lumia-iz-dvuh-vidov-materiala/","9872")</f>
      </c>
      <c r="B2420" s="8" t="s">
        <v>2414</v>
      </c>
      <c r="C2420" s="9">
        <v>1299</v>
      </c>
      <c r="D2420" s="0">
        <v>5</v>
      </c>
      <c r="E2420" s="10">
        <f>HYPERLINK("http://www.lingerieopt.ru/images/original/304ffefe-6bdc-48b0-b5bd-f8cbc6d082f4.jpg","Фото")</f>
      </c>
    </row>
    <row r="2421">
      <c r="A2421" s="7">
        <f>HYPERLINK("http://www.lingerieopt.ru/item/9872-igrivji-komplekt-belya-lumia-lumia-iz-dvuh-vidov-materiala/","9872")</f>
      </c>
      <c r="B2421" s="8" t="s">
        <v>2415</v>
      </c>
      <c r="C2421" s="9">
        <v>1299</v>
      </c>
      <c r="D2421" s="0">
        <v>3</v>
      </c>
      <c r="E2421" s="10">
        <f>HYPERLINK("http://www.lingerieopt.ru/images/original/304ffefe-6bdc-48b0-b5bd-f8cbc6d082f4.jpg","Фото")</f>
      </c>
    </row>
    <row r="2422">
      <c r="A2422" s="7">
        <f>HYPERLINK("http://www.lingerieopt.ru/item/9873-igrivji-komplekt-lumia-plus-size-iz-dvuh-raznjh-po-plotnosti-materialov/","9873")</f>
      </c>
      <c r="B2422" s="8" t="s">
        <v>2416</v>
      </c>
      <c r="C2422" s="9">
        <v>1299</v>
      </c>
      <c r="D2422" s="0">
        <v>2</v>
      </c>
      <c r="E2422" s="10">
        <f>HYPERLINK("http://www.lingerieopt.ru/images/original/6ab33ec3-cb32-45d4-80f5-c7472f4f830e.jpg","Фото")</f>
      </c>
    </row>
    <row r="2423">
      <c r="A2423" s="7">
        <f>HYPERLINK("http://www.lingerieopt.ru/item/9876-azhurnji-komplekt-zhenskogo-belya-melissa-s-kontrastnjmi-shnurovkami/","9876")</f>
      </c>
      <c r="B2423" s="8" t="s">
        <v>2417</v>
      </c>
      <c r="C2423" s="9">
        <v>1299</v>
      </c>
      <c r="D2423" s="0">
        <v>1</v>
      </c>
      <c r="E2423" s="10">
        <f>HYPERLINK("http://www.lingerieopt.ru/images/original/fd6895f5-3c0e-4f63-a329-98dfe3f3f242.jpg","Фото")</f>
      </c>
    </row>
    <row r="2424">
      <c r="A2424" s="7">
        <f>HYPERLINK("http://www.lingerieopt.ru/item/9876-azhurnji-komplekt-zhenskogo-belya-melissa-s-kontrastnjmi-shnurovkami/","9876")</f>
      </c>
      <c r="B2424" s="8" t="s">
        <v>2418</v>
      </c>
      <c r="C2424" s="9">
        <v>1299</v>
      </c>
      <c r="D2424" s="0">
        <v>0</v>
      </c>
      <c r="E2424" s="10">
        <f>HYPERLINK("http://www.lingerieopt.ru/images/original/fd6895f5-3c0e-4f63-a329-98dfe3f3f242.jpg","Фото")</f>
      </c>
    </row>
    <row r="2425">
      <c r="A2425" s="7">
        <f>HYPERLINK("http://www.lingerieopt.ru/item/9877-kruzhevnoi-komplekt-belya-melissa-plus-size-s-kontrastnjmi-shnurovkami/","9877")</f>
      </c>
      <c r="B2425" s="8" t="s">
        <v>2419</v>
      </c>
      <c r="C2425" s="9">
        <v>1299</v>
      </c>
      <c r="D2425" s="0">
        <v>2</v>
      </c>
      <c r="E2425" s="10">
        <f>HYPERLINK("http://www.lingerieopt.ru/images/original/5700a189-657d-46e8-8aa6-dc43b4977101.jpg","Фото")</f>
      </c>
    </row>
    <row r="2426">
      <c r="A2426" s="7">
        <f>HYPERLINK("http://www.lingerieopt.ru/item/9878-pikantnji-komplekt-melissa-plus-size-so-shnurovkami/","9878")</f>
      </c>
      <c r="B2426" s="8" t="s">
        <v>2420</v>
      </c>
      <c r="C2426" s="9">
        <v>1299</v>
      </c>
      <c r="D2426" s="0">
        <v>2</v>
      </c>
      <c r="E2426" s="10">
        <f>HYPERLINK("http://www.lingerieopt.ru/images/original/8a02b0a8-efae-4d3a-984e-6a9cb212d215.jpg","Фото")</f>
      </c>
    </row>
    <row r="2427">
      <c r="A2427" s="7">
        <f>HYPERLINK("http://www.lingerieopt.ru/item/9882-komplekt-belya-nadya-plus-size-s-kaplevidnjmi-vjrezami-na-life/","9882")</f>
      </c>
      <c r="B2427" s="8" t="s">
        <v>2421</v>
      </c>
      <c r="C2427" s="9">
        <v>1299</v>
      </c>
      <c r="D2427" s="0">
        <v>3</v>
      </c>
      <c r="E2427" s="10">
        <f>HYPERLINK("http://www.lingerieopt.ru/images/original/0d172ef0-bfb9-43b4-95f6-74e050e99a32.jpg","Фото")</f>
      </c>
    </row>
    <row r="2428">
      <c r="A2428" s="7">
        <f>HYPERLINK("http://www.lingerieopt.ru/item/9884-soblaznitelnji-komplekt-belya-rosalia-so-shnurovkami-i-yarkimi-oborkami/","9884")</f>
      </c>
      <c r="B2428" s="8" t="s">
        <v>2422</v>
      </c>
      <c r="C2428" s="9">
        <v>1299</v>
      </c>
      <c r="D2428" s="0">
        <v>3</v>
      </c>
      <c r="E2428" s="10">
        <f>HYPERLINK("http://www.lingerieopt.ru/images/original/03d7b022-48ef-4968-9ea9-90d6f19df99b.jpg","Фото")</f>
      </c>
    </row>
    <row r="2429">
      <c r="A2429" s="7">
        <f>HYPERLINK("http://www.lingerieopt.ru/item/9884-soblaznitelnji-komplekt-belya-rosalia-so-shnurovkami-i-yarkimi-oborkami/","9884")</f>
      </c>
      <c r="B2429" s="8" t="s">
        <v>2423</v>
      </c>
      <c r="C2429" s="9">
        <v>1299</v>
      </c>
      <c r="D2429" s="0">
        <v>2</v>
      </c>
      <c r="E2429" s="10">
        <f>HYPERLINK("http://www.lingerieopt.ru/images/original/03d7b022-48ef-4968-9ea9-90d6f19df99b.jpg","Фото")</f>
      </c>
    </row>
    <row r="2430">
      <c r="A2430" s="7">
        <f>HYPERLINK("http://www.lingerieopt.ru/item/9885-soblaznitelnji-komplekt-belya-rosalia-plus-size-so-shnurovkami-i-yarkimi-oborkami/","9885")</f>
      </c>
      <c r="B2430" s="8" t="s">
        <v>2424</v>
      </c>
      <c r="C2430" s="9">
        <v>1299</v>
      </c>
      <c r="D2430" s="0">
        <v>2</v>
      </c>
      <c r="E2430" s="10">
        <f>HYPERLINK("http://www.lingerieopt.ru/images/original/a0c595ff-eb0d-4631-b25e-c6a71e2f3de3.jpg","Фото")</f>
      </c>
    </row>
    <row r="2431">
      <c r="A2431" s="7">
        <f>HYPERLINK("http://www.lingerieopt.ru/item/9887-komplekt-belya-sandra-plus-size-iz-3-predmetov-s-shirokim-poyasom-dlya-chulok/","9887")</f>
      </c>
      <c r="B2431" s="8" t="s">
        <v>2425</v>
      </c>
      <c r="C2431" s="9">
        <v>1299</v>
      </c>
      <c r="D2431" s="0">
        <v>1</v>
      </c>
      <c r="E2431" s="10">
        <f>HYPERLINK("http://www.lingerieopt.ru/images/original/2036e9c7-392d-4491-80c9-bb812b0b0685.jpg","Фото")</f>
      </c>
    </row>
    <row r="2432">
      <c r="A2432" s="7">
        <f>HYPERLINK("http://www.lingerieopt.ru/item/9887-komplekt-belya-sandra-plus-size-iz-3-predmetov-s-shirokim-poyasom-dlya-chulok/","9887")</f>
      </c>
      <c r="B2432" s="8" t="s">
        <v>2426</v>
      </c>
      <c r="C2432" s="9">
        <v>1299</v>
      </c>
      <c r="D2432" s="0">
        <v>2</v>
      </c>
      <c r="E2432" s="10">
        <f>HYPERLINK("http://www.lingerieopt.ru/images/original/2036e9c7-392d-4491-80c9-bb812b0b0685.jpg","Фото")</f>
      </c>
    </row>
    <row r="2433">
      <c r="A2433" s="7">
        <f>HYPERLINK("http://www.lingerieopt.ru/item/9888-poluprozrachnji-komplekt-zoe-plus-size-so-shnurovkoi/","9888")</f>
      </c>
      <c r="B2433" s="8" t="s">
        <v>2427</v>
      </c>
      <c r="C2433" s="9">
        <v>1299</v>
      </c>
      <c r="D2433" s="0">
        <v>3</v>
      </c>
      <c r="E2433" s="10">
        <f>HYPERLINK("http://www.lingerieopt.ru/images/original/178135af-3ffc-41c7-9ed1-46c0489d8e3f.jpg","Фото")</f>
      </c>
    </row>
    <row r="2434">
      <c r="A2434" s="7">
        <f>HYPERLINK("http://www.lingerieopt.ru/item/9898-igrivji-komplekt-belya-fabien-plus-size-iz-3-predmetov/","9898")</f>
      </c>
      <c r="B2434" s="8" t="s">
        <v>2428</v>
      </c>
      <c r="C2434" s="9">
        <v>1302</v>
      </c>
      <c r="D2434" s="0">
        <v>1</v>
      </c>
      <c r="E2434" s="10">
        <f>HYPERLINK("http://www.lingerieopt.ru/images/original/0ee417e5-ea3d-4072-9c7d-1e6769f613c7.jpg","Фото")</f>
      </c>
    </row>
    <row r="2435">
      <c r="A2435" s="7">
        <f>HYPERLINK("http://www.lingerieopt.ru/item/9906-originalnji-komplekt-belya-aras-iz-cvetochnogo-kruzheva/","9906")</f>
      </c>
      <c r="B2435" s="8" t="s">
        <v>2429</v>
      </c>
      <c r="C2435" s="9">
        <v>1533</v>
      </c>
      <c r="D2435" s="0">
        <v>3</v>
      </c>
      <c r="E2435" s="10">
        <f>HYPERLINK("http://www.lingerieopt.ru/images/original/4a3363c9-1dad-4b74-8a67-78e09c872ced.jpg","Фото")</f>
      </c>
    </row>
    <row r="2436">
      <c r="A2436" s="7">
        <f>HYPERLINK("http://www.lingerieopt.ru/item/9906-originalnji-komplekt-belya-aras-iz-cvetochnogo-kruzheva/","9906")</f>
      </c>
      <c r="B2436" s="8" t="s">
        <v>2430</v>
      </c>
      <c r="C2436" s="9">
        <v>1533</v>
      </c>
      <c r="D2436" s="0">
        <v>4</v>
      </c>
      <c r="E2436" s="10">
        <f>HYPERLINK("http://www.lingerieopt.ru/images/original/4a3363c9-1dad-4b74-8a67-78e09c872ced.jpg","Фото")</f>
      </c>
    </row>
    <row r="2437">
      <c r="A2437" s="7">
        <f>HYPERLINK("http://www.lingerieopt.ru/item/9907-originalnji-komplekt-belya-aras-plus-size-iz-cvetochnogo-kruzheva/","9907")</f>
      </c>
      <c r="B2437" s="8" t="s">
        <v>2431</v>
      </c>
      <c r="C2437" s="9">
        <v>1533</v>
      </c>
      <c r="D2437" s="0">
        <v>2</v>
      </c>
      <c r="E2437" s="10">
        <f>HYPERLINK("http://www.lingerieopt.ru/images/original/ee25c54b-261f-47de-9eb3-7d6ddf9c7632.jpg","Фото")</f>
      </c>
    </row>
    <row r="2438">
      <c r="A2438" s="7">
        <f>HYPERLINK("http://www.lingerieopt.ru/item/9909-komplekt-belya-effi-plus-size-v-melkii-goroh/","9909")</f>
      </c>
      <c r="B2438" s="8" t="s">
        <v>2432</v>
      </c>
      <c r="C2438" s="9">
        <v>1383</v>
      </c>
      <c r="D2438" s="0">
        <v>2</v>
      </c>
      <c r="E2438" s="10">
        <f>HYPERLINK("http://www.lingerieopt.ru/images/original/f4a82506-dafc-4715-80d8-399dc647a689.jpg","Фото")</f>
      </c>
    </row>
    <row r="2439">
      <c r="A2439" s="7">
        <f>HYPERLINK("http://www.lingerieopt.ru/item/9909-komplekt-belya-effi-plus-size-v-melkii-goroh/","9909")</f>
      </c>
      <c r="B2439" s="8" t="s">
        <v>2433</v>
      </c>
      <c r="C2439" s="9">
        <v>1383</v>
      </c>
      <c r="D2439" s="0">
        <v>1</v>
      </c>
      <c r="E2439" s="10">
        <f>HYPERLINK("http://www.lingerieopt.ru/images/original/f4a82506-dafc-4715-80d8-399dc647a689.jpg","Фото")</f>
      </c>
    </row>
    <row r="2440">
      <c r="A2440" s="7">
        <f>HYPERLINK("http://www.lingerieopt.ru/item/9918-soblaznitelnji-komplekt-belya-larisa-s-kruzhevnjmi-elementami/","9918")</f>
      </c>
      <c r="B2440" s="8" t="s">
        <v>2434</v>
      </c>
      <c r="C2440" s="9">
        <v>2162</v>
      </c>
      <c r="D2440" s="0">
        <v>3</v>
      </c>
      <c r="E2440" s="10">
        <f>HYPERLINK("http://www.lingerieopt.ru/images/original/af909153-4047-4129-9bb9-085fd758a0f6.jpg","Фото")</f>
      </c>
    </row>
    <row r="2441">
      <c r="A2441" s="7">
        <f>HYPERLINK("http://www.lingerieopt.ru/item/9918-soblaznitelnji-komplekt-belya-larisa-s-kruzhevnjmi-elementami/","9918")</f>
      </c>
      <c r="B2441" s="8" t="s">
        <v>2435</v>
      </c>
      <c r="C2441" s="9">
        <v>2162</v>
      </c>
      <c r="D2441" s="0">
        <v>4</v>
      </c>
      <c r="E2441" s="10">
        <f>HYPERLINK("http://www.lingerieopt.ru/images/original/af909153-4047-4129-9bb9-085fd758a0f6.jpg","Фото")</f>
      </c>
    </row>
    <row r="2442">
      <c r="A2442" s="7">
        <f>HYPERLINK("http://www.lingerieopt.ru/item/9928-komplekt-belya-zoja-v-tonkuyu-polosku-s-izjskannjm-cvetochnjm-kruzhevom/","9928")</f>
      </c>
      <c r="B2442" s="8" t="s">
        <v>2436</v>
      </c>
      <c r="C2442" s="9">
        <v>2012</v>
      </c>
      <c r="D2442" s="0">
        <v>0</v>
      </c>
      <c r="E2442" s="10">
        <f>HYPERLINK("http://www.lingerieopt.ru/images/original/f8180c2b-9665-4401-90bd-790f8d4c2d8d.jpg","Фото")</f>
      </c>
    </row>
    <row r="2443">
      <c r="A2443" s="7">
        <f>HYPERLINK("http://www.lingerieopt.ru/item/9928-komplekt-belya-zoja-v-tonkuyu-polosku-s-izjskannjm-cvetochnjm-kruzhevom/","9928")</f>
      </c>
      <c r="B2443" s="8" t="s">
        <v>2437</v>
      </c>
      <c r="C2443" s="9">
        <v>2012</v>
      </c>
      <c r="D2443" s="0">
        <v>1</v>
      </c>
      <c r="E2443" s="10">
        <f>HYPERLINK("http://www.lingerieopt.ru/images/original/f8180c2b-9665-4401-90bd-790f8d4c2d8d.jpg","Фото")</f>
      </c>
    </row>
    <row r="2444">
      <c r="A2444" s="7">
        <f>HYPERLINK("http://www.lingerieopt.ru/item/9928-komplekt-belya-zoja-v-tonkuyu-polosku-s-izjskannjm-cvetochnjm-kruzhevom/","9928")</f>
      </c>
      <c r="B2444" s="8" t="s">
        <v>2438</v>
      </c>
      <c r="C2444" s="9">
        <v>2012</v>
      </c>
      <c r="D2444" s="0">
        <v>4</v>
      </c>
      <c r="E2444" s="10">
        <f>HYPERLINK("http://www.lingerieopt.ru/images/original/f8180c2b-9665-4401-90bd-790f8d4c2d8d.jpg","Фото")</f>
      </c>
    </row>
    <row r="2445">
      <c r="A2445" s="7">
        <f>HYPERLINK("http://www.lingerieopt.ru/item/9929-komplekt-belya-zoja-v-tonkuyu-polosku-s-izjskannjm-cvetochnjm-kruzhevom/","9929")</f>
      </c>
      <c r="B2445" s="8" t="s">
        <v>2439</v>
      </c>
      <c r="C2445" s="9">
        <v>1840</v>
      </c>
      <c r="D2445" s="0">
        <v>5</v>
      </c>
      <c r="E2445" s="10">
        <f>HYPERLINK("http://www.lingerieopt.ru/images/original/c1ae0afe-43eb-490f-8439-e6604100f061.jpg","Фото")</f>
      </c>
    </row>
    <row r="2446">
      <c r="A2446" s="7">
        <f>HYPERLINK("http://www.lingerieopt.ru/item/9929-komplekt-belya-zoja-v-tonkuyu-polosku-s-izjskannjm-cvetochnjm-kruzhevom/","9929")</f>
      </c>
      <c r="B2446" s="8" t="s">
        <v>2440</v>
      </c>
      <c r="C2446" s="9">
        <v>1840</v>
      </c>
      <c r="D2446" s="0">
        <v>5</v>
      </c>
      <c r="E2446" s="10">
        <f>HYPERLINK("http://www.lingerieopt.ru/images/original/c1ae0afe-43eb-490f-8439-e6604100f061.jpg","Фото")</f>
      </c>
    </row>
    <row r="2447">
      <c r="A2447" s="7">
        <f>HYPERLINK("http://www.lingerieopt.ru/item/10050-charuyuschii-komplekt-belya-diamond-iz-nezhnogo-kruzheva/","10050")</f>
      </c>
      <c r="B2447" s="8" t="s">
        <v>2441</v>
      </c>
      <c r="C2447" s="9">
        <v>2116</v>
      </c>
      <c r="D2447" s="0">
        <v>1</v>
      </c>
      <c r="E2447" s="10">
        <f>HYPERLINK("http://www.lingerieopt.ru/images/original/492fc553-5577-4991-9387-764a31fcabfb.jpg","Фото")</f>
      </c>
    </row>
    <row r="2448">
      <c r="A2448" s="7">
        <f>HYPERLINK("http://www.lingerieopt.ru/item/10050-charuyuschii-komplekt-belya-diamond-iz-nezhnogo-kruzheva/","10050")</f>
      </c>
      <c r="B2448" s="8" t="s">
        <v>2442</v>
      </c>
      <c r="C2448" s="9">
        <v>2116</v>
      </c>
      <c r="D2448" s="0">
        <v>10</v>
      </c>
      <c r="E2448" s="10">
        <f>HYPERLINK("http://www.lingerieopt.ru/images/original/492fc553-5577-4991-9387-764a31fcabfb.jpg","Фото")</f>
      </c>
    </row>
    <row r="2449">
      <c r="A2449" s="7">
        <f>HYPERLINK("http://www.lingerieopt.ru/item/10051-izjskannji-komplekt-belya-ravenna-s-pazhami/","10051")</f>
      </c>
      <c r="B2449" s="8" t="s">
        <v>2443</v>
      </c>
      <c r="C2449" s="9">
        <v>1760</v>
      </c>
      <c r="D2449" s="0">
        <v>15</v>
      </c>
      <c r="E2449" s="10">
        <f>HYPERLINK("http://www.lingerieopt.ru/images/original/655a8f91-e5b5-4f97-8bde-6b96219bf6d9.jpg","Фото")</f>
      </c>
    </row>
    <row r="2450">
      <c r="A2450" s="7">
        <f>HYPERLINK("http://www.lingerieopt.ru/item/10051-izjskannji-komplekt-belya-ravenna-s-pazhami/","10051")</f>
      </c>
      <c r="B2450" s="8" t="s">
        <v>2444</v>
      </c>
      <c r="C2450" s="9">
        <v>1760</v>
      </c>
      <c r="D2450" s="0">
        <v>27</v>
      </c>
      <c r="E2450" s="10">
        <f>HYPERLINK("http://www.lingerieopt.ru/images/original/655a8f91-e5b5-4f97-8bde-6b96219bf6d9.jpg","Фото")</f>
      </c>
    </row>
    <row r="2451">
      <c r="A2451" s="7">
        <f>HYPERLINK("http://www.lingerieopt.ru/item/10051-izjskannji-komplekt-belya-ravenna-s-pazhami/","10051")</f>
      </c>
      <c r="B2451" s="8" t="s">
        <v>2445</v>
      </c>
      <c r="C2451" s="9">
        <v>1760</v>
      </c>
      <c r="D2451" s="0">
        <v>22</v>
      </c>
      <c r="E2451" s="10">
        <f>HYPERLINK("http://www.lingerieopt.ru/images/original/655a8f91-e5b5-4f97-8bde-6b96219bf6d9.jpg","Фото")</f>
      </c>
    </row>
    <row r="2452">
      <c r="A2452" s="7">
        <f>HYPERLINK("http://www.lingerieopt.ru/item/10051-izjskannji-komplekt-belya-ravenna-s-pazhami/","10051")</f>
      </c>
      <c r="B2452" s="8" t="s">
        <v>2446</v>
      </c>
      <c r="C2452" s="9">
        <v>1760</v>
      </c>
      <c r="D2452" s="0">
        <v>20</v>
      </c>
      <c r="E2452" s="10">
        <f>HYPERLINK("http://www.lingerieopt.ru/images/original/655a8f91-e5b5-4f97-8bde-6b96219bf6d9.jpg","Фото")</f>
      </c>
    </row>
    <row r="2453">
      <c r="A2453" s="7">
        <f>HYPERLINK("http://www.lingerieopt.ru/item/10063-komplekt-belya-coctail-plus-size-s-pikantnjmi-vjrezami/","10063")</f>
      </c>
      <c r="B2453" s="8" t="s">
        <v>2447</v>
      </c>
      <c r="C2453" s="9">
        <v>1299</v>
      </c>
      <c r="D2453" s="0">
        <v>2</v>
      </c>
      <c r="E2453" s="10">
        <f>HYPERLINK("http://www.lingerieopt.ru/images/original/8a0dc7fd-0498-4d91-b422-d286e2fe153e.jpg","Фото")</f>
      </c>
    </row>
    <row r="2454">
      <c r="A2454" s="7">
        <f>HYPERLINK("http://www.lingerieopt.ru/item/10065-igrivji-komplekt-belya-kelly-s-zolotistjmi-ryushkami/","10065")</f>
      </c>
      <c r="B2454" s="8" t="s">
        <v>2448</v>
      </c>
      <c r="C2454" s="9">
        <v>1299</v>
      </c>
      <c r="D2454" s="0">
        <v>4</v>
      </c>
      <c r="E2454" s="10">
        <f>HYPERLINK("http://www.lingerieopt.ru/images/original/cc933dd7-6d91-4f63-b238-9068c3ec8078.jpg","Фото")</f>
      </c>
    </row>
    <row r="2455">
      <c r="A2455" s="7">
        <f>HYPERLINK("http://www.lingerieopt.ru/item/10065-igrivji-komplekt-belya-kelly-s-zolotistjmi-ryushkami/","10065")</f>
      </c>
      <c r="B2455" s="8" t="s">
        <v>2449</v>
      </c>
      <c r="C2455" s="9">
        <v>1299</v>
      </c>
      <c r="D2455" s="0">
        <v>7</v>
      </c>
      <c r="E2455" s="10">
        <f>HYPERLINK("http://www.lingerieopt.ru/images/original/cc933dd7-6d91-4f63-b238-9068c3ec8078.jpg","Фото")</f>
      </c>
    </row>
    <row r="2456">
      <c r="A2456" s="7">
        <f>HYPERLINK("http://www.lingerieopt.ru/item/10066-ozornoi-komplekt-belya-kelly-plus-size-s-zolotistjmi-ryushkami/","10066")</f>
      </c>
      <c r="B2456" s="8" t="s">
        <v>2450</v>
      </c>
      <c r="C2456" s="9">
        <v>1299</v>
      </c>
      <c r="D2456" s="0">
        <v>2</v>
      </c>
      <c r="E2456" s="10">
        <f>HYPERLINK("http://www.lingerieopt.ru/images/original/cb4dccc2-8d74-4d93-b8ea-dbca00264010.jpg","Фото")</f>
      </c>
    </row>
    <row r="2457">
      <c r="A2457" s="7">
        <f>HYPERLINK("http://www.lingerieopt.ru/item/10087-provokacionnji-komplekt-belya-laura-plus-size-s-bantikami/","10087")</f>
      </c>
      <c r="B2457" s="8" t="s">
        <v>2451</v>
      </c>
      <c r="C2457" s="9">
        <v>1299</v>
      </c>
      <c r="D2457" s="0">
        <v>2</v>
      </c>
      <c r="E2457" s="10">
        <f>HYPERLINK("http://www.lingerieopt.ru/images/original/64e9edb2-ec7f-425b-9991-5b211b4186a7.jpg","Фото")</f>
      </c>
    </row>
    <row r="2458">
      <c r="A2458" s="7">
        <f>HYPERLINK("http://www.lingerieopt.ru/item/10090-intriguyuschii-komplekt-belya-melody/","10090")</f>
      </c>
      <c r="B2458" s="8" t="s">
        <v>2452</v>
      </c>
      <c r="C2458" s="9">
        <v>1299</v>
      </c>
      <c r="D2458" s="0">
        <v>3</v>
      </c>
      <c r="E2458" s="10">
        <f>HYPERLINK("http://www.lingerieopt.ru/images/original/51e2ce4d-7805-4809-be5d-e57c4703d71b.jpg","Фото")</f>
      </c>
    </row>
    <row r="2459">
      <c r="A2459" s="7">
        <f>HYPERLINK("http://www.lingerieopt.ru/item/10090-intriguyuschii-komplekt-belya-melody/","10090")</f>
      </c>
      <c r="B2459" s="8" t="s">
        <v>2453</v>
      </c>
      <c r="C2459" s="9">
        <v>1299</v>
      </c>
      <c r="D2459" s="0">
        <v>0</v>
      </c>
      <c r="E2459" s="10">
        <f>HYPERLINK("http://www.lingerieopt.ru/images/original/51e2ce4d-7805-4809-be5d-e57c4703d71b.jpg","Фото")</f>
      </c>
    </row>
    <row r="2460">
      <c r="A2460" s="7">
        <f>HYPERLINK("http://www.lingerieopt.ru/item/10091-ozornoi-komplekt-melody-plus-size-iz-prozrachnogo-tyulya/","10091")</f>
      </c>
      <c r="B2460" s="8" t="s">
        <v>2454</v>
      </c>
      <c r="C2460" s="9">
        <v>1299</v>
      </c>
      <c r="D2460" s="0">
        <v>1</v>
      </c>
      <c r="E2460" s="10">
        <f>HYPERLINK("http://www.lingerieopt.ru/images/original/7ad0af8d-e7fd-4361-9d04-c959c71af47c.jpg","Фото")</f>
      </c>
    </row>
    <row r="2461">
      <c r="A2461" s="7">
        <f>HYPERLINK("http://www.lingerieopt.ru/item/10104-chuvstvennji-komplekt-belya-diva-s-kontrastnoi-vjshivkoi/","10104")</f>
      </c>
      <c r="B2461" s="8" t="s">
        <v>2455</v>
      </c>
      <c r="C2461" s="9">
        <v>1828</v>
      </c>
      <c r="D2461" s="0">
        <v>5</v>
      </c>
      <c r="E2461" s="10">
        <f>HYPERLINK("http://www.lingerieopt.ru/images/original/dbfff637-360b-429f-877c-a1ebc0cdf099.jpg","Фото")</f>
      </c>
    </row>
    <row r="2462">
      <c r="A2462" s="7">
        <f>HYPERLINK("http://www.lingerieopt.ru/item/10104-chuvstvennji-komplekt-belya-diva-s-kontrastnoi-vjshivkoi/","10104")</f>
      </c>
      <c r="B2462" s="8" t="s">
        <v>2456</v>
      </c>
      <c r="C2462" s="9">
        <v>1828</v>
      </c>
      <c r="D2462" s="0">
        <v>4</v>
      </c>
      <c r="E2462" s="10">
        <f>HYPERLINK("http://www.lingerieopt.ru/images/original/dbfff637-360b-429f-877c-a1ebc0cdf099.jpg","Фото")</f>
      </c>
    </row>
    <row r="2463">
      <c r="A2463" s="7">
        <f>HYPERLINK("http://www.lingerieopt.ru/item/10108-nityanoi-komplekt-belya-jess-plus-size-iz-3-predmetov/","10108")</f>
      </c>
      <c r="B2463" s="8" t="s">
        <v>2457</v>
      </c>
      <c r="C2463" s="9">
        <v>2323</v>
      </c>
      <c r="D2463" s="0">
        <v>2</v>
      </c>
      <c r="E2463" s="10">
        <f>HYPERLINK("http://www.lingerieopt.ru/images/original/3f66ce9b-4858-4ec0-9c97-f47e6e18b2f3.jpg","Фото")</f>
      </c>
    </row>
    <row r="2464">
      <c r="A2464" s="7">
        <f>HYPERLINK("http://www.lingerieopt.ru/item/10108-nityanoi-komplekt-belya-jess-plus-size-iz-3-predmetov/","10108")</f>
      </c>
      <c r="B2464" s="8" t="s">
        <v>2458</v>
      </c>
      <c r="C2464" s="9">
        <v>2323</v>
      </c>
      <c r="D2464" s="0">
        <v>2</v>
      </c>
      <c r="E2464" s="10">
        <f>HYPERLINK("http://www.lingerieopt.ru/images/original/3f66ce9b-4858-4ec0-9c97-f47e6e18b2f3.jpg","Фото")</f>
      </c>
    </row>
    <row r="2465">
      <c r="A2465" s="7">
        <f>HYPERLINK("http://www.lingerieopt.ru/item/10108-nityanoi-komplekt-belya-jess-plus-size-iz-3-predmetov/","10108")</f>
      </c>
      <c r="B2465" s="8" t="s">
        <v>2459</v>
      </c>
      <c r="C2465" s="9">
        <v>2323</v>
      </c>
      <c r="D2465" s="0">
        <v>2</v>
      </c>
      <c r="E2465" s="10">
        <f>HYPERLINK("http://www.lingerieopt.ru/images/original/3f66ce9b-4858-4ec0-9c97-f47e6e18b2f3.jpg","Фото")</f>
      </c>
    </row>
    <row r="2466">
      <c r="A2466" s="7">
        <f>HYPERLINK("http://www.lingerieopt.ru/item/10109-koketlivji-komplekt-belya-aras-plus-size-iz-3-predmetov/","10109")</f>
      </c>
      <c r="B2466" s="8" t="s">
        <v>2460</v>
      </c>
      <c r="C2466" s="9">
        <v>1578</v>
      </c>
      <c r="D2466" s="0">
        <v>1</v>
      </c>
      <c r="E2466" s="10">
        <f>HYPERLINK("http://www.lingerieopt.ru/images/original/756b2d30-d723-4ea0-a152-fe3e2cb03b31.jpg","Фото")</f>
      </c>
    </row>
    <row r="2467">
      <c r="A2467" s="7">
        <f>HYPERLINK("http://www.lingerieopt.ru/item/10152-chuvstvennji-komplekt-belya-ismena-s-cvetochnoi-vjshivkoi/","10152")</f>
      </c>
      <c r="B2467" s="8" t="s">
        <v>2461</v>
      </c>
      <c r="C2467" s="9">
        <v>1771</v>
      </c>
      <c r="D2467" s="0">
        <v>0</v>
      </c>
      <c r="E2467" s="10">
        <f>HYPERLINK("http://www.lingerieopt.ru/images/original/fb658586-4691-4481-afd3-99f4a10dd143.jpg","Фото")</f>
      </c>
    </row>
    <row r="2468">
      <c r="A2468" s="7">
        <f>HYPERLINK("http://www.lingerieopt.ru/item/10152-chuvstvennji-komplekt-belya-ismena-s-cvetochnoi-vjshivkoi/","10152")</f>
      </c>
      <c r="B2468" s="8" t="s">
        <v>2462</v>
      </c>
      <c r="C2468" s="9">
        <v>1771</v>
      </c>
      <c r="D2468" s="0">
        <v>6</v>
      </c>
      <c r="E2468" s="10">
        <f>HYPERLINK("http://www.lingerieopt.ru/images/original/fb658586-4691-4481-afd3-99f4a10dd143.jpg","Фото")</f>
      </c>
    </row>
    <row r="2469">
      <c r="A2469" s="7">
        <f>HYPERLINK("http://www.lingerieopt.ru/item/10152-chuvstvennji-komplekt-belya-ismena-s-cvetochnoi-vjshivkoi/","10152")</f>
      </c>
      <c r="B2469" s="8" t="s">
        <v>2463</v>
      </c>
      <c r="C2469" s="9">
        <v>1771</v>
      </c>
      <c r="D2469" s="0">
        <v>0</v>
      </c>
      <c r="E2469" s="10">
        <f>HYPERLINK("http://www.lingerieopt.ru/images/original/fb658586-4691-4481-afd3-99f4a10dd143.jpg","Фото")</f>
      </c>
    </row>
    <row r="2470">
      <c r="A2470" s="7">
        <f>HYPERLINK("http://www.lingerieopt.ru/item/10152-chuvstvennji-komplekt-belya-ismena-s-cvetochnoi-vjshivkoi/","10152")</f>
      </c>
      <c r="B2470" s="8" t="s">
        <v>2464</v>
      </c>
      <c r="C2470" s="9">
        <v>1771</v>
      </c>
      <c r="D2470" s="0">
        <v>0</v>
      </c>
      <c r="E2470" s="10">
        <f>HYPERLINK("http://www.lingerieopt.ru/images/original/fb658586-4691-4481-afd3-99f4a10dd143.jpg","Фото")</f>
      </c>
    </row>
    <row r="2471">
      <c r="A2471" s="7">
        <f>HYPERLINK("http://www.lingerieopt.ru/item/10153-izjskannji-komplekt-belya-la-bonita-iz-3-predmetov/","10153")</f>
      </c>
      <c r="B2471" s="8" t="s">
        <v>2465</v>
      </c>
      <c r="C2471" s="9">
        <v>1275</v>
      </c>
      <c r="D2471" s="0">
        <v>5</v>
      </c>
      <c r="E2471" s="10">
        <f>HYPERLINK("http://www.lingerieopt.ru/images/original/2cb3d461-f903-4709-a7a9-f56d7db679de.jpg","Фото")</f>
      </c>
    </row>
    <row r="2472">
      <c r="A2472" s="7">
        <f>HYPERLINK("http://www.lingerieopt.ru/item/10153-izjskannji-komplekt-belya-la-bonita-iz-3-predmetov/","10153")</f>
      </c>
      <c r="B2472" s="8" t="s">
        <v>2466</v>
      </c>
      <c r="C2472" s="9">
        <v>1275</v>
      </c>
      <c r="D2472" s="0">
        <v>0</v>
      </c>
      <c r="E2472" s="10">
        <f>HYPERLINK("http://www.lingerieopt.ru/images/original/2cb3d461-f903-4709-a7a9-f56d7db679de.jpg","Фото")</f>
      </c>
    </row>
    <row r="2473">
      <c r="A2473" s="7">
        <f>HYPERLINK("http://www.lingerieopt.ru/item/10153-izjskannji-komplekt-belya-la-bonita-iz-3-predmetov/","10153")</f>
      </c>
      <c r="B2473" s="8" t="s">
        <v>2467</v>
      </c>
      <c r="C2473" s="9">
        <v>1275</v>
      </c>
      <c r="D2473" s="0">
        <v>3</v>
      </c>
      <c r="E2473" s="10">
        <f>HYPERLINK("http://www.lingerieopt.ru/images/original/2cb3d461-f903-4709-a7a9-f56d7db679de.jpg","Фото")</f>
      </c>
    </row>
    <row r="2474">
      <c r="A2474" s="7">
        <f>HYPERLINK("http://www.lingerieopt.ru/item/10153-izjskannji-komplekt-belya-la-bonita-iz-3-predmetov/","10153")</f>
      </c>
      <c r="B2474" s="8" t="s">
        <v>2468</v>
      </c>
      <c r="C2474" s="9">
        <v>1275</v>
      </c>
      <c r="D2474" s="0">
        <v>2</v>
      </c>
      <c r="E2474" s="10">
        <f>HYPERLINK("http://www.lingerieopt.ru/images/original/2cb3d461-f903-4709-a7a9-f56d7db679de.jpg","Фото")</f>
      </c>
    </row>
    <row r="2475">
      <c r="A2475" s="7">
        <f>HYPERLINK("http://www.lingerieopt.ru/item/10158-strogii-komplekt-belya-priscilla-s-kruzhevom/","10158")</f>
      </c>
      <c r="B2475" s="8" t="s">
        <v>2469</v>
      </c>
      <c r="C2475" s="9">
        <v>1346</v>
      </c>
      <c r="D2475" s="0">
        <v>2</v>
      </c>
      <c r="E2475" s="10">
        <f>HYPERLINK("http://www.lingerieopt.ru/images/original/4acffecb-178f-4447-9842-a7db19ce232a.jpg","Фото")</f>
      </c>
    </row>
    <row r="2476">
      <c r="A2476" s="7">
        <f>HYPERLINK("http://www.lingerieopt.ru/item/10158-strogii-komplekt-belya-priscilla-s-kruzhevom/","10158")</f>
      </c>
      <c r="B2476" s="8" t="s">
        <v>2470</v>
      </c>
      <c r="C2476" s="9">
        <v>1346</v>
      </c>
      <c r="D2476" s="0">
        <v>5</v>
      </c>
      <c r="E2476" s="10">
        <f>HYPERLINK("http://www.lingerieopt.ru/images/original/4acffecb-178f-4447-9842-a7db19ce232a.jpg","Фото")</f>
      </c>
    </row>
    <row r="2477">
      <c r="A2477" s="7">
        <f>HYPERLINK("http://www.lingerieopt.ru/item/10158-strogii-komplekt-belya-priscilla-s-kruzhevom/","10158")</f>
      </c>
      <c r="B2477" s="8" t="s">
        <v>2471</v>
      </c>
      <c r="C2477" s="9">
        <v>1346</v>
      </c>
      <c r="D2477" s="0">
        <v>0</v>
      </c>
      <c r="E2477" s="10">
        <f>HYPERLINK("http://www.lingerieopt.ru/images/original/4acffecb-178f-4447-9842-a7db19ce232a.jpg","Фото")</f>
      </c>
    </row>
    <row r="2478">
      <c r="A2478" s="7">
        <f>HYPERLINK("http://www.lingerieopt.ru/item/10158-strogii-komplekt-belya-priscilla-s-kruzhevom/","10158")</f>
      </c>
      <c r="B2478" s="8" t="s">
        <v>2472</v>
      </c>
      <c r="C2478" s="9">
        <v>1346</v>
      </c>
      <c r="D2478" s="0">
        <v>10</v>
      </c>
      <c r="E2478" s="10">
        <f>HYPERLINK("http://www.lingerieopt.ru/images/original/4acffecb-178f-4447-9842-a7db19ce232a.jpg","Фото")</f>
      </c>
    </row>
    <row r="2479">
      <c r="A2479" s="7">
        <f>HYPERLINK("http://www.lingerieopt.ru/item/10169-charuyuschii-komplekt-belya-eve-s-otkrjtjm-lifom-i-nezhnjm-kruzhevom/","10169")</f>
      </c>
      <c r="B2479" s="8" t="s">
        <v>2473</v>
      </c>
      <c r="C2479" s="9">
        <v>1357</v>
      </c>
      <c r="D2479" s="0">
        <v>0</v>
      </c>
      <c r="E2479" s="10">
        <f>HYPERLINK("http://www.lingerieopt.ru/images/original/78a7156f-014d-490c-9e01-488fcc601071.jpg","Фото")</f>
      </c>
    </row>
    <row r="2480">
      <c r="A2480" s="7">
        <f>HYPERLINK("http://www.lingerieopt.ru/item/10169-charuyuschii-komplekt-belya-eve-s-otkrjtjm-lifom-i-nezhnjm-kruzhevom/","10169")</f>
      </c>
      <c r="B2480" s="8" t="s">
        <v>2474</v>
      </c>
      <c r="C2480" s="9">
        <v>1357</v>
      </c>
      <c r="D2480" s="0">
        <v>0</v>
      </c>
      <c r="E2480" s="10">
        <f>HYPERLINK("http://www.lingerieopt.ru/images/original/78a7156f-014d-490c-9e01-488fcc601071.jpg","Фото")</f>
      </c>
    </row>
    <row r="2481">
      <c r="A2481" s="7">
        <f>HYPERLINK("http://www.lingerieopt.ru/item/10169-charuyuschii-komplekt-belya-eve-s-otkrjtjm-lifom-i-nezhnjm-kruzhevom/","10169")</f>
      </c>
      <c r="B2481" s="8" t="s">
        <v>2475</v>
      </c>
      <c r="C2481" s="9">
        <v>1357</v>
      </c>
      <c r="D2481" s="0">
        <v>7</v>
      </c>
      <c r="E2481" s="10">
        <f>HYPERLINK("http://www.lingerieopt.ru/images/original/78a7156f-014d-490c-9e01-488fcc601071.jpg","Фото")</f>
      </c>
    </row>
    <row r="2482">
      <c r="A2482" s="7">
        <f>HYPERLINK("http://www.lingerieopt.ru/item/10169-charuyuschii-komplekt-belya-eve-s-otkrjtjm-lifom-i-nezhnjm-kruzhevom/","10169")</f>
      </c>
      <c r="B2482" s="8" t="s">
        <v>2476</v>
      </c>
      <c r="C2482" s="9">
        <v>1357</v>
      </c>
      <c r="D2482" s="0">
        <v>1</v>
      </c>
      <c r="E2482" s="10">
        <f>HYPERLINK("http://www.lingerieopt.ru/images/original/78a7156f-014d-490c-9e01-488fcc601071.jpg","Фото")</f>
      </c>
    </row>
    <row r="2483">
      <c r="A2483" s="7">
        <f>HYPERLINK("http://www.lingerieopt.ru/item/10195-komplekt-belya-rodos-plus-size-s-kruzhevnjmi-elementami/","10195")</f>
      </c>
      <c r="B2483" s="8" t="s">
        <v>2477</v>
      </c>
      <c r="C2483" s="9">
        <v>1886</v>
      </c>
      <c r="D2483" s="0">
        <v>2</v>
      </c>
      <c r="E2483" s="10">
        <f>HYPERLINK("http://www.lingerieopt.ru/images/original/6dfe6b3f-7a8d-4fe8-8d6b-0ac2702fe795.jpg","Фото")</f>
      </c>
    </row>
    <row r="2484">
      <c r="A2484" s="7">
        <f>HYPERLINK("http://www.lingerieopt.ru/item/10207-komplekt-belya-eden-plus-size-s-otkrjtoi-grudyu/","10207")</f>
      </c>
      <c r="B2484" s="8" t="s">
        <v>2478</v>
      </c>
      <c r="C2484" s="9">
        <v>1429</v>
      </c>
      <c r="D2484" s="0">
        <v>3</v>
      </c>
      <c r="E2484" s="10">
        <f>HYPERLINK("http://www.lingerieopt.ru/images/original/0c1adb5d-02ce-4be2-81c0-3c496c011d44.jpg","Фото")</f>
      </c>
    </row>
    <row r="2485">
      <c r="A2485" s="7">
        <f>HYPERLINK("http://www.lingerieopt.ru/item/10210-nezhnji-komplekt-belya-celestine-iz-kruzheva/","10210")</f>
      </c>
      <c r="B2485" s="8" t="s">
        <v>2479</v>
      </c>
      <c r="C2485" s="9">
        <v>1638</v>
      </c>
      <c r="D2485" s="0">
        <v>3</v>
      </c>
      <c r="E2485" s="10">
        <f>HYPERLINK("http://www.lingerieopt.ru/images/original/4d0ee923-ae96-4fa5-a258-1e79f2e967ce.jpg","Фото")</f>
      </c>
    </row>
    <row r="2486">
      <c r="A2486" s="7">
        <f>HYPERLINK("http://www.lingerieopt.ru/item/10210-nezhnji-komplekt-belya-celestine-iz-kruzheva/","10210")</f>
      </c>
      <c r="B2486" s="8" t="s">
        <v>2480</v>
      </c>
      <c r="C2486" s="9">
        <v>1638</v>
      </c>
      <c r="D2486" s="0">
        <v>5</v>
      </c>
      <c r="E2486" s="10">
        <f>HYPERLINK("http://www.lingerieopt.ru/images/original/4d0ee923-ae96-4fa5-a258-1e79f2e967ce.jpg","Фото")</f>
      </c>
    </row>
    <row r="2487">
      <c r="A2487" s="7">
        <f>HYPERLINK("http://www.lingerieopt.ru/item/10211-pikantnji-komplekt-nizhnego-belya-berenice/","10211")</f>
      </c>
      <c r="B2487" s="8" t="s">
        <v>2481</v>
      </c>
      <c r="C2487" s="9">
        <v>2288</v>
      </c>
      <c r="D2487" s="0">
        <v>9</v>
      </c>
      <c r="E2487" s="10">
        <f>HYPERLINK("http://www.lingerieopt.ru/images/original/21affc38-ea9d-433e-b8fa-12aeb57bc2a2.jpg","Фото")</f>
      </c>
    </row>
    <row r="2488">
      <c r="A2488" s="7">
        <f>HYPERLINK("http://www.lingerieopt.ru/item/10211-pikantnji-komplekt-nizhnego-belya-berenice/","10211")</f>
      </c>
      <c r="B2488" s="8" t="s">
        <v>2482</v>
      </c>
      <c r="C2488" s="9">
        <v>2288</v>
      </c>
      <c r="D2488" s="0">
        <v>4</v>
      </c>
      <c r="E2488" s="10">
        <f>HYPERLINK("http://www.lingerieopt.ru/images/original/21affc38-ea9d-433e-b8fa-12aeb57bc2a2.jpg","Фото")</f>
      </c>
    </row>
    <row r="2489">
      <c r="A2489" s="7">
        <f>HYPERLINK("http://www.lingerieopt.ru/item/10233-effektnji-komplekt-eliane-plus-size-s-chulkami/","10233")</f>
      </c>
      <c r="B2489" s="8" t="s">
        <v>2483</v>
      </c>
      <c r="C2489" s="9">
        <v>1591</v>
      </c>
      <c r="D2489" s="0">
        <v>9</v>
      </c>
      <c r="E2489" s="10">
        <f>HYPERLINK("http://www.lingerieopt.ru/images/original/07a8cfaa-6f3d-4cba-a891-ce30cf879bb5.jpg","Фото")</f>
      </c>
    </row>
    <row r="2490">
      <c r="A2490" s="7">
        <f>HYPERLINK("http://www.lingerieopt.ru/item/10233-effektnji-komplekt-eliane-plus-size-s-chulkami/","10233")</f>
      </c>
      <c r="B2490" s="8" t="s">
        <v>2484</v>
      </c>
      <c r="C2490" s="9">
        <v>1591</v>
      </c>
      <c r="D2490" s="0">
        <v>10</v>
      </c>
      <c r="E2490" s="10">
        <f>HYPERLINK("http://www.lingerieopt.ru/images/original/07a8cfaa-6f3d-4cba-a891-ce30cf879bb5.jpg","Фото")</f>
      </c>
    </row>
    <row r="2491">
      <c r="A2491" s="7">
        <f>HYPERLINK("http://www.lingerieopt.ru/item/10233-effektnji-komplekt-eliane-plus-size-s-chulkami/","10233")</f>
      </c>
      <c r="B2491" s="8" t="s">
        <v>2485</v>
      </c>
      <c r="C2491" s="9">
        <v>1591</v>
      </c>
      <c r="D2491" s="0">
        <v>5</v>
      </c>
      <c r="E2491" s="10">
        <f>HYPERLINK("http://www.lingerieopt.ru/images/original/07a8cfaa-6f3d-4cba-a891-ce30cf879bb5.jpg","Фото")</f>
      </c>
    </row>
    <row r="2492">
      <c r="A2492" s="7">
        <f>HYPERLINK("http://www.lingerieopt.ru/item/10252-nityanoi-komplekt-belya-samantha-plus-size-iz-2-predmetov/","10252")</f>
      </c>
      <c r="B2492" s="8" t="s">
        <v>2486</v>
      </c>
      <c r="C2492" s="9">
        <v>1439</v>
      </c>
      <c r="D2492" s="0">
        <v>2</v>
      </c>
      <c r="E2492" s="10">
        <f>HYPERLINK("http://www.lingerieopt.ru/images/original/46005f56-8c63-46c7-9a99-51938e6e4e68.jpg","Фото")</f>
      </c>
    </row>
    <row r="2493">
      <c r="A2493" s="7">
        <f>HYPERLINK("http://www.lingerieopt.ru/item/10252-nityanoi-komplekt-belya-samantha-plus-size-iz-2-predmetov/","10252")</f>
      </c>
      <c r="B2493" s="8" t="s">
        <v>2487</v>
      </c>
      <c r="C2493" s="9">
        <v>1439</v>
      </c>
      <c r="D2493" s="0">
        <v>2</v>
      </c>
      <c r="E2493" s="10">
        <f>HYPERLINK("http://www.lingerieopt.ru/images/original/46005f56-8c63-46c7-9a99-51938e6e4e68.jpg","Фото")</f>
      </c>
    </row>
    <row r="2494">
      <c r="A2494" s="7">
        <f>HYPERLINK("http://www.lingerieopt.ru/item/10252-nityanoi-komplekt-belya-samantha-plus-size-iz-2-predmetov/","10252")</f>
      </c>
      <c r="B2494" s="8" t="s">
        <v>2488</v>
      </c>
      <c r="C2494" s="9">
        <v>1439</v>
      </c>
      <c r="D2494" s="0">
        <v>3</v>
      </c>
      <c r="E2494" s="10">
        <f>HYPERLINK("http://www.lingerieopt.ru/images/original/46005f56-8c63-46c7-9a99-51938e6e4e68.jpg","Фото")</f>
      </c>
    </row>
    <row r="2495">
      <c r="A2495" s="7">
        <f>HYPERLINK("http://www.lingerieopt.ru/item/10253-lakovji-komplekt-belya-arielle-iz-3-predmetov/","10253")</f>
      </c>
      <c r="B2495" s="8" t="s">
        <v>2489</v>
      </c>
      <c r="C2495" s="9">
        <v>2829</v>
      </c>
      <c r="D2495" s="0">
        <v>4</v>
      </c>
      <c r="E2495" s="10">
        <f>HYPERLINK("http://www.lingerieopt.ru/images/original/e036af8f-4ff6-4f99-b8bb-c4a6b06eccb5.jpg","Фото")</f>
      </c>
    </row>
    <row r="2496">
      <c r="A2496" s="7">
        <f>HYPERLINK("http://www.lingerieopt.ru/item/10253-lakovji-komplekt-belya-arielle-iz-3-predmetov/","10253")</f>
      </c>
      <c r="B2496" s="8" t="s">
        <v>2490</v>
      </c>
      <c r="C2496" s="9">
        <v>2829</v>
      </c>
      <c r="D2496" s="0">
        <v>2</v>
      </c>
      <c r="E2496" s="10">
        <f>HYPERLINK("http://www.lingerieopt.ru/images/original/e036af8f-4ff6-4f99-b8bb-c4a6b06eccb5.jpg","Фото")</f>
      </c>
    </row>
    <row r="2497">
      <c r="A2497" s="7">
        <f>HYPERLINK("http://www.lingerieopt.ru/item/10253-lakovji-komplekt-belya-arielle-iz-3-predmetov/","10253")</f>
      </c>
      <c r="B2497" s="8" t="s">
        <v>2491</v>
      </c>
      <c r="C2497" s="9">
        <v>2829</v>
      </c>
      <c r="D2497" s="0">
        <v>5</v>
      </c>
      <c r="E2497" s="10">
        <f>HYPERLINK("http://www.lingerieopt.ru/images/original/e036af8f-4ff6-4f99-b8bb-c4a6b06eccb5.jpg","Фото")</f>
      </c>
    </row>
    <row r="2498">
      <c r="A2498" s="7">
        <f>HYPERLINK("http://www.lingerieopt.ru/item/10253-lakovji-komplekt-belya-arielle-iz-3-predmetov/","10253")</f>
      </c>
      <c r="B2498" s="8" t="s">
        <v>2492</v>
      </c>
      <c r="C2498" s="9">
        <v>2829</v>
      </c>
      <c r="D2498" s="0">
        <v>7</v>
      </c>
      <c r="E2498" s="10">
        <f>HYPERLINK("http://www.lingerieopt.ru/images/original/e036af8f-4ff6-4f99-b8bb-c4a6b06eccb5.jpg","Фото")</f>
      </c>
    </row>
    <row r="2499">
      <c r="A2499" s="7">
        <f>HYPERLINK("http://www.lingerieopt.ru/item/10253-lakovji-komplekt-belya-arielle-iz-3-predmetov/","10253")</f>
      </c>
      <c r="B2499" s="8" t="s">
        <v>2493</v>
      </c>
      <c r="C2499" s="9">
        <v>2829</v>
      </c>
      <c r="D2499" s="0">
        <v>2</v>
      </c>
      <c r="E2499" s="10">
        <f>HYPERLINK("http://www.lingerieopt.ru/images/original/e036af8f-4ff6-4f99-b8bb-c4a6b06eccb5.jpg","Фото")</f>
      </c>
    </row>
    <row r="2500">
      <c r="A2500" s="7">
        <f>HYPERLINK("http://www.lingerieopt.ru/item/10253-lakovji-komplekt-belya-arielle-iz-3-predmetov/","10253")</f>
      </c>
      <c r="B2500" s="8" t="s">
        <v>2494</v>
      </c>
      <c r="C2500" s="9">
        <v>2829</v>
      </c>
      <c r="D2500" s="0">
        <v>6</v>
      </c>
      <c r="E2500" s="10">
        <f>HYPERLINK("http://www.lingerieopt.ru/images/original/e036af8f-4ff6-4f99-b8bb-c4a6b06eccb5.jpg","Фото")</f>
      </c>
    </row>
    <row r="2501">
      <c r="A2501" s="7">
        <f>HYPERLINK("http://www.lingerieopt.ru/item/10264-komplekt-belya-mia-s-otkrjtoi-grudyu/","10264")</f>
      </c>
      <c r="B2501" s="8" t="s">
        <v>2495</v>
      </c>
      <c r="C2501" s="9">
        <v>2299</v>
      </c>
      <c r="D2501" s="0">
        <v>5</v>
      </c>
      <c r="E2501" s="10">
        <f>HYPERLINK("http://www.lingerieopt.ru/images/original/5f65102c-dac1-46b9-9ad7-2652605cdbcb.jpg","Фото")</f>
      </c>
    </row>
    <row r="2502">
      <c r="A2502" s="7">
        <f>HYPERLINK("http://www.lingerieopt.ru/item/10264-komplekt-belya-mia-s-otkrjtoi-grudyu/","10264")</f>
      </c>
      <c r="B2502" s="8" t="s">
        <v>2496</v>
      </c>
      <c r="C2502" s="9">
        <v>2299</v>
      </c>
      <c r="D2502" s="0">
        <v>4</v>
      </c>
      <c r="E2502" s="10">
        <f>HYPERLINK("http://www.lingerieopt.ru/images/original/5f65102c-dac1-46b9-9ad7-2652605cdbcb.jpg","Фото")</f>
      </c>
    </row>
    <row r="2503">
      <c r="A2503" s="7">
        <f>HYPERLINK("http://www.lingerieopt.ru/item/10317-chuvstvennji-poluprozrachnji-komplekt-belya-vasper-plus-size-so-sborochkami/","10317")</f>
      </c>
      <c r="B2503" s="8" t="s">
        <v>2497</v>
      </c>
      <c r="C2503" s="9">
        <v>1198</v>
      </c>
      <c r="D2503" s="0">
        <v>1</v>
      </c>
      <c r="E2503" s="10">
        <f>HYPERLINK("http://www.lingerieopt.ru/images/original/22a354f6-4da5-4416-b716-b0f583c78e76.jpg","Фото")</f>
      </c>
    </row>
    <row r="2504">
      <c r="A2504" s="7">
        <f>HYPERLINK("http://www.lingerieopt.ru/item/10328-komplekt-belya-loretta-plus-size-s-setchatjmi-ryushami/","10328")</f>
      </c>
      <c r="B2504" s="8" t="s">
        <v>2498</v>
      </c>
      <c r="C2504" s="9">
        <v>1122</v>
      </c>
      <c r="D2504" s="0">
        <v>2</v>
      </c>
      <c r="E2504" s="10">
        <f>HYPERLINK("http://www.lingerieopt.ru/images/original/05ad273a-9e5e-4e18-80e2-cc49663803ca.jpg","Фото")</f>
      </c>
    </row>
    <row r="2505">
      <c r="A2505" s="7">
        <f>HYPERLINK("http://www.lingerieopt.ru/item/10335-azhurnji-komplekt-belya-gigi-plus-size-s-dopolnitelnjmi-bretelyami/","10335")</f>
      </c>
      <c r="B2505" s="8" t="s">
        <v>2499</v>
      </c>
      <c r="C2505" s="9">
        <v>1210</v>
      </c>
      <c r="D2505" s="0">
        <v>2</v>
      </c>
      <c r="E2505" s="10">
        <f>HYPERLINK("http://www.lingerieopt.ru/images/original/551cc611-4575-4be1-9908-1930c87e557f.jpg","Фото")</f>
      </c>
    </row>
    <row r="2506">
      <c r="A2506" s="7">
        <f>HYPERLINK("http://www.lingerieopt.ru/item/10442-otkrovennji-komplekt-belya-mercedes-plus-size-s-kruzhevami/","10442")</f>
      </c>
      <c r="B2506" s="8" t="s">
        <v>2500</v>
      </c>
      <c r="C2506" s="9">
        <v>732</v>
      </c>
      <c r="D2506" s="0">
        <v>2</v>
      </c>
      <c r="E2506" s="10">
        <f>HYPERLINK("http://www.lingerieopt.ru/images/original/8925bd9f-2ddb-4e02-97ac-90adc45c28fe.jpg","Фото")</f>
      </c>
    </row>
    <row r="2507">
      <c r="A2507" s="7">
        <f>HYPERLINK("http://www.lingerieopt.ru/item/10443-komplekt-belya-palmira-so-skreschennjmi-na-zhivote-bretelyami/","10443")</f>
      </c>
      <c r="B2507" s="8" t="s">
        <v>2501</v>
      </c>
      <c r="C2507" s="9">
        <v>960</v>
      </c>
      <c r="D2507" s="0">
        <v>4</v>
      </c>
      <c r="E2507" s="10">
        <f>HYPERLINK("http://www.lingerieopt.ru/images/original/92c502e3-4537-4b7b-91fa-a3ce74cb327c.jpg","Фото")</f>
      </c>
    </row>
    <row r="2508">
      <c r="A2508" s="7">
        <f>HYPERLINK("http://www.lingerieopt.ru/item/10443-komplekt-belya-palmira-so-skreschennjmi-na-zhivote-bretelyami/","10443")</f>
      </c>
      <c r="B2508" s="8" t="s">
        <v>2502</v>
      </c>
      <c r="C2508" s="9">
        <v>960</v>
      </c>
      <c r="D2508" s="0">
        <v>3</v>
      </c>
      <c r="E2508" s="10">
        <f>HYPERLINK("http://www.lingerieopt.ru/images/original/92c502e3-4537-4b7b-91fa-a3ce74cb327c.jpg","Фото")</f>
      </c>
    </row>
    <row r="2509">
      <c r="A2509" s="7">
        <f>HYPERLINK("http://www.lingerieopt.ru/item/10443-komplekt-belya-palmira-so-skreschennjmi-na-zhivote-bretelyami/","10443")</f>
      </c>
      <c r="B2509" s="8" t="s">
        <v>2503</v>
      </c>
      <c r="C2509" s="9">
        <v>960</v>
      </c>
      <c r="D2509" s="0">
        <v>5</v>
      </c>
      <c r="E2509" s="10">
        <f>HYPERLINK("http://www.lingerieopt.ru/images/original/92c502e3-4537-4b7b-91fa-a3ce74cb327c.jpg","Фото")</f>
      </c>
    </row>
    <row r="2510">
      <c r="A2510" s="7">
        <f>HYPERLINK("http://www.lingerieopt.ru/item/10443-komplekt-belya-palmira-so-skreschennjmi-na-zhivote-bretelyami/","10443")</f>
      </c>
      <c r="B2510" s="8" t="s">
        <v>2504</v>
      </c>
      <c r="C2510" s="9">
        <v>960</v>
      </c>
      <c r="D2510" s="0">
        <v>3</v>
      </c>
      <c r="E2510" s="10">
        <f>HYPERLINK("http://www.lingerieopt.ru/images/original/92c502e3-4537-4b7b-91fa-a3ce74cb327c.jpg","Фото")</f>
      </c>
    </row>
    <row r="2511">
      <c r="A2511" s="7">
        <f>HYPERLINK("http://www.lingerieopt.ru/item/10443-komplekt-belya-palmira-so-skreschennjmi-na-zhivote-bretelyami/","10443")</f>
      </c>
      <c r="B2511" s="8" t="s">
        <v>2505</v>
      </c>
      <c r="C2511" s="9">
        <v>960</v>
      </c>
      <c r="D2511" s="0">
        <v>6</v>
      </c>
      <c r="E2511" s="10">
        <f>HYPERLINK("http://www.lingerieopt.ru/images/original/92c502e3-4537-4b7b-91fa-a3ce74cb327c.jpg","Фото")</f>
      </c>
    </row>
    <row r="2512">
      <c r="A2512" s="7">
        <f>HYPERLINK("http://www.lingerieopt.ru/item/10443-komplekt-belya-palmira-so-skreschennjmi-na-zhivote-bretelyami/","10443")</f>
      </c>
      <c r="B2512" s="8" t="s">
        <v>2506</v>
      </c>
      <c r="C2512" s="9">
        <v>960</v>
      </c>
      <c r="D2512" s="0">
        <v>3</v>
      </c>
      <c r="E2512" s="10">
        <f>HYPERLINK("http://www.lingerieopt.ru/images/original/92c502e3-4537-4b7b-91fa-a3ce74cb327c.jpg","Фото")</f>
      </c>
    </row>
    <row r="2513">
      <c r="A2513" s="7">
        <f>HYPERLINK("http://www.lingerieopt.ru/item/10444-komplekt-belya-palmira-plus-size-so-skreschennjmi-na-zhivote-bretelyami/","10444")</f>
      </c>
      <c r="B2513" s="8" t="s">
        <v>2507</v>
      </c>
      <c r="C2513" s="9">
        <v>960</v>
      </c>
      <c r="D2513" s="0">
        <v>2</v>
      </c>
      <c r="E2513" s="10">
        <f>HYPERLINK("http://www.lingerieopt.ru/images/original/7aa97248-7ebb-43dc-a75b-80836462cfbc.jpg","Фото")</f>
      </c>
    </row>
    <row r="2514">
      <c r="A2514" s="7">
        <f>HYPERLINK("http://www.lingerieopt.ru/item/10444-komplekt-belya-palmira-plus-size-so-skreschennjmi-na-zhivote-bretelyami/","10444")</f>
      </c>
      <c r="B2514" s="8" t="s">
        <v>2508</v>
      </c>
      <c r="C2514" s="9">
        <v>960</v>
      </c>
      <c r="D2514" s="0">
        <v>3</v>
      </c>
      <c r="E2514" s="10">
        <f>HYPERLINK("http://www.lingerieopt.ru/images/original/7aa97248-7ebb-43dc-a75b-80836462cfbc.jpg","Фото")</f>
      </c>
    </row>
    <row r="2515">
      <c r="A2515" s="7">
        <f>HYPERLINK("http://www.lingerieopt.ru/item/10444-komplekt-belya-palmira-plus-size-so-skreschennjmi-na-zhivote-bretelyami/","10444")</f>
      </c>
      <c r="B2515" s="8" t="s">
        <v>2509</v>
      </c>
      <c r="C2515" s="9">
        <v>960</v>
      </c>
      <c r="D2515" s="0">
        <v>3</v>
      </c>
      <c r="E2515" s="10">
        <f>HYPERLINK("http://www.lingerieopt.ru/images/original/7aa97248-7ebb-43dc-a75b-80836462cfbc.jpg","Фото")</f>
      </c>
    </row>
    <row r="2516">
      <c r="A2516" s="7">
        <f>HYPERLINK("http://www.lingerieopt.ru/item/10445-kruzhevnoi-komplekt-belya-piedade-v-duhe-70-h/","10445")</f>
      </c>
      <c r="B2516" s="8" t="s">
        <v>2510</v>
      </c>
      <c r="C2516" s="9">
        <v>1228</v>
      </c>
      <c r="D2516" s="0">
        <v>8</v>
      </c>
      <c r="E2516" s="10">
        <f>HYPERLINK("http://www.lingerieopt.ru/images/original/6a13205e-85f2-44c0-8a78-70e3f92a7252.jpg","Фото")</f>
      </c>
    </row>
    <row r="2517">
      <c r="A2517" s="7">
        <f>HYPERLINK("http://www.lingerieopt.ru/item/10445-kruzhevnoi-komplekt-belya-piedade-v-duhe-70-h/","10445")</f>
      </c>
      <c r="B2517" s="8" t="s">
        <v>2511</v>
      </c>
      <c r="C2517" s="9">
        <v>1228</v>
      </c>
      <c r="D2517" s="0">
        <v>9</v>
      </c>
      <c r="E2517" s="10">
        <f>HYPERLINK("http://www.lingerieopt.ru/images/original/6a13205e-85f2-44c0-8a78-70e3f92a7252.jpg","Фото")</f>
      </c>
    </row>
    <row r="2518">
      <c r="A2518" s="7">
        <f>HYPERLINK("http://www.lingerieopt.ru/item/10446-kruzhevnoi-komplekt-belya-piedade-plus-size-v-duhe-70-h/","10446")</f>
      </c>
      <c r="B2518" s="8" t="s">
        <v>2512</v>
      </c>
      <c r="C2518" s="9">
        <v>1228</v>
      </c>
      <c r="D2518" s="0">
        <v>4</v>
      </c>
      <c r="E2518" s="10">
        <f>HYPERLINK("http://www.lingerieopt.ru/images/original/c9499acc-1bdc-490f-b6a6-711c61d49654.jpg","Фото")</f>
      </c>
    </row>
    <row r="2519">
      <c r="A2519" s="7">
        <f>HYPERLINK("http://www.lingerieopt.ru/item/10447-chuvstvennji-komplekt-belya-ramira-s-otkrjtjm-lifom/","10447")</f>
      </c>
      <c r="B2519" s="8" t="s">
        <v>2513</v>
      </c>
      <c r="C2519" s="9">
        <v>1176</v>
      </c>
      <c r="D2519" s="0">
        <v>3</v>
      </c>
      <c r="E2519" s="10">
        <f>HYPERLINK("http://www.lingerieopt.ru/images/original/3e57a920-2934-45ad-87ca-4f5d612ba1a4.jpg","Фото")</f>
      </c>
    </row>
    <row r="2520">
      <c r="A2520" s="7">
        <f>HYPERLINK("http://www.lingerieopt.ru/item/10447-chuvstvennji-komplekt-belya-ramira-s-otkrjtjm-lifom/","10447")</f>
      </c>
      <c r="B2520" s="8" t="s">
        <v>2514</v>
      </c>
      <c r="C2520" s="9">
        <v>1176</v>
      </c>
      <c r="D2520" s="0">
        <v>5</v>
      </c>
      <c r="E2520" s="10">
        <f>HYPERLINK("http://www.lingerieopt.ru/images/original/3e57a920-2934-45ad-87ca-4f5d612ba1a4.jpg","Фото")</f>
      </c>
    </row>
    <row r="2521">
      <c r="A2521" s="7">
        <f>HYPERLINK("http://www.lingerieopt.ru/item/10447-chuvstvennji-komplekt-belya-ramira-s-otkrjtjm-lifom/","10447")</f>
      </c>
      <c r="B2521" s="8" t="s">
        <v>2515</v>
      </c>
      <c r="C2521" s="9">
        <v>1176</v>
      </c>
      <c r="D2521" s="0">
        <v>2</v>
      </c>
      <c r="E2521" s="10">
        <f>HYPERLINK("http://www.lingerieopt.ru/images/original/3e57a920-2934-45ad-87ca-4f5d612ba1a4.jpg","Фото")</f>
      </c>
    </row>
    <row r="2522">
      <c r="A2522" s="7">
        <f>HYPERLINK("http://www.lingerieopt.ru/item/10447-chuvstvennji-komplekt-belya-ramira-s-otkrjtjm-lifom/","10447")</f>
      </c>
      <c r="B2522" s="8" t="s">
        <v>2516</v>
      </c>
      <c r="C2522" s="9">
        <v>1176</v>
      </c>
      <c r="D2522" s="0">
        <v>2</v>
      </c>
      <c r="E2522" s="10">
        <f>HYPERLINK("http://www.lingerieopt.ru/images/original/3e57a920-2934-45ad-87ca-4f5d612ba1a4.jpg","Фото")</f>
      </c>
    </row>
    <row r="2523">
      <c r="A2523" s="7">
        <f>HYPERLINK("http://www.lingerieopt.ru/item/10448-chuvstvennji-komplekt-belya-ramira-plus-size-s-otkrjtjm-lifom/","10448")</f>
      </c>
      <c r="B2523" s="8" t="s">
        <v>2517</v>
      </c>
      <c r="C2523" s="9">
        <v>1176</v>
      </c>
      <c r="D2523" s="0">
        <v>0</v>
      </c>
      <c r="E2523" s="10">
        <f>HYPERLINK("http://www.lingerieopt.ru/images/original/5dbc27d0-533b-40aa-8d0b-29e5363ec0c7.jpg","Фото")</f>
      </c>
    </row>
    <row r="2524">
      <c r="A2524" s="7">
        <f>HYPERLINK("http://www.lingerieopt.ru/item/10448-chuvstvennji-komplekt-belya-ramira-plus-size-s-otkrjtjm-lifom/","10448")</f>
      </c>
      <c r="B2524" s="8" t="s">
        <v>2518</v>
      </c>
      <c r="C2524" s="9">
        <v>1176</v>
      </c>
      <c r="D2524" s="0">
        <v>3</v>
      </c>
      <c r="E2524" s="10">
        <f>HYPERLINK("http://www.lingerieopt.ru/images/original/5dbc27d0-533b-40aa-8d0b-29e5363ec0c7.jpg","Фото")</f>
      </c>
    </row>
    <row r="2525">
      <c r="A2525" s="7">
        <f>HYPERLINK("http://www.lingerieopt.ru/item/10462-derzkii-komplekt-belya-yvette-plus-size-s-kapyushonom/","10462")</f>
      </c>
      <c r="B2525" s="8" t="s">
        <v>2519</v>
      </c>
      <c r="C2525" s="9">
        <v>1280</v>
      </c>
      <c r="D2525" s="0">
        <v>0</v>
      </c>
      <c r="E2525" s="10">
        <f>HYPERLINK("http://www.lingerieopt.ru/images/original/f135eaa3-ba14-41a8-b9f4-c7a1f3ca91b2.jpg","Фото")</f>
      </c>
    </row>
    <row r="2526">
      <c r="A2526" s="7">
        <f>HYPERLINK("http://www.lingerieopt.ru/item/10462-derzkii-komplekt-belya-yvette-plus-size-s-kapyushonom/","10462")</f>
      </c>
      <c r="B2526" s="8" t="s">
        <v>2520</v>
      </c>
      <c r="C2526" s="9">
        <v>1280</v>
      </c>
      <c r="D2526" s="0">
        <v>1</v>
      </c>
      <c r="E2526" s="10">
        <f>HYPERLINK("http://www.lingerieopt.ru/images/original/f135eaa3-ba14-41a8-b9f4-c7a1f3ca91b2.jpg","Фото")</f>
      </c>
    </row>
    <row r="2527">
      <c r="A2527" s="7">
        <f>HYPERLINK("http://www.lingerieopt.ru/item/10463-otkrjtji-komplekt-belya-lena-s-krasnjmi-batikami/","10463")</f>
      </c>
      <c r="B2527" s="8" t="s">
        <v>2521</v>
      </c>
      <c r="C2527" s="9">
        <v>1164</v>
      </c>
      <c r="D2527" s="0">
        <v>6</v>
      </c>
      <c r="E2527" s="10">
        <f>HYPERLINK("http://www.lingerieopt.ru/images/original/8d2682a4-64bf-49c2-9722-ccd0c0c46db4.jpg","Фото")</f>
      </c>
    </row>
    <row r="2528">
      <c r="A2528" s="7">
        <f>HYPERLINK("http://www.lingerieopt.ru/item/10463-otkrjtji-komplekt-belya-lena-s-krasnjmi-batikami/","10463")</f>
      </c>
      <c r="B2528" s="8" t="s">
        <v>2522</v>
      </c>
      <c r="C2528" s="9">
        <v>1164</v>
      </c>
      <c r="D2528" s="0">
        <v>4</v>
      </c>
      <c r="E2528" s="10">
        <f>HYPERLINK("http://www.lingerieopt.ru/images/original/8d2682a4-64bf-49c2-9722-ccd0c0c46db4.jpg","Фото")</f>
      </c>
    </row>
    <row r="2529">
      <c r="A2529" s="7">
        <f>HYPERLINK("http://www.lingerieopt.ru/item/10463-otkrjtji-komplekt-belya-lena-s-krasnjmi-batikami/","10463")</f>
      </c>
      <c r="B2529" s="8" t="s">
        <v>2523</v>
      </c>
      <c r="C2529" s="9">
        <v>1164</v>
      </c>
      <c r="D2529" s="0">
        <v>6</v>
      </c>
      <c r="E2529" s="10">
        <f>HYPERLINK("http://www.lingerieopt.ru/images/original/8d2682a4-64bf-49c2-9722-ccd0c0c46db4.jpg","Фото")</f>
      </c>
    </row>
    <row r="2530">
      <c r="A2530" s="7">
        <f>HYPERLINK("http://www.lingerieopt.ru/item/10463-otkrjtji-komplekt-belya-lena-s-krasnjmi-batikami/","10463")</f>
      </c>
      <c r="B2530" s="8" t="s">
        <v>2524</v>
      </c>
      <c r="C2530" s="9">
        <v>1164</v>
      </c>
      <c r="D2530" s="0">
        <v>4</v>
      </c>
      <c r="E2530" s="10">
        <f>HYPERLINK("http://www.lingerieopt.ru/images/original/8d2682a4-64bf-49c2-9722-ccd0c0c46db4.jpg","Фото")</f>
      </c>
    </row>
    <row r="2531">
      <c r="A2531" s="7">
        <f>HYPERLINK("http://www.lingerieopt.ru/item/10464-otkrjtji-komplekt-belya-lena-plus-size-s-krasnjmi-batikami/","10464")</f>
      </c>
      <c r="B2531" s="8" t="s">
        <v>2525</v>
      </c>
      <c r="C2531" s="9">
        <v>1164</v>
      </c>
      <c r="D2531" s="0">
        <v>2</v>
      </c>
      <c r="E2531" s="10">
        <f>HYPERLINK("http://www.lingerieopt.ru/images/original/37b188ce-3ed7-4bb9-b525-40a5f7198015.jpg","Фото")</f>
      </c>
    </row>
    <row r="2532">
      <c r="A2532" s="7">
        <f>HYPERLINK("http://www.lingerieopt.ru/item/10464-otkrjtji-komplekt-belya-lena-plus-size-s-krasnjmi-batikami/","10464")</f>
      </c>
      <c r="B2532" s="8" t="s">
        <v>2526</v>
      </c>
      <c r="C2532" s="9">
        <v>1164</v>
      </c>
      <c r="D2532" s="0">
        <v>3</v>
      </c>
      <c r="E2532" s="10">
        <f>HYPERLINK("http://www.lingerieopt.ru/images/original/37b188ce-3ed7-4bb9-b525-40a5f7198015.jpg","Фото")</f>
      </c>
    </row>
    <row r="2533">
      <c r="A2533" s="7">
        <f>HYPERLINK("http://www.lingerieopt.ru/item/10469-otkrjtji-strep-komplekt-nizhnego-belya-valentina/","10469")</f>
      </c>
      <c r="B2533" s="8" t="s">
        <v>2527</v>
      </c>
      <c r="C2533" s="9">
        <v>1044</v>
      </c>
      <c r="D2533" s="0">
        <v>0</v>
      </c>
      <c r="E2533" s="10">
        <f>HYPERLINK("http://www.lingerieopt.ru/images/original/95ef44d9-5c1b-4e59-9160-096cc2df751a.jpg","Фото")</f>
      </c>
    </row>
    <row r="2534">
      <c r="A2534" s="7">
        <f>HYPERLINK("http://www.lingerieopt.ru/item/10469-otkrjtji-strep-komplekt-nizhnego-belya-valentina/","10469")</f>
      </c>
      <c r="B2534" s="8" t="s">
        <v>2528</v>
      </c>
      <c r="C2534" s="9">
        <v>1044</v>
      </c>
      <c r="D2534" s="0">
        <v>9</v>
      </c>
      <c r="E2534" s="10">
        <f>HYPERLINK("http://www.lingerieopt.ru/images/original/95ef44d9-5c1b-4e59-9160-096cc2df751a.jpg","Фото")</f>
      </c>
    </row>
    <row r="2535">
      <c r="A2535" s="7">
        <f>HYPERLINK("http://www.lingerieopt.ru/item/10481-otkrovennji-komplekt-belya-justine-iz-lent/","10481")</f>
      </c>
      <c r="B2535" s="8" t="s">
        <v>2529</v>
      </c>
      <c r="C2535" s="9">
        <v>1404</v>
      </c>
      <c r="D2535" s="0">
        <v>2</v>
      </c>
      <c r="E2535" s="10">
        <f>HYPERLINK("http://www.lingerieopt.ru/images/original/60a60594-024b-40bf-86d4-d1b745a93848.jpg","Фото")</f>
      </c>
    </row>
    <row r="2536">
      <c r="A2536" s="7">
        <f>HYPERLINK("http://www.lingerieopt.ru/item/10481-otkrovennji-komplekt-belya-justine-iz-lent/","10481")</f>
      </c>
      <c r="B2536" s="8" t="s">
        <v>2530</v>
      </c>
      <c r="C2536" s="9">
        <v>1404</v>
      </c>
      <c r="D2536" s="0">
        <v>2</v>
      </c>
      <c r="E2536" s="10">
        <f>HYPERLINK("http://www.lingerieopt.ru/images/original/60a60594-024b-40bf-86d4-d1b745a93848.jpg","Фото")</f>
      </c>
    </row>
    <row r="2537">
      <c r="A2537" s="7">
        <f>HYPERLINK("http://www.lingerieopt.ru/item/10481-otkrovennji-komplekt-belya-justine-iz-lent/","10481")</f>
      </c>
      <c r="B2537" s="8" t="s">
        <v>2531</v>
      </c>
      <c r="C2537" s="9">
        <v>1404</v>
      </c>
      <c r="D2537" s="0">
        <v>3</v>
      </c>
      <c r="E2537" s="10">
        <f>HYPERLINK("http://www.lingerieopt.ru/images/original/60a60594-024b-40bf-86d4-d1b745a93848.jpg","Фото")</f>
      </c>
    </row>
    <row r="2538">
      <c r="A2538" s="7">
        <f>HYPERLINK("http://www.lingerieopt.ru/item/10482-otkrovennji-komplekt-belya-maya-plus-size-iz-strep-lent/","10482")</f>
      </c>
      <c r="B2538" s="8" t="s">
        <v>2532</v>
      </c>
      <c r="C2538" s="9">
        <v>1404</v>
      </c>
      <c r="D2538" s="0">
        <v>3</v>
      </c>
      <c r="E2538" s="10">
        <f>HYPERLINK("http://www.lingerieopt.ru/images/original/a8cbc175-e83c-4a1f-b816-120b0c0a6f5b.jpg","Фото")</f>
      </c>
    </row>
    <row r="2539">
      <c r="A2539" s="7">
        <f>HYPERLINK("http://www.lingerieopt.ru/item/10482-otkrovennji-komplekt-belya-maya-plus-size-iz-strep-lent/","10482")</f>
      </c>
      <c r="B2539" s="8" t="s">
        <v>2533</v>
      </c>
      <c r="C2539" s="9">
        <v>1404</v>
      </c>
      <c r="D2539" s="0">
        <v>3</v>
      </c>
      <c r="E2539" s="10">
        <f>HYPERLINK("http://www.lingerieopt.ru/images/original/a8cbc175-e83c-4a1f-b816-120b0c0a6f5b.jpg","Фото")</f>
      </c>
    </row>
    <row r="2540">
      <c r="A2540" s="7">
        <f>HYPERLINK("http://www.lingerieopt.ru/item/10482-otkrovennji-komplekt-belya-maya-plus-size-iz-strep-lent/","10482")</f>
      </c>
      <c r="B2540" s="8" t="s">
        <v>2534</v>
      </c>
      <c r="C2540" s="9">
        <v>1404</v>
      </c>
      <c r="D2540" s="0">
        <v>4</v>
      </c>
      <c r="E2540" s="10">
        <f>HYPERLINK("http://www.lingerieopt.ru/images/original/a8cbc175-e83c-4a1f-b816-120b0c0a6f5b.jpg","Фото")</f>
      </c>
    </row>
    <row r="2541">
      <c r="A2541" s="7">
        <f>HYPERLINK("http://www.lingerieopt.ru/item/10484-charuyuschii-komplekt-belya-serenity-s-otkrjtjm-lifom/","10484")</f>
      </c>
      <c r="B2541" s="8" t="s">
        <v>2535</v>
      </c>
      <c r="C2541" s="9">
        <v>2266</v>
      </c>
      <c r="D2541" s="0">
        <v>5</v>
      </c>
      <c r="E2541" s="10">
        <f>HYPERLINK("http://www.lingerieopt.ru/images/original/ded1a63c-f614-4588-86f4-feb1218aec64.jpg","Фото")</f>
      </c>
    </row>
    <row r="2542">
      <c r="A2542" s="7">
        <f>HYPERLINK("http://www.lingerieopt.ru/item/10484-charuyuschii-komplekt-belya-serenity-s-otkrjtjm-lifom/","10484")</f>
      </c>
      <c r="B2542" s="8" t="s">
        <v>2536</v>
      </c>
      <c r="C2542" s="9">
        <v>2266</v>
      </c>
      <c r="D2542" s="0">
        <v>5</v>
      </c>
      <c r="E2542" s="10">
        <f>HYPERLINK("http://www.lingerieopt.ru/images/original/ded1a63c-f614-4588-86f4-feb1218aec64.jpg","Фото")</f>
      </c>
    </row>
    <row r="2543">
      <c r="A2543" s="7">
        <f>HYPERLINK("http://www.lingerieopt.ru/item/10487-komplekt-belya-pauline-plus-size-s-kruzhevom/","10487")</f>
      </c>
      <c r="B2543" s="8" t="s">
        <v>2537</v>
      </c>
      <c r="C2543" s="9">
        <v>1299</v>
      </c>
      <c r="D2543" s="0">
        <v>4</v>
      </c>
      <c r="E2543" s="10">
        <f>HYPERLINK("http://www.lingerieopt.ru/images/original/8293e49b-58e4-4c59-ae7a-b849e3a9235c.jpg","Фото")</f>
      </c>
    </row>
    <row r="2544">
      <c r="A2544" s="7">
        <f>HYPERLINK("http://www.lingerieopt.ru/item/10500-kruzhevnoi-komplekt-nizhnego-belya-peyton-iz-3-predmetov/","10500")</f>
      </c>
      <c r="B2544" s="8" t="s">
        <v>2538</v>
      </c>
      <c r="C2544" s="9">
        <v>2116</v>
      </c>
      <c r="D2544" s="0">
        <v>7</v>
      </c>
      <c r="E2544" s="10">
        <f>HYPERLINK("http://www.lingerieopt.ru/images/original/d699889e-4ad8-43b1-974b-5c771fa1f43f.jpg","Фото")</f>
      </c>
    </row>
    <row r="2545">
      <c r="A2545" s="7">
        <f>HYPERLINK("http://www.lingerieopt.ru/item/10500-kruzhevnoi-komplekt-nizhnego-belya-peyton-iz-3-predmetov/","10500")</f>
      </c>
      <c r="B2545" s="8" t="s">
        <v>2539</v>
      </c>
      <c r="C2545" s="9">
        <v>2116</v>
      </c>
      <c r="D2545" s="0">
        <v>14</v>
      </c>
      <c r="E2545" s="10">
        <f>HYPERLINK("http://www.lingerieopt.ru/images/original/d699889e-4ad8-43b1-974b-5c771fa1f43f.jpg","Фото")</f>
      </c>
    </row>
    <row r="2546">
      <c r="A2546" s="7">
        <f>HYPERLINK("http://www.lingerieopt.ru/item/10503-ultra-soblaznitelnji-komplekt-belya-arietta-s-prozrachnjmi-vstavkami/","10503")</f>
      </c>
      <c r="B2546" s="8" t="s">
        <v>2540</v>
      </c>
      <c r="C2546" s="9">
        <v>1255</v>
      </c>
      <c r="D2546" s="0">
        <v>4</v>
      </c>
      <c r="E2546" s="10">
        <f>HYPERLINK("http://www.lingerieopt.ru/images/original/14122bf1-7079-4da2-89d6-05ef6cab2cef.jpg","Фото")</f>
      </c>
    </row>
    <row r="2547">
      <c r="A2547" s="7">
        <f>HYPERLINK("http://www.lingerieopt.ru/item/10503-ultra-soblaznitelnji-komplekt-belya-arietta-s-prozrachnjmi-vstavkami/","10503")</f>
      </c>
      <c r="B2547" s="8" t="s">
        <v>2541</v>
      </c>
      <c r="C2547" s="9">
        <v>1255</v>
      </c>
      <c r="D2547" s="0">
        <v>1</v>
      </c>
      <c r="E2547" s="10">
        <f>HYPERLINK("http://www.lingerieopt.ru/images/original/14122bf1-7079-4da2-89d6-05ef6cab2cef.jpg","Фото")</f>
      </c>
    </row>
    <row r="2548">
      <c r="A2548" s="7">
        <f>HYPERLINK("http://www.lingerieopt.ru/item/10507-kruzhevnoi-komplekt-belya-henriette-s-uzorom-v-vide-pautinok/","10507")</f>
      </c>
      <c r="B2548" s="8" t="s">
        <v>2542</v>
      </c>
      <c r="C2548" s="9">
        <v>1427</v>
      </c>
      <c r="D2548" s="0">
        <v>5</v>
      </c>
      <c r="E2548" s="10">
        <f>HYPERLINK("http://www.lingerieopt.ru/images/original/03e618b6-f3de-44a2-a595-298cb3e870c5.jpg","Фото")</f>
      </c>
    </row>
    <row r="2549">
      <c r="A2549" s="7">
        <f>HYPERLINK("http://www.lingerieopt.ru/item/10507-kruzhevnoi-komplekt-belya-henriette-s-uzorom-v-vide-pautinok/","10507")</f>
      </c>
      <c r="B2549" s="8" t="s">
        <v>2543</v>
      </c>
      <c r="C2549" s="9">
        <v>1427</v>
      </c>
      <c r="D2549" s="0">
        <v>5</v>
      </c>
      <c r="E2549" s="10">
        <f>HYPERLINK("http://www.lingerieopt.ru/images/original/03e618b6-f3de-44a2-a595-298cb3e870c5.jpg","Фото")</f>
      </c>
    </row>
    <row r="2550">
      <c r="A2550" s="7">
        <f>HYPERLINK("http://www.lingerieopt.ru/item/10508-soblaznitelnji-komplekt-belya-gloria-plus-size-s-dvuhcvetnjm-kruzhevom/","10508")</f>
      </c>
      <c r="B2550" s="8" t="s">
        <v>2544</v>
      </c>
      <c r="C2550" s="9">
        <v>1751</v>
      </c>
      <c r="D2550" s="0">
        <v>1</v>
      </c>
      <c r="E2550" s="10">
        <f>HYPERLINK("http://www.lingerieopt.ru/images/original/9b8ccfe7-9828-4c9e-bb45-c635164f7143.jpg","Фото")</f>
      </c>
    </row>
    <row r="2551">
      <c r="A2551" s="7">
        <f>HYPERLINK("http://www.lingerieopt.ru/item/10510-komplekt-belya-miriam-v-grecheskom-stile/","10510")</f>
      </c>
      <c r="B2551" s="8" t="s">
        <v>2545</v>
      </c>
      <c r="C2551" s="9">
        <v>1760</v>
      </c>
      <c r="D2551" s="0">
        <v>4</v>
      </c>
      <c r="E2551" s="10">
        <f>HYPERLINK("http://www.lingerieopt.ru/images/original/a47b1eb3-aefc-43f1-91aa-3eb6941d15a8.jpg","Фото")</f>
      </c>
    </row>
    <row r="2552">
      <c r="A2552" s="7">
        <f>HYPERLINK("http://www.lingerieopt.ru/item/10510-komplekt-belya-miriam-v-grecheskom-stile/","10510")</f>
      </c>
      <c r="B2552" s="8" t="s">
        <v>2546</v>
      </c>
      <c r="C2552" s="9">
        <v>1760</v>
      </c>
      <c r="D2552" s="0">
        <v>0</v>
      </c>
      <c r="E2552" s="10">
        <f>HYPERLINK("http://www.lingerieopt.ru/images/original/a47b1eb3-aefc-43f1-91aa-3eb6941d15a8.jpg","Фото")</f>
      </c>
    </row>
    <row r="2553">
      <c r="A2553" s="7">
        <f>HYPERLINK("http://www.lingerieopt.ru/item/10510-komplekt-belya-miriam-v-grecheskom-stile/","10510")</f>
      </c>
      <c r="B2553" s="8" t="s">
        <v>2547</v>
      </c>
      <c r="C2553" s="9">
        <v>1760</v>
      </c>
      <c r="D2553" s="0">
        <v>2</v>
      </c>
      <c r="E2553" s="10">
        <f>HYPERLINK("http://www.lingerieopt.ru/images/original/a47b1eb3-aefc-43f1-91aa-3eb6941d15a8.jpg","Фото")</f>
      </c>
    </row>
    <row r="2554">
      <c r="A2554" s="7">
        <f>HYPERLINK("http://www.lingerieopt.ru/item/10510-komplekt-belya-miriam-v-grecheskom-stile/","10510")</f>
      </c>
      <c r="B2554" s="8" t="s">
        <v>2548</v>
      </c>
      <c r="C2554" s="9">
        <v>1760</v>
      </c>
      <c r="D2554" s="0">
        <v>2</v>
      </c>
      <c r="E2554" s="10">
        <f>HYPERLINK("http://www.lingerieopt.ru/images/original/a47b1eb3-aefc-43f1-91aa-3eb6941d15a8.jpg","Фото")</f>
      </c>
    </row>
    <row r="2555">
      <c r="A2555" s="7">
        <f>HYPERLINK("http://www.lingerieopt.ru/item/10516-kruzhevnoi-komplekt-belya-mailys-iz-3-predmetov/","10516")</f>
      </c>
      <c r="B2555" s="8" t="s">
        <v>2549</v>
      </c>
      <c r="C2555" s="9">
        <v>1603</v>
      </c>
      <c r="D2555" s="0">
        <v>13</v>
      </c>
      <c r="E2555" s="10">
        <f>HYPERLINK("http://www.lingerieopt.ru/images/original/98d33c38-a468-4cad-ae56-8769c2f9ba70.jpg","Фото")</f>
      </c>
    </row>
    <row r="2556">
      <c r="A2556" s="7">
        <f>HYPERLINK("http://www.lingerieopt.ru/item/10516-kruzhevnoi-komplekt-belya-mailys-iz-3-predmetov/","10516")</f>
      </c>
      <c r="B2556" s="8" t="s">
        <v>2550</v>
      </c>
      <c r="C2556" s="9">
        <v>1603</v>
      </c>
      <c r="D2556" s="0">
        <v>10</v>
      </c>
      <c r="E2556" s="10">
        <f>HYPERLINK("http://www.lingerieopt.ru/images/original/98d33c38-a468-4cad-ae56-8769c2f9ba70.jpg","Фото")</f>
      </c>
    </row>
    <row r="2557">
      <c r="A2557" s="7">
        <f>HYPERLINK("http://www.lingerieopt.ru/item/10533-ultra-soblaznitelnji-komplekt-belya-brida-s-otkrjtjm-lifom/","10533")</f>
      </c>
      <c r="B2557" s="8" t="s">
        <v>2551</v>
      </c>
      <c r="C2557" s="9">
        <v>1863</v>
      </c>
      <c r="D2557" s="0">
        <v>7</v>
      </c>
      <c r="E2557" s="10">
        <f>HYPERLINK("http://www.lingerieopt.ru/images/original/ff971d27-5544-4211-a6a8-33e6e648f833.jpg","Фото")</f>
      </c>
    </row>
    <row r="2558">
      <c r="A2558" s="7">
        <f>HYPERLINK("http://www.lingerieopt.ru/item/10533-ultra-soblaznitelnji-komplekt-belya-brida-s-otkrjtjm-lifom/","10533")</f>
      </c>
      <c r="B2558" s="8" t="s">
        <v>2552</v>
      </c>
      <c r="C2558" s="9">
        <v>1863</v>
      </c>
      <c r="D2558" s="0">
        <v>10</v>
      </c>
      <c r="E2558" s="10">
        <f>HYPERLINK("http://www.lingerieopt.ru/images/original/ff971d27-5544-4211-a6a8-33e6e648f833.jpg","Фото")</f>
      </c>
    </row>
    <row r="2559">
      <c r="A2559" s="7">
        <f>HYPERLINK("http://www.lingerieopt.ru/item/10533-ultra-soblaznitelnji-komplekt-belya-brida-s-otkrjtjm-lifom/","10533")</f>
      </c>
      <c r="B2559" s="8" t="s">
        <v>2553</v>
      </c>
      <c r="C2559" s="9">
        <v>1863</v>
      </c>
      <c r="D2559" s="0">
        <v>6</v>
      </c>
      <c r="E2559" s="10">
        <f>HYPERLINK("http://www.lingerieopt.ru/images/original/ff971d27-5544-4211-a6a8-33e6e648f833.jpg","Фото")</f>
      </c>
    </row>
    <row r="2560">
      <c r="A2560" s="7">
        <f>HYPERLINK("http://www.lingerieopt.ru/item/10533-ultra-soblaznitelnji-komplekt-belya-brida-s-otkrjtjm-lifom/","10533")</f>
      </c>
      <c r="B2560" s="8" t="s">
        <v>2554</v>
      </c>
      <c r="C2560" s="9">
        <v>1863</v>
      </c>
      <c r="D2560" s="0">
        <v>5</v>
      </c>
      <c r="E2560" s="10">
        <f>HYPERLINK("http://www.lingerieopt.ru/images/original/ff971d27-5544-4211-a6a8-33e6e648f833.jpg","Фото")</f>
      </c>
    </row>
    <row r="2561">
      <c r="A2561" s="7">
        <f>HYPERLINK("http://www.lingerieopt.ru/item/10534-ultra-soblaznitelnji-komplekt-belya-brida-plus-size-s-otkrjtjm-lifom/","10534")</f>
      </c>
      <c r="B2561" s="8" t="s">
        <v>2555</v>
      </c>
      <c r="C2561" s="9">
        <v>1863</v>
      </c>
      <c r="D2561" s="0">
        <v>2</v>
      </c>
      <c r="E2561" s="10">
        <f>HYPERLINK("http://www.lingerieopt.ru/images/original/11e98c22-c9b7-4dda-af90-175897f4e922.jpg","Фото")</f>
      </c>
    </row>
    <row r="2562">
      <c r="A2562" s="7">
        <f>HYPERLINK("http://www.lingerieopt.ru/item/10534-ultra-soblaznitelnji-komplekt-belya-brida-plus-size-s-otkrjtjm-lifom/","10534")</f>
      </c>
      <c r="B2562" s="8" t="s">
        <v>2556</v>
      </c>
      <c r="C2562" s="9">
        <v>1863</v>
      </c>
      <c r="D2562" s="0">
        <v>3</v>
      </c>
      <c r="E2562" s="10">
        <f>HYPERLINK("http://www.lingerieopt.ru/images/original/11e98c22-c9b7-4dda-af90-175897f4e922.jpg","Фото")</f>
      </c>
    </row>
    <row r="2563">
      <c r="A2563" s="7">
        <f>HYPERLINK("http://www.lingerieopt.ru/item/10535-komplekt-belya-haya-s-uzorom-v-vide-cvetov-i-vetochek/","10535")</f>
      </c>
      <c r="B2563" s="8" t="s">
        <v>2557</v>
      </c>
      <c r="C2563" s="9">
        <v>1840</v>
      </c>
      <c r="D2563" s="0">
        <v>3</v>
      </c>
      <c r="E2563" s="10">
        <f>HYPERLINK("http://www.lingerieopt.ru/images/original/b0a04adf-ff28-4835-81ce-11011e8e2542.jpg","Фото")</f>
      </c>
    </row>
    <row r="2564">
      <c r="A2564" s="7">
        <f>HYPERLINK("http://www.lingerieopt.ru/item/10535-komplekt-belya-haya-s-uzorom-v-vide-cvetov-i-vetochek/","10535")</f>
      </c>
      <c r="B2564" s="8" t="s">
        <v>2558</v>
      </c>
      <c r="C2564" s="9">
        <v>1840</v>
      </c>
      <c r="D2564" s="0">
        <v>0</v>
      </c>
      <c r="E2564" s="10">
        <f>HYPERLINK("http://www.lingerieopt.ru/images/original/b0a04adf-ff28-4835-81ce-11011e8e2542.jpg","Фото")</f>
      </c>
    </row>
    <row r="2565">
      <c r="A2565" s="7">
        <f>HYPERLINK("http://www.lingerieopt.ru/item/10536-komplekt-belya-haya-plus-size-s-uzorom-v-vide-cvetov-i-vetochek/","10536")</f>
      </c>
      <c r="B2565" s="8" t="s">
        <v>2559</v>
      </c>
      <c r="C2565" s="9">
        <v>1840</v>
      </c>
      <c r="D2565" s="0">
        <v>1</v>
      </c>
      <c r="E2565" s="10">
        <f>HYPERLINK("http://www.lingerieopt.ru/images/original/08a54450-bc21-4097-8e7b-93a4a5d35044.jpg","Фото")</f>
      </c>
    </row>
    <row r="2566">
      <c r="A2566" s="7">
        <f>HYPERLINK("http://www.lingerieopt.ru/item/10537-yarkii-komplekt-belya-loraine-s-bezhevjm-kruzhevom/","10537")</f>
      </c>
      <c r="B2566" s="8" t="s">
        <v>2560</v>
      </c>
      <c r="C2566" s="9">
        <v>1782</v>
      </c>
      <c r="D2566" s="0">
        <v>5</v>
      </c>
      <c r="E2566" s="10">
        <f>HYPERLINK("http://www.lingerieopt.ru/images/original/1a14a723-5f44-4ea1-925c-47f48dacd6ff.jpg","Фото")</f>
      </c>
    </row>
    <row r="2567">
      <c r="A2567" s="7">
        <f>HYPERLINK("http://www.lingerieopt.ru/item/10537-yarkii-komplekt-belya-loraine-s-bezhevjm-kruzhevom/","10537")</f>
      </c>
      <c r="B2567" s="8" t="s">
        <v>2561</v>
      </c>
      <c r="C2567" s="9">
        <v>1782</v>
      </c>
      <c r="D2567" s="0">
        <v>4</v>
      </c>
      <c r="E2567" s="10">
        <f>HYPERLINK("http://www.lingerieopt.ru/images/original/1a14a723-5f44-4ea1-925c-47f48dacd6ff.jpg","Фото")</f>
      </c>
    </row>
    <row r="2568">
      <c r="A2568" s="7">
        <f>HYPERLINK("http://www.lingerieopt.ru/item/10538-yarkii-komplekt-belya-loraine-plus-size-s-bezhevjm-kruzhevom/","10538")</f>
      </c>
      <c r="B2568" s="8" t="s">
        <v>2562</v>
      </c>
      <c r="C2568" s="9">
        <v>1782</v>
      </c>
      <c r="D2568" s="0">
        <v>2</v>
      </c>
      <c r="E2568" s="10">
        <f>HYPERLINK("http://www.lingerieopt.ru/images/original/c38421af-ab00-458a-87ef-548cd28a6856.jpg","Фото")</f>
      </c>
    </row>
    <row r="2569">
      <c r="A2569" s="7">
        <f>HYPERLINK("http://www.lingerieopt.ru/item/10540-komplekt-belya-lotus-plus-size-iz-3-predmetov/","10540")</f>
      </c>
      <c r="B2569" s="8" t="s">
        <v>2563</v>
      </c>
      <c r="C2569" s="9">
        <v>2047</v>
      </c>
      <c r="D2569" s="0">
        <v>1</v>
      </c>
      <c r="E2569" s="10">
        <f>HYPERLINK("http://www.lingerieopt.ru/images/original/a1a69424-9407-4cb0-a3b6-1660ee8b2d29.jpg","Фото")</f>
      </c>
    </row>
    <row r="2570">
      <c r="A2570" s="7">
        <f>HYPERLINK("http://www.lingerieopt.ru/item/10540-komplekt-belya-lotus-plus-size-iz-3-predmetov/","10540")</f>
      </c>
      <c r="B2570" s="8" t="s">
        <v>2564</v>
      </c>
      <c r="C2570" s="9">
        <v>2047</v>
      </c>
      <c r="D2570" s="0">
        <v>1</v>
      </c>
      <c r="E2570" s="10">
        <f>HYPERLINK("http://www.lingerieopt.ru/images/original/a1a69424-9407-4cb0-a3b6-1660ee8b2d29.jpg","Фото")</f>
      </c>
    </row>
    <row r="2571">
      <c r="A2571" s="7">
        <f>HYPERLINK("http://www.lingerieopt.ru/item/10541-komplekt-belya-montana-plus-size-s-cvetochnjm-printom/","10541")</f>
      </c>
      <c r="B2571" s="8" t="s">
        <v>2565</v>
      </c>
      <c r="C2571" s="9">
        <v>1782</v>
      </c>
      <c r="D2571" s="0">
        <v>3</v>
      </c>
      <c r="E2571" s="10">
        <f>HYPERLINK("http://www.lingerieopt.ru/images/original/7af837d0-4304-4a4d-8dcf-8f9f7c70ee8f.jpg","Фото")</f>
      </c>
    </row>
    <row r="2572">
      <c r="A2572" s="7">
        <f>HYPERLINK("http://www.lingerieopt.ru/item/10542-elegantnji-komplekt-petra-s-melkimi-cvetochkami-na-kruzheve/","10542")</f>
      </c>
      <c r="B2572" s="8" t="s">
        <v>2566</v>
      </c>
      <c r="C2572" s="9">
        <v>1886</v>
      </c>
      <c r="D2572" s="0">
        <v>3</v>
      </c>
      <c r="E2572" s="10">
        <f>HYPERLINK("http://www.lingerieopt.ru/images/original/5fe578e3-77ff-472a-af23-38b71d3dbe8a.jpg","Фото")</f>
      </c>
    </row>
    <row r="2573">
      <c r="A2573" s="7">
        <f>HYPERLINK("http://www.lingerieopt.ru/item/10543-komplekt-belya-suelo-plus-size-s-kontrastnjm-kruzhevom/","10543")</f>
      </c>
      <c r="B2573" s="8" t="s">
        <v>2567</v>
      </c>
      <c r="C2573" s="9">
        <v>1932</v>
      </c>
      <c r="D2573" s="0">
        <v>2</v>
      </c>
      <c r="E2573" s="10">
        <f>HYPERLINK("http://www.lingerieopt.ru/images/original/96166690-64a2-4c3d-ba01-0ad061a508f5.jpg","Фото")</f>
      </c>
    </row>
    <row r="2574">
      <c r="A2574" s="7">
        <f>HYPERLINK("http://www.lingerieopt.ru/item/10551-charuyuschii-komplekt-belya-olimpia-s-otkrjtjm-lifom/","10551")</f>
      </c>
      <c r="B2574" s="8" t="s">
        <v>2568</v>
      </c>
      <c r="C2574" s="9">
        <v>1310</v>
      </c>
      <c r="D2574" s="0">
        <v>1</v>
      </c>
      <c r="E2574" s="10">
        <f>HYPERLINK("http://www.lingerieopt.ru/images/original/3726d438-3e72-4402-b943-cea936543a1a.jpg","Фото")</f>
      </c>
    </row>
    <row r="2575">
      <c r="A2575" s="7">
        <f>HYPERLINK("http://www.lingerieopt.ru/item/10551-charuyuschii-komplekt-belya-olimpia-s-otkrjtjm-lifom/","10551")</f>
      </c>
      <c r="B2575" s="8" t="s">
        <v>2569</v>
      </c>
      <c r="C2575" s="9">
        <v>1310</v>
      </c>
      <c r="D2575" s="0">
        <v>3</v>
      </c>
      <c r="E2575" s="10">
        <f>HYPERLINK("http://www.lingerieopt.ru/images/original/3726d438-3e72-4402-b943-cea936543a1a.jpg","Фото")</f>
      </c>
    </row>
    <row r="2576">
      <c r="A2576" s="7">
        <f>HYPERLINK("http://www.lingerieopt.ru/item/10557-roskoshnji-kruzhevnoi-komplekt-belya-shaquila-s-aksessuarami-dlya-lyubovnoi-igrj/","10557")</f>
      </c>
      <c r="B2576" s="8" t="s">
        <v>2570</v>
      </c>
      <c r="C2576" s="9">
        <v>2772</v>
      </c>
      <c r="D2576" s="0">
        <v>8</v>
      </c>
      <c r="E2576" s="10">
        <f>HYPERLINK("http://www.lingerieopt.ru/images/original/86c7186f-7de6-49f4-b155-7c05533e5fa5.jpg","Фото")</f>
      </c>
    </row>
    <row r="2577">
      <c r="A2577" s="7">
        <f>HYPERLINK("http://www.lingerieopt.ru/item/10557-roskoshnji-kruzhevnoi-komplekt-belya-shaquila-s-aksessuarami-dlya-lyubovnoi-igrj/","10557")</f>
      </c>
      <c r="B2577" s="8" t="s">
        <v>2571</v>
      </c>
      <c r="C2577" s="9">
        <v>2772</v>
      </c>
      <c r="D2577" s="0">
        <v>6</v>
      </c>
      <c r="E2577" s="10">
        <f>HYPERLINK("http://www.lingerieopt.ru/images/original/86c7186f-7de6-49f4-b155-7c05533e5fa5.jpg","Фото")</f>
      </c>
    </row>
    <row r="2578">
      <c r="A2578" s="7">
        <f>HYPERLINK("http://www.lingerieopt.ru/item/10568-derzkii-komplekt-belya-yvette-s-kapyushonom/","10568")</f>
      </c>
      <c r="B2578" s="8" t="s">
        <v>2572</v>
      </c>
      <c r="C2578" s="9">
        <v>1591</v>
      </c>
      <c r="D2578" s="0">
        <v>7</v>
      </c>
      <c r="E2578" s="10">
        <f>HYPERLINK("http://www.lingerieopt.ru/images/original/16db0c04-c790-41d2-9b5c-467631e0fce2.jpg","Фото")</f>
      </c>
    </row>
    <row r="2579">
      <c r="A2579" s="7">
        <f>HYPERLINK("http://www.lingerieopt.ru/item/10568-derzkii-komplekt-belya-yvette-s-kapyushonom/","10568")</f>
      </c>
      <c r="B2579" s="8" t="s">
        <v>2573</v>
      </c>
      <c r="C2579" s="9">
        <v>1591</v>
      </c>
      <c r="D2579" s="0">
        <v>9</v>
      </c>
      <c r="E2579" s="10">
        <f>HYPERLINK("http://www.lingerieopt.ru/images/original/16db0c04-c790-41d2-9b5c-467631e0fce2.jpg","Фото")</f>
      </c>
    </row>
    <row r="2580">
      <c r="A2580" s="7">
        <f>HYPERLINK("http://www.lingerieopt.ru/item/10568-derzkii-komplekt-belya-yvette-s-kapyushonom/","10568")</f>
      </c>
      <c r="B2580" s="8" t="s">
        <v>2574</v>
      </c>
      <c r="C2580" s="9">
        <v>1591</v>
      </c>
      <c r="D2580" s="0">
        <v>12</v>
      </c>
      <c r="E2580" s="10">
        <f>HYPERLINK("http://www.lingerieopt.ru/images/original/16db0c04-c790-41d2-9b5c-467631e0fce2.jpg","Фото")</f>
      </c>
    </row>
    <row r="2581">
      <c r="A2581" s="7">
        <f>HYPERLINK("http://www.lingerieopt.ru/item/10568-derzkii-komplekt-belya-yvette-s-kapyushonom/","10568")</f>
      </c>
      <c r="B2581" s="8" t="s">
        <v>2575</v>
      </c>
      <c r="C2581" s="9">
        <v>1591</v>
      </c>
      <c r="D2581" s="0">
        <v>7</v>
      </c>
      <c r="E2581" s="10">
        <f>HYPERLINK("http://www.lingerieopt.ru/images/original/16db0c04-c790-41d2-9b5c-467631e0fce2.jpg","Фото")</f>
      </c>
    </row>
    <row r="2582">
      <c r="A2582" s="7">
        <f>HYPERLINK("http://www.lingerieopt.ru/item/10570-kruzhevnoi-komplekt-belya-aryana/","10570")</f>
      </c>
      <c r="B2582" s="8" t="s">
        <v>2576</v>
      </c>
      <c r="C2582" s="9">
        <v>1533</v>
      </c>
      <c r="D2582" s="0">
        <v>8</v>
      </c>
      <c r="E2582" s="10">
        <f>HYPERLINK("http://www.lingerieopt.ru/images/original/c773c29a-38b2-425d-ab86-84f21f6a7c5c.jpg","Фото")</f>
      </c>
    </row>
    <row r="2583">
      <c r="A2583" s="7">
        <f>HYPERLINK("http://www.lingerieopt.ru/item/10570-kruzhevnoi-komplekt-belya-aryana/","10570")</f>
      </c>
      <c r="B2583" s="8" t="s">
        <v>2577</v>
      </c>
      <c r="C2583" s="9">
        <v>1533</v>
      </c>
      <c r="D2583" s="0">
        <v>10</v>
      </c>
      <c r="E2583" s="10">
        <f>HYPERLINK("http://www.lingerieopt.ru/images/original/c773c29a-38b2-425d-ab86-84f21f6a7c5c.jpg","Фото")</f>
      </c>
    </row>
    <row r="2584">
      <c r="A2584" s="7">
        <f>HYPERLINK("http://www.lingerieopt.ru/item/10578-otkrovennji-komplekt-belya-monroe-s-otkrjtoi-grudyu-i-molniei-na-trusikah/","10578")</f>
      </c>
      <c r="B2584" s="8" t="s">
        <v>2578</v>
      </c>
      <c r="C2584" s="9">
        <v>1164</v>
      </c>
      <c r="D2584" s="0">
        <v>5</v>
      </c>
      <c r="E2584" s="10">
        <f>HYPERLINK("http://www.lingerieopt.ru/images/original/d887f56d-3cb8-44a4-a6ba-1658b25c6b96.jpg","Фото")</f>
      </c>
    </row>
    <row r="2585">
      <c r="A2585" s="7">
        <f>HYPERLINK("http://www.lingerieopt.ru/item/10578-otkrovennji-komplekt-belya-monroe-s-otkrjtoi-grudyu-i-molniei-na-trusikah/","10578")</f>
      </c>
      <c r="B2585" s="8" t="s">
        <v>2579</v>
      </c>
      <c r="C2585" s="9">
        <v>1164</v>
      </c>
      <c r="D2585" s="0">
        <v>4</v>
      </c>
      <c r="E2585" s="10">
        <f>HYPERLINK("http://www.lingerieopt.ru/images/original/d887f56d-3cb8-44a4-a6ba-1658b25c6b96.jpg","Фото")</f>
      </c>
    </row>
    <row r="2586">
      <c r="A2586" s="7">
        <f>HYPERLINK("http://www.lingerieopt.ru/item/10578-otkrovennji-komplekt-belya-monroe-s-otkrjtoi-grudyu-i-molniei-na-trusikah/","10578")</f>
      </c>
      <c r="B2586" s="8" t="s">
        <v>2580</v>
      </c>
      <c r="C2586" s="9">
        <v>1164</v>
      </c>
      <c r="D2586" s="0">
        <v>5</v>
      </c>
      <c r="E2586" s="10">
        <f>HYPERLINK("http://www.lingerieopt.ru/images/original/d887f56d-3cb8-44a4-a6ba-1658b25c6b96.jpg","Фото")</f>
      </c>
    </row>
    <row r="2587">
      <c r="A2587" s="7">
        <f>HYPERLINK("http://www.lingerieopt.ru/item/10578-otkrovennji-komplekt-belya-monroe-s-otkrjtoi-grudyu-i-molniei-na-trusikah/","10578")</f>
      </c>
      <c r="B2587" s="8" t="s">
        <v>2581</v>
      </c>
      <c r="C2587" s="9">
        <v>1164</v>
      </c>
      <c r="D2587" s="0">
        <v>5</v>
      </c>
      <c r="E2587" s="10">
        <f>HYPERLINK("http://www.lingerieopt.ru/images/original/d887f56d-3cb8-44a4-a6ba-1658b25c6b96.jpg","Фото")</f>
      </c>
    </row>
    <row r="2588">
      <c r="A2588" s="7">
        <f>HYPERLINK("http://www.lingerieopt.ru/item/10578-otkrovennji-komplekt-belya-monroe-s-otkrjtoi-grudyu-i-molniei-na-trusikah/","10578")</f>
      </c>
      <c r="B2588" s="8" t="s">
        <v>2582</v>
      </c>
      <c r="C2588" s="9">
        <v>1164</v>
      </c>
      <c r="D2588" s="0">
        <v>5</v>
      </c>
      <c r="E2588" s="10">
        <f>HYPERLINK("http://www.lingerieopt.ru/images/original/d887f56d-3cb8-44a4-a6ba-1658b25c6b96.jpg","Фото")</f>
      </c>
    </row>
    <row r="2589">
      <c r="A2589" s="7">
        <f>HYPERLINK("http://www.lingerieopt.ru/item/10578-otkrovennji-komplekt-belya-monroe-s-otkrjtoi-grudyu-i-molniei-na-trusikah/","10578")</f>
      </c>
      <c r="B2589" s="8" t="s">
        <v>2583</v>
      </c>
      <c r="C2589" s="9">
        <v>1164</v>
      </c>
      <c r="D2589" s="0">
        <v>4</v>
      </c>
      <c r="E2589" s="10">
        <f>HYPERLINK("http://www.lingerieopt.ru/images/original/d887f56d-3cb8-44a4-a6ba-1658b25c6b96.jpg","Фото")</f>
      </c>
    </row>
    <row r="2590">
      <c r="A2590" s="7">
        <f>HYPERLINK("http://www.lingerieopt.ru/item/10579-otkrovennji-komplekt-monroe-plus-size-s-otkrjtoi-grudyu-i-molniei-na-trusikah/","10579")</f>
      </c>
      <c r="B2590" s="8" t="s">
        <v>2584</v>
      </c>
      <c r="C2590" s="9">
        <v>1164</v>
      </c>
      <c r="D2590" s="0">
        <v>2</v>
      </c>
      <c r="E2590" s="10">
        <f>HYPERLINK("http://www.lingerieopt.ru/images/original/054ed566-a83d-493e-af57-11ab9a00ef26.jpg","Фото")</f>
      </c>
    </row>
    <row r="2591">
      <c r="A2591" s="7">
        <f>HYPERLINK("http://www.lingerieopt.ru/item/10579-otkrovennji-komplekt-monroe-plus-size-s-otkrjtoi-grudyu-i-molniei-na-trusikah/","10579")</f>
      </c>
      <c r="B2591" s="8" t="s">
        <v>2585</v>
      </c>
      <c r="C2591" s="9">
        <v>1164</v>
      </c>
      <c r="D2591" s="0">
        <v>2</v>
      </c>
      <c r="E2591" s="10">
        <f>HYPERLINK("http://www.lingerieopt.ru/images/original/054ed566-a83d-493e-af57-11ab9a00ef26.jpg","Фото")</f>
      </c>
    </row>
    <row r="2592">
      <c r="A2592" s="7">
        <f>HYPERLINK("http://www.lingerieopt.ru/item/10579-otkrovennji-komplekt-monroe-plus-size-s-otkrjtoi-grudyu-i-molniei-na-trusikah/","10579")</f>
      </c>
      <c r="B2592" s="8" t="s">
        <v>2586</v>
      </c>
      <c r="C2592" s="9">
        <v>1164</v>
      </c>
      <c r="D2592" s="0">
        <v>4</v>
      </c>
      <c r="E2592" s="10">
        <f>HYPERLINK("http://www.lingerieopt.ru/images/original/054ed566-a83d-493e-af57-11ab9a00ef26.jpg","Фото")</f>
      </c>
    </row>
    <row r="2593">
      <c r="A2593" s="7">
        <f>HYPERLINK("http://www.lingerieopt.ru/item/10588-ultra-soblaznitelnji-komplekt-belya-arietta-plus-size-s-prozrachnjmi-vstavkami/","10588")</f>
      </c>
      <c r="B2593" s="8" t="s">
        <v>2587</v>
      </c>
      <c r="C2593" s="9">
        <v>1255</v>
      </c>
      <c r="D2593" s="0">
        <v>1</v>
      </c>
      <c r="E2593" s="10">
        <f>HYPERLINK("http://www.lingerieopt.ru/images/original/45a8d9c8-428f-4f2a-b600-41902d5763c0.jpg","Фото")</f>
      </c>
    </row>
    <row r="2594">
      <c r="A2594" s="7">
        <f>HYPERLINK("http://www.lingerieopt.ru/item/10590-provokacionnji-komplekt-belya-s-bantikami-laura/","10590")</f>
      </c>
      <c r="B2594" s="8" t="s">
        <v>2588</v>
      </c>
      <c r="C2594" s="9">
        <v>1299</v>
      </c>
      <c r="D2594" s="0">
        <v>4</v>
      </c>
      <c r="E2594" s="10">
        <f>HYPERLINK("http://www.lingerieopt.ru/images/original/11c69b58-0651-48b0-8f2d-aa99b2cd9c79.jpg","Фото")</f>
      </c>
    </row>
    <row r="2595">
      <c r="A2595" s="7">
        <f>HYPERLINK("http://www.lingerieopt.ru/item/10590-provokacionnji-komplekt-belya-s-bantikami-laura/","10590")</f>
      </c>
      <c r="B2595" s="8" t="s">
        <v>2589</v>
      </c>
      <c r="C2595" s="9">
        <v>1299</v>
      </c>
      <c r="D2595" s="0">
        <v>0</v>
      </c>
      <c r="E2595" s="10">
        <f>HYPERLINK("http://www.lingerieopt.ru/images/original/11c69b58-0651-48b0-8f2d-aa99b2cd9c79.jpg","Фото")</f>
      </c>
    </row>
    <row r="2596">
      <c r="A2596" s="7">
        <f>HYPERLINK("http://www.lingerieopt.ru/item/10633-otkrjtji-strep-komplekt-valentina-plus-size-s-bantom-na-life/","10633")</f>
      </c>
      <c r="B2596" s="8" t="s">
        <v>2590</v>
      </c>
      <c r="C2596" s="9">
        <v>1044</v>
      </c>
      <c r="D2596" s="0">
        <v>3</v>
      </c>
      <c r="E2596" s="10">
        <f>HYPERLINK("http://www.lingerieopt.ru/images/original/c1b96122-0f36-43b8-b3d5-e97dcffeb2b4.jpg","Фото")</f>
      </c>
    </row>
    <row r="2597">
      <c r="A2597" s="7">
        <f>HYPERLINK("http://www.lingerieopt.ru/item/10639-originalnji-komplekt-tess-plus-size/","10639")</f>
      </c>
      <c r="B2597" s="8" t="s">
        <v>2591</v>
      </c>
      <c r="C2597" s="9">
        <v>1720</v>
      </c>
      <c r="D2597" s="0">
        <v>2</v>
      </c>
      <c r="E2597" s="10">
        <f>HYPERLINK("http://www.lingerieopt.ru/images/original/57a1936e-f701-4ff6-a5a4-b45b7273b732.jpg","Фото")</f>
      </c>
    </row>
    <row r="2598">
      <c r="A2598" s="7">
        <f>HYPERLINK("http://www.lingerieopt.ru/item/10667-otkrovennji-komplekt-nizhnego-belya-rita-s-otkrjtjm-lifom/","10667")</f>
      </c>
      <c r="B2598" s="8" t="s">
        <v>2592</v>
      </c>
      <c r="C2598" s="9">
        <v>1044</v>
      </c>
      <c r="D2598" s="0">
        <v>5</v>
      </c>
      <c r="E2598" s="10">
        <f>HYPERLINK("http://www.lingerieopt.ru/images/original/972580c2-d6f7-4e25-aafb-107b57b840a1.jpg","Фото")</f>
      </c>
    </row>
    <row r="2599">
      <c r="A2599" s="7">
        <f>HYPERLINK("http://www.lingerieopt.ru/item/10667-otkrovennji-komplekt-nizhnego-belya-rita-s-otkrjtjm-lifom/","10667")</f>
      </c>
      <c r="B2599" s="8" t="s">
        <v>2593</v>
      </c>
      <c r="C2599" s="9">
        <v>1044</v>
      </c>
      <c r="D2599" s="0">
        <v>1</v>
      </c>
      <c r="E2599" s="10">
        <f>HYPERLINK("http://www.lingerieopt.ru/images/original/972580c2-d6f7-4e25-aafb-107b57b840a1.jpg","Фото")</f>
      </c>
    </row>
    <row r="2600">
      <c r="A2600" s="7">
        <f>HYPERLINK("http://www.lingerieopt.ru/item/10719-kruzhevnoi-komplekt-belya-ida-bralett-i-trusj-uvertj/","10719")</f>
      </c>
      <c r="B2600" s="8" t="s">
        <v>2594</v>
      </c>
      <c r="C2600" s="9">
        <v>1632</v>
      </c>
      <c r="D2600" s="0">
        <v>1</v>
      </c>
      <c r="E2600" s="10">
        <f>HYPERLINK("http://www.lingerieopt.ru/images/original/44be14e5-b236-4756-9b43-8fd011c01e3a.jpg","Фото")</f>
      </c>
    </row>
    <row r="2601">
      <c r="A2601" s="7">
        <f>HYPERLINK("http://www.lingerieopt.ru/item/10719-kruzhevnoi-komplekt-belya-ida-bralett-i-trusj-uvertj/","10719")</f>
      </c>
      <c r="B2601" s="8" t="s">
        <v>2595</v>
      </c>
      <c r="C2601" s="9">
        <v>1632</v>
      </c>
      <c r="D2601" s="0">
        <v>0</v>
      </c>
      <c r="E2601" s="10">
        <f>HYPERLINK("http://www.lingerieopt.ru/images/original/44be14e5-b236-4756-9b43-8fd011c01e3a.jpg","Фото")</f>
      </c>
    </row>
    <row r="2602">
      <c r="A2602" s="7">
        <f>HYPERLINK("http://www.lingerieopt.ru/item/10720-kruzhevnoi-komplekt-nizhnego-belya-suzi/","10720")</f>
      </c>
      <c r="B2602" s="8" t="s">
        <v>2596</v>
      </c>
      <c r="C2602" s="9">
        <v>1826</v>
      </c>
      <c r="D2602" s="0">
        <v>2</v>
      </c>
      <c r="E2602" s="10">
        <f>HYPERLINK("http://www.lingerieopt.ru/images/original/005a3236-4a23-4e0e-b9bb-a311a84605b8.jpg","Фото")</f>
      </c>
    </row>
    <row r="2603">
      <c r="A2603" s="7">
        <f>HYPERLINK("http://www.lingerieopt.ru/item/10720-kruzhevnoi-komplekt-nizhnego-belya-suzi/","10720")</f>
      </c>
      <c r="B2603" s="8" t="s">
        <v>2597</v>
      </c>
      <c r="C2603" s="9">
        <v>1826</v>
      </c>
      <c r="D2603" s="0">
        <v>2</v>
      </c>
      <c r="E2603" s="10">
        <f>HYPERLINK("http://www.lingerieopt.ru/images/original/005a3236-4a23-4e0e-b9bb-a311a84605b8.jpg","Фото")</f>
      </c>
    </row>
    <row r="2604">
      <c r="A2604" s="7">
        <f>HYPERLINK("http://www.lingerieopt.ru/item/10777-chuvstvennji-kruzhevnoi-komplekt-belya-marilyn/","10777")</f>
      </c>
      <c r="B2604" s="8" t="s">
        <v>2598</v>
      </c>
      <c r="C2604" s="9">
        <v>2012</v>
      </c>
      <c r="D2604" s="0">
        <v>15</v>
      </c>
      <c r="E2604" s="10">
        <f>HYPERLINK("http://www.lingerieopt.ru/images/original/a28bb9ad-c0a8-471a-8fb2-f7c902d50be6.jpg","Фото")</f>
      </c>
    </row>
    <row r="2605">
      <c r="A2605" s="7">
        <f>HYPERLINK("http://www.lingerieopt.ru/item/10777-chuvstvennji-kruzhevnoi-komplekt-belya-marilyn/","10777")</f>
      </c>
      <c r="B2605" s="8" t="s">
        <v>2599</v>
      </c>
      <c r="C2605" s="9">
        <v>2012</v>
      </c>
      <c r="D2605" s="0">
        <v>8</v>
      </c>
      <c r="E2605" s="10">
        <f>HYPERLINK("http://www.lingerieopt.ru/images/original/a28bb9ad-c0a8-471a-8fb2-f7c902d50be6.jpg","Фото")</f>
      </c>
    </row>
    <row r="2606">
      <c r="A2606" s="7">
        <f>HYPERLINK("http://www.lingerieopt.ru/item/10778-kruzhevnoi-komplekt-nizhnego-belya-belinda/","10778")</f>
      </c>
      <c r="B2606" s="8" t="s">
        <v>2600</v>
      </c>
      <c r="C2606" s="9">
        <v>2288</v>
      </c>
      <c r="D2606" s="0">
        <v>8</v>
      </c>
      <c r="E2606" s="10">
        <f>HYPERLINK("http://www.lingerieopt.ru/images/original/6c1a64f5-69d0-4ceb-959f-23401bba63c3.jpg","Фото")</f>
      </c>
    </row>
    <row r="2607">
      <c r="A2607" s="7">
        <f>HYPERLINK("http://www.lingerieopt.ru/item/10778-kruzhevnoi-komplekt-nizhnego-belya-belinda/","10778")</f>
      </c>
      <c r="B2607" s="8" t="s">
        <v>2601</v>
      </c>
      <c r="C2607" s="9">
        <v>2288</v>
      </c>
      <c r="D2607" s="0">
        <v>12</v>
      </c>
      <c r="E2607" s="10">
        <f>HYPERLINK("http://www.lingerieopt.ru/images/original/6c1a64f5-69d0-4ceb-959f-23401bba63c3.jpg","Фото")</f>
      </c>
    </row>
    <row r="2608">
      <c r="A2608" s="7">
        <f>HYPERLINK("http://www.lingerieopt.ru/item/10820-igrivji-komplekt-belya-s-otkrjtjmi-szadi-trusikami/","10820")</f>
      </c>
      <c r="B2608" s="8" t="s">
        <v>2602</v>
      </c>
      <c r="C2608" s="9">
        <v>1190</v>
      </c>
      <c r="D2608" s="0">
        <v>26</v>
      </c>
      <c r="E2608" s="10">
        <f>HYPERLINK("http://www.lingerieopt.ru/images/original/98d979c2-a022-4385-8214-e204635680ba.jpg","Фото")</f>
      </c>
    </row>
    <row r="2609">
      <c r="A2609" s="7">
        <f>HYPERLINK("http://www.lingerieopt.ru/item/10827-nezhnji-komplekt-nizhnego-belya-s-poluprozrachnjmi-detalyami/","10827")</f>
      </c>
      <c r="B2609" s="8" t="s">
        <v>2603</v>
      </c>
      <c r="C2609" s="9">
        <v>1603</v>
      </c>
      <c r="D2609" s="0">
        <v>1</v>
      </c>
      <c r="E2609" s="10">
        <f>HYPERLINK("http://www.lingerieopt.ru/images/original/9854d12f-d2d0-46a6-98d2-96dc781655c6.jpg","Фото")</f>
      </c>
    </row>
    <row r="2610">
      <c r="A2610" s="7">
        <f>HYPERLINK("http://www.lingerieopt.ru/item/10827-nezhnji-komplekt-nizhnego-belya-s-poluprozrachnjmi-detalyami/","10827")</f>
      </c>
      <c r="B2610" s="8" t="s">
        <v>2604</v>
      </c>
      <c r="C2610" s="9">
        <v>1603</v>
      </c>
      <c r="D2610" s="0">
        <v>3</v>
      </c>
      <c r="E2610" s="10">
        <f>HYPERLINK("http://www.lingerieopt.ru/images/original/9854d12f-d2d0-46a6-98d2-96dc781655c6.jpg","Фото")</f>
      </c>
    </row>
    <row r="2611">
      <c r="A2611" s="7">
        <f>HYPERLINK("http://www.lingerieopt.ru/item/10843-voshititelnji-komplekt-belya-iz-3-predmetov-s-malinovjm-kruzhevom/","10843")</f>
      </c>
      <c r="B2611" s="8" t="s">
        <v>2605</v>
      </c>
      <c r="C2611" s="9">
        <v>1523</v>
      </c>
      <c r="D2611" s="0">
        <v>3</v>
      </c>
      <c r="E2611" s="10">
        <f>HYPERLINK("http://www.lingerieopt.ru/images/original/8a0c56b3-6b13-4287-821c-668b832b2d30.jpg","Фото")</f>
      </c>
    </row>
    <row r="2612">
      <c r="A2612" s="7">
        <f>HYPERLINK("http://www.lingerieopt.ru/item/10843-voshititelnji-komplekt-belya-iz-3-predmetov-s-malinovjm-kruzhevom/","10843")</f>
      </c>
      <c r="B2612" s="8" t="s">
        <v>2606</v>
      </c>
      <c r="C2612" s="9">
        <v>1523</v>
      </c>
      <c r="D2612" s="0">
        <v>10</v>
      </c>
      <c r="E2612" s="10">
        <f>HYPERLINK("http://www.lingerieopt.ru/images/original/8a0c56b3-6b13-4287-821c-668b832b2d30.jpg","Фото")</f>
      </c>
    </row>
    <row r="2613">
      <c r="A2613" s="7">
        <f>HYPERLINK("http://www.lingerieopt.ru/item/10844-yarkii-komplekt-nizhnego-belya-s-malinovjm-kruzhevom/","10844")</f>
      </c>
      <c r="B2613" s="8" t="s">
        <v>2607</v>
      </c>
      <c r="C2613" s="9">
        <v>1334</v>
      </c>
      <c r="D2613" s="0">
        <v>8</v>
      </c>
      <c r="E2613" s="10">
        <f>HYPERLINK("http://www.lingerieopt.ru/images/original/6362fe22-c4b4-4387-aa34-1b4b1ef05723.jpg","Фото")</f>
      </c>
    </row>
    <row r="2614">
      <c r="A2614" s="7">
        <f>HYPERLINK("http://www.lingerieopt.ru/item/10844-yarkii-komplekt-nizhnego-belya-s-malinovjm-kruzhevom/","10844")</f>
      </c>
      <c r="B2614" s="8" t="s">
        <v>2608</v>
      </c>
      <c r="C2614" s="9">
        <v>1334</v>
      </c>
      <c r="D2614" s="0">
        <v>7</v>
      </c>
      <c r="E2614" s="10">
        <f>HYPERLINK("http://www.lingerieopt.ru/images/original/6362fe22-c4b4-4387-aa34-1b4b1ef05723.jpg","Фото")</f>
      </c>
    </row>
    <row r="2615">
      <c r="A2615" s="7">
        <f>HYPERLINK("http://www.lingerieopt.ru/item/10885-roskoshnji-komplekt-belya-floris-s-dvuhcvetnjm-kruzhevom/","10885")</f>
      </c>
      <c r="B2615" s="8" t="s">
        <v>2609</v>
      </c>
      <c r="C2615" s="9">
        <v>1852</v>
      </c>
      <c r="D2615" s="0">
        <v>8</v>
      </c>
      <c r="E2615" s="10">
        <f>HYPERLINK("http://www.lingerieopt.ru/images/original/60100629-930b-47e5-a475-d691cc18ef3a.jpg","Фото")</f>
      </c>
    </row>
    <row r="2616">
      <c r="A2616" s="7">
        <f>HYPERLINK("http://www.lingerieopt.ru/item/10885-roskoshnji-komplekt-belya-floris-s-dvuhcvetnjm-kruzhevom/","10885")</f>
      </c>
      <c r="B2616" s="8" t="s">
        <v>2610</v>
      </c>
      <c r="C2616" s="9">
        <v>1852</v>
      </c>
      <c r="D2616" s="0">
        <v>9</v>
      </c>
      <c r="E2616" s="10">
        <f>HYPERLINK("http://www.lingerieopt.ru/images/original/60100629-930b-47e5-a475-d691cc18ef3a.jpg","Фото")</f>
      </c>
    </row>
    <row r="2617">
      <c r="A2617" s="7">
        <f>HYPERLINK("http://www.lingerieopt.ru/item/10886-roskoshnji-komplekt-belya-floris-plus-size-s-dvuhcvetnjm-kruzhevom/","10886")</f>
      </c>
      <c r="B2617" s="8" t="s">
        <v>2611</v>
      </c>
      <c r="C2617" s="9">
        <v>1852</v>
      </c>
      <c r="D2617" s="0">
        <v>2</v>
      </c>
      <c r="E2617" s="10">
        <f>HYPERLINK("http://www.lingerieopt.ru/images/original/846df541-4a45-449c-8eb9-e69d7f621bb2.jpg","Фото")</f>
      </c>
    </row>
    <row r="2618">
      <c r="A2618" s="7">
        <f>HYPERLINK("http://www.lingerieopt.ru/item/10891-chuvstvennji-komplekt-belya-hagar-so-strep-lentami/","10891")</f>
      </c>
      <c r="B2618" s="8" t="s">
        <v>2612</v>
      </c>
      <c r="C2618" s="9">
        <v>1615</v>
      </c>
      <c r="D2618" s="0">
        <v>2</v>
      </c>
      <c r="E2618" s="10">
        <f>HYPERLINK("http://www.lingerieopt.ru/images/original/b38a2d61-47b7-46c0-be0f-fbe98bf37f70.jpg","Фото")</f>
      </c>
    </row>
    <row r="2619">
      <c r="A2619" s="7">
        <f>HYPERLINK("http://www.lingerieopt.ru/item/10891-chuvstvennji-komplekt-belya-hagar-so-strep-lentami/","10891")</f>
      </c>
      <c r="B2619" s="8" t="s">
        <v>2613</v>
      </c>
      <c r="C2619" s="9">
        <v>1615</v>
      </c>
      <c r="D2619" s="0">
        <v>30</v>
      </c>
      <c r="E2619" s="10">
        <f>HYPERLINK("http://www.lingerieopt.ru/images/original/b38a2d61-47b7-46c0-be0f-fbe98bf37f70.jpg","Фото")</f>
      </c>
    </row>
    <row r="2620">
      <c r="A2620" s="7">
        <f>HYPERLINK("http://www.lingerieopt.ru/item/10892-chuvstvennji-komplekt-belya-hagar-plus-size-so-strep-lentami/","10892")</f>
      </c>
      <c r="B2620" s="8" t="s">
        <v>2614</v>
      </c>
      <c r="C2620" s="9">
        <v>1615</v>
      </c>
      <c r="D2620" s="0">
        <v>7</v>
      </c>
      <c r="E2620" s="10">
        <f>HYPERLINK("http://www.lingerieopt.ru/images/original/4eb8cf50-dec9-44bf-9e28-a14392ba208b.jpg","Фото")</f>
      </c>
    </row>
    <row r="2621">
      <c r="A2621" s="7">
        <f>HYPERLINK("http://www.lingerieopt.ru/item/10893-interesnji-komplekt-belya-helia-s-shirokimi-plotnjmi-bretelyami/","10893")</f>
      </c>
      <c r="B2621" s="8" t="s">
        <v>2615</v>
      </c>
      <c r="C2621" s="9">
        <v>1638</v>
      </c>
      <c r="D2621" s="0">
        <v>5</v>
      </c>
      <c r="E2621" s="10">
        <f>HYPERLINK("http://www.lingerieopt.ru/images/original/b7712016-36c7-4f1d-8116-625d9785ebab.jpg","Фото")</f>
      </c>
    </row>
    <row r="2622">
      <c r="A2622" s="7">
        <f>HYPERLINK("http://www.lingerieopt.ru/item/10893-interesnji-komplekt-belya-helia-s-shirokimi-plotnjmi-bretelyami/","10893")</f>
      </c>
      <c r="B2622" s="8" t="s">
        <v>2616</v>
      </c>
      <c r="C2622" s="9">
        <v>1638</v>
      </c>
      <c r="D2622" s="0">
        <v>6</v>
      </c>
      <c r="E2622" s="10">
        <f>HYPERLINK("http://www.lingerieopt.ru/images/original/b7712016-36c7-4f1d-8116-625d9785ebab.jpg","Фото")</f>
      </c>
    </row>
    <row r="2623">
      <c r="A2623" s="7">
        <f>HYPERLINK("http://www.lingerieopt.ru/item/10894-interesnji-komplekt-belya-helia-plus-size-s-shirokimi-plotnjmi-bretelyami/","10894")</f>
      </c>
      <c r="B2623" s="8" t="s">
        <v>2617</v>
      </c>
      <c r="C2623" s="9">
        <v>1638</v>
      </c>
      <c r="D2623" s="0">
        <v>2</v>
      </c>
      <c r="E2623" s="10">
        <f>HYPERLINK("http://www.lingerieopt.ru/images/original/85fa50c0-9d2c-4948-acec-16d7dc277a32.jpg","Фото")</f>
      </c>
    </row>
    <row r="2624">
      <c r="A2624" s="7">
        <f>HYPERLINK("http://www.lingerieopt.ru/item/10899-pikantnji-komplekt-belya-hera-s-otkrjtjm-lifom-i-kolechkami-poverh-soskov/","10899")</f>
      </c>
      <c r="B2624" s="8" t="s">
        <v>2618</v>
      </c>
      <c r="C2624" s="9">
        <v>1556</v>
      </c>
      <c r="D2624" s="0">
        <v>7</v>
      </c>
      <c r="E2624" s="10">
        <f>HYPERLINK("http://www.lingerieopt.ru/images/original/db708d04-39d8-4986-8140-633e7d9aa686.jpg","Фото")</f>
      </c>
    </row>
    <row r="2625">
      <c r="A2625" s="7">
        <f>HYPERLINK("http://www.lingerieopt.ru/item/10899-pikantnji-komplekt-belya-hera-s-otkrjtjm-lifom-i-kolechkami-poverh-soskov/","10899")</f>
      </c>
      <c r="B2625" s="8" t="s">
        <v>2619</v>
      </c>
      <c r="C2625" s="9">
        <v>1556</v>
      </c>
      <c r="D2625" s="0">
        <v>12</v>
      </c>
      <c r="E2625" s="10">
        <f>HYPERLINK("http://www.lingerieopt.ru/images/original/db708d04-39d8-4986-8140-633e7d9aa686.jpg","Фото")</f>
      </c>
    </row>
    <row r="2626">
      <c r="A2626" s="7">
        <f>HYPERLINK("http://www.lingerieopt.ru/item/10899-pikantnji-komplekt-belya-hera-s-otkrjtjm-lifom-i-kolechkami-poverh-soskov/","10899")</f>
      </c>
      <c r="B2626" s="8" t="s">
        <v>2620</v>
      </c>
      <c r="C2626" s="9">
        <v>1556</v>
      </c>
      <c r="D2626" s="0">
        <v>6</v>
      </c>
      <c r="E2626" s="10">
        <f>HYPERLINK("http://www.lingerieopt.ru/images/original/db708d04-39d8-4986-8140-633e7d9aa686.jpg","Фото")</f>
      </c>
    </row>
    <row r="2627">
      <c r="A2627" s="7">
        <f>HYPERLINK("http://www.lingerieopt.ru/item/10899-pikantnji-komplekt-belya-hera-s-otkrjtjm-lifom-i-kolechkami-poverh-soskov/","10899")</f>
      </c>
      <c r="B2627" s="8" t="s">
        <v>2621</v>
      </c>
      <c r="C2627" s="9">
        <v>1556</v>
      </c>
      <c r="D2627" s="0">
        <v>7</v>
      </c>
      <c r="E2627" s="10">
        <f>HYPERLINK("http://www.lingerieopt.ru/images/original/db708d04-39d8-4986-8140-633e7d9aa686.jpg","Фото")</f>
      </c>
    </row>
    <row r="2628">
      <c r="A2628" s="7">
        <f>HYPERLINK("http://www.lingerieopt.ru/item/10900-pikantnji-komplekt-belya-hera-plus-size-s-otkrjtjm-lifom-i-kolechkami-poverh-soskov/","10900")</f>
      </c>
      <c r="B2628" s="8" t="s">
        <v>2622</v>
      </c>
      <c r="C2628" s="9">
        <v>1556</v>
      </c>
      <c r="D2628" s="0">
        <v>4</v>
      </c>
      <c r="E2628" s="10">
        <f>HYPERLINK("http://www.lingerieopt.ru/images/original/9787c21f-c4d0-4374-a765-61142a7cbb05.jpg","Фото")</f>
      </c>
    </row>
    <row r="2629">
      <c r="A2629" s="7">
        <f>HYPERLINK("http://www.lingerieopt.ru/item/10900-pikantnji-komplekt-belya-hera-plus-size-s-otkrjtjm-lifom-i-kolechkami-poverh-soskov/","10900")</f>
      </c>
      <c r="B2629" s="8" t="s">
        <v>2623</v>
      </c>
      <c r="C2629" s="9">
        <v>1556</v>
      </c>
      <c r="D2629" s="0">
        <v>3</v>
      </c>
      <c r="E2629" s="10">
        <f>HYPERLINK("http://www.lingerieopt.ru/images/original/9787c21f-c4d0-4374-a765-61142a7cbb05.jpg","Фото")</f>
      </c>
    </row>
    <row r="2630">
      <c r="A2630" s="7">
        <f>HYPERLINK("http://www.lingerieopt.ru/item/10922-shikarnji-komplekt-belya-alcyone-plus-size-iz-cvetochnogo-kruzheva/","10922")</f>
      </c>
      <c r="B2630" s="8" t="s">
        <v>2624</v>
      </c>
      <c r="C2630" s="9">
        <v>697</v>
      </c>
      <c r="D2630" s="0">
        <v>4</v>
      </c>
      <c r="E2630" s="10">
        <f>HYPERLINK("http://www.lingerieopt.ru/images/original/90990d32-10e3-4860-9bfc-e6ca97f0608b.jpg","Фото")</f>
      </c>
    </row>
    <row r="2631">
      <c r="A2631" s="7">
        <f>HYPERLINK("http://www.lingerieopt.ru/item/10922-shikarnji-komplekt-belya-alcyone-plus-size-iz-cvetochnogo-kruzheva/","10922")</f>
      </c>
      <c r="B2631" s="8" t="s">
        <v>2625</v>
      </c>
      <c r="C2631" s="9">
        <v>697</v>
      </c>
      <c r="D2631" s="0">
        <v>4</v>
      </c>
      <c r="E2631" s="10">
        <f>HYPERLINK("http://www.lingerieopt.ru/images/original/90990d32-10e3-4860-9bfc-e6ca97f0608b.jpg","Фото")</f>
      </c>
    </row>
    <row r="2632">
      <c r="A2632" s="7">
        <f>HYPERLINK("http://www.lingerieopt.ru/item/10923-shikarnji-komplekt-belya-alcyone-iz-cvetochnogo-kruzheva/","10923")</f>
      </c>
      <c r="B2632" s="8" t="s">
        <v>2626</v>
      </c>
      <c r="C2632" s="9">
        <v>697</v>
      </c>
      <c r="D2632" s="0">
        <v>0</v>
      </c>
      <c r="E2632" s="10">
        <f>HYPERLINK("http://www.lingerieopt.ru/images/original/877fee7f-beed-4cdb-989f-6fca440d262b.jpg","Фото")</f>
      </c>
    </row>
    <row r="2633">
      <c r="A2633" s="7">
        <f>HYPERLINK("http://www.lingerieopt.ru/item/10923-shikarnji-komplekt-belya-alcyone-iz-cvetochnogo-kruzheva/","10923")</f>
      </c>
      <c r="B2633" s="8" t="s">
        <v>2627</v>
      </c>
      <c r="C2633" s="9">
        <v>697</v>
      </c>
      <c r="D2633" s="0">
        <v>5</v>
      </c>
      <c r="E2633" s="10">
        <f>HYPERLINK("http://www.lingerieopt.ru/images/original/877fee7f-beed-4cdb-989f-6fca440d262b.jpg","Фото")</f>
      </c>
    </row>
    <row r="2634">
      <c r="A2634" s="7">
        <f>HYPERLINK("http://www.lingerieopt.ru/item/10923-shikarnji-komplekt-belya-alcyone-iz-cvetochnogo-kruzheva/","10923")</f>
      </c>
      <c r="B2634" s="8" t="s">
        <v>2628</v>
      </c>
      <c r="C2634" s="9">
        <v>697</v>
      </c>
      <c r="D2634" s="0">
        <v>3</v>
      </c>
      <c r="E2634" s="10">
        <f>HYPERLINK("http://www.lingerieopt.ru/images/original/877fee7f-beed-4cdb-989f-6fca440d262b.jpg","Фото")</f>
      </c>
    </row>
    <row r="2635">
      <c r="A2635" s="7">
        <f>HYPERLINK("http://www.lingerieopt.ru/item/10923-shikarnji-komplekt-belya-alcyone-iz-cvetochnogo-kruzheva/","10923")</f>
      </c>
      <c r="B2635" s="8" t="s">
        <v>2629</v>
      </c>
      <c r="C2635" s="9">
        <v>697</v>
      </c>
      <c r="D2635" s="0">
        <v>5</v>
      </c>
      <c r="E2635" s="10">
        <f>HYPERLINK("http://www.lingerieopt.ru/images/original/877fee7f-beed-4cdb-989f-6fca440d262b.jpg","Фото")</f>
      </c>
    </row>
    <row r="2636">
      <c r="A2636" s="7">
        <f>HYPERLINK("http://www.lingerieopt.ru/item/10924-komplekt-belya-kyane-plus-size-so-strazami/","10924")</f>
      </c>
      <c r="B2636" s="8" t="s">
        <v>2630</v>
      </c>
      <c r="C2636" s="9">
        <v>1279</v>
      </c>
      <c r="D2636" s="0">
        <v>5</v>
      </c>
      <c r="E2636" s="10">
        <f>HYPERLINK("http://www.lingerieopt.ru/images/original/fdba089b-cf49-46e8-b9c9-aebfe226ab3c.jpg","Фото")</f>
      </c>
    </row>
    <row r="2637">
      <c r="A2637" s="7">
        <f>HYPERLINK("http://www.lingerieopt.ru/item/10924-komplekt-belya-kyane-plus-size-so-strazami/","10924")</f>
      </c>
      <c r="B2637" s="8" t="s">
        <v>2631</v>
      </c>
      <c r="C2637" s="9">
        <v>1279</v>
      </c>
      <c r="D2637" s="0">
        <v>3</v>
      </c>
      <c r="E2637" s="10">
        <f>HYPERLINK("http://www.lingerieopt.ru/images/original/fdba089b-cf49-46e8-b9c9-aebfe226ab3c.jpg","Фото")</f>
      </c>
    </row>
    <row r="2638">
      <c r="A2638" s="7">
        <f>HYPERLINK("http://www.lingerieopt.ru/item/10925-eroticheskii-komplekt-belya-kyane-so-strazami/","10925")</f>
      </c>
      <c r="B2638" s="8" t="s">
        <v>2632</v>
      </c>
      <c r="C2638" s="9">
        <v>1279</v>
      </c>
      <c r="D2638" s="0">
        <v>5</v>
      </c>
      <c r="E2638" s="10">
        <f>HYPERLINK("http://www.lingerieopt.ru/images/original/12ce01a6-54bf-4c28-b3a0-7c9831f59400.jpg","Фото")</f>
      </c>
    </row>
    <row r="2639">
      <c r="A2639" s="7">
        <f>HYPERLINK("http://www.lingerieopt.ru/item/10925-eroticheskii-komplekt-belya-kyane-so-strazami/","10925")</f>
      </c>
      <c r="B2639" s="8" t="s">
        <v>2633</v>
      </c>
      <c r="C2639" s="9">
        <v>1279</v>
      </c>
      <c r="D2639" s="0">
        <v>6</v>
      </c>
      <c r="E2639" s="10">
        <f>HYPERLINK("http://www.lingerieopt.ru/images/original/12ce01a6-54bf-4c28-b3a0-7c9831f59400.jpg","Фото")</f>
      </c>
    </row>
    <row r="2640">
      <c r="A2640" s="7">
        <f>HYPERLINK("http://www.lingerieopt.ru/item/10925-eroticheskii-komplekt-belya-kyane-so-strazami/","10925")</f>
      </c>
      <c r="B2640" s="8" t="s">
        <v>2634</v>
      </c>
      <c r="C2640" s="9">
        <v>1279</v>
      </c>
      <c r="D2640" s="0">
        <v>6</v>
      </c>
      <c r="E2640" s="10">
        <f>HYPERLINK("http://www.lingerieopt.ru/images/original/12ce01a6-54bf-4c28-b3a0-7c9831f59400.jpg","Фото")</f>
      </c>
    </row>
    <row r="2641">
      <c r="A2641" s="7">
        <f>HYPERLINK("http://www.lingerieopt.ru/item/10925-eroticheskii-komplekt-belya-kyane-so-strazami/","10925")</f>
      </c>
      <c r="B2641" s="8" t="s">
        <v>2635</v>
      </c>
      <c r="C2641" s="9">
        <v>1279</v>
      </c>
      <c r="D2641" s="0">
        <v>6</v>
      </c>
      <c r="E2641" s="10">
        <f>HYPERLINK("http://www.lingerieopt.ru/images/original/12ce01a6-54bf-4c28-b3a0-7c9831f59400.jpg","Фото")</f>
      </c>
    </row>
    <row r="2642">
      <c r="A2642" s="7">
        <f>HYPERLINK("http://www.lingerieopt.ru/item/10926-kontaktnji-komplekt-belya-echo-plus-size-iz-strep-lent/","10926")</f>
      </c>
      <c r="B2642" s="8" t="s">
        <v>2636</v>
      </c>
      <c r="C2642" s="9">
        <v>886</v>
      </c>
      <c r="D2642" s="0">
        <v>3</v>
      </c>
      <c r="E2642" s="10">
        <f>HYPERLINK("http://www.lingerieopt.ru/images/original/47e5b765-41a3-4600-943f-d4f117901668.jpg","Фото")</f>
      </c>
    </row>
    <row r="2643">
      <c r="A2643" s="7">
        <f>HYPERLINK("http://www.lingerieopt.ru/item/10926-kontaktnji-komplekt-belya-echo-plus-size-iz-strep-lent/","10926")</f>
      </c>
      <c r="B2643" s="8" t="s">
        <v>2637</v>
      </c>
      <c r="C2643" s="9">
        <v>886</v>
      </c>
      <c r="D2643" s="0">
        <v>1</v>
      </c>
      <c r="E2643" s="10">
        <f>HYPERLINK("http://www.lingerieopt.ru/images/original/47e5b765-41a3-4600-943f-d4f117901668.jpg","Фото")</f>
      </c>
    </row>
    <row r="2644">
      <c r="A2644" s="7">
        <f>HYPERLINK("http://www.lingerieopt.ru/item/10927-kontaktnji-komplekt-nizhnego-belya-echo-iz-strep-lent/","10927")</f>
      </c>
      <c r="B2644" s="8" t="s">
        <v>2638</v>
      </c>
      <c r="C2644" s="9">
        <v>886</v>
      </c>
      <c r="D2644" s="0">
        <v>1</v>
      </c>
      <c r="E2644" s="10">
        <f>HYPERLINK("http://www.lingerieopt.ru/images/original/80b7db5e-5291-4d53-9ed6-1524aea9e62c.jpg","Фото")</f>
      </c>
    </row>
    <row r="2645">
      <c r="A2645" s="7">
        <f>HYPERLINK("http://www.lingerieopt.ru/item/10927-kontaktnji-komplekt-nizhnego-belya-echo-iz-strep-lent/","10927")</f>
      </c>
      <c r="B2645" s="8" t="s">
        <v>2639</v>
      </c>
      <c r="C2645" s="9">
        <v>886</v>
      </c>
      <c r="D2645" s="0">
        <v>3</v>
      </c>
      <c r="E2645" s="10">
        <f>HYPERLINK("http://www.lingerieopt.ru/images/original/80b7db5e-5291-4d53-9ed6-1524aea9e62c.jpg","Фото")</f>
      </c>
    </row>
    <row r="2646">
      <c r="A2646" s="7">
        <f>HYPERLINK("http://www.lingerieopt.ru/item/10927-kontaktnji-komplekt-nizhnego-belya-echo-iz-strep-lent/","10927")</f>
      </c>
      <c r="B2646" s="8" t="s">
        <v>2640</v>
      </c>
      <c r="C2646" s="9">
        <v>886</v>
      </c>
      <c r="D2646" s="0">
        <v>5</v>
      </c>
      <c r="E2646" s="10">
        <f>HYPERLINK("http://www.lingerieopt.ru/images/original/80b7db5e-5291-4d53-9ed6-1524aea9e62c.jpg","Фото")</f>
      </c>
    </row>
    <row r="2647">
      <c r="A2647" s="7">
        <f>HYPERLINK("http://www.lingerieopt.ru/item/10927-kontaktnji-komplekt-nizhnego-belya-echo-iz-strep-lent/","10927")</f>
      </c>
      <c r="B2647" s="8" t="s">
        <v>2641</v>
      </c>
      <c r="C2647" s="9">
        <v>886</v>
      </c>
      <c r="D2647" s="0">
        <v>2</v>
      </c>
      <c r="E2647" s="10">
        <f>HYPERLINK("http://www.lingerieopt.ru/images/original/80b7db5e-5291-4d53-9ed6-1524aea9e62c.jpg","Фото")</f>
      </c>
    </row>
    <row r="2648">
      <c r="A2648" s="7">
        <f>HYPERLINK("http://www.lingerieopt.ru/item/10945-komplekt-belya-s-vjsokimi-trusikami-mireille/","10945")</f>
      </c>
      <c r="B2648" s="8" t="s">
        <v>2642</v>
      </c>
      <c r="C2648" s="9">
        <v>2269</v>
      </c>
      <c r="D2648" s="0">
        <v>20</v>
      </c>
      <c r="E2648" s="10">
        <f>HYPERLINK("http://www.lingerieopt.ru/images/original/9e7e7e70-f715-4c81-9e1e-c6f87ed7031d.jpg","Фото")</f>
      </c>
    </row>
    <row r="2649">
      <c r="A2649" s="7">
        <f>HYPERLINK("http://www.lingerieopt.ru/item/10945-komplekt-belya-s-vjsokimi-trusikami-mireille/","10945")</f>
      </c>
      <c r="B2649" s="8" t="s">
        <v>2643</v>
      </c>
      <c r="C2649" s="9">
        <v>2269</v>
      </c>
      <c r="D2649" s="0">
        <v>20</v>
      </c>
      <c r="E2649" s="10">
        <f>HYPERLINK("http://www.lingerieopt.ru/images/original/9e7e7e70-f715-4c81-9e1e-c6f87ed7031d.jpg","Фото")</f>
      </c>
    </row>
    <row r="2650">
      <c r="A2650" s="7">
        <f>HYPERLINK("http://www.lingerieopt.ru/item/10945-komplekt-belya-s-vjsokimi-trusikami-mireille/","10945")</f>
      </c>
      <c r="B2650" s="8" t="s">
        <v>2644</v>
      </c>
      <c r="C2650" s="9">
        <v>2269</v>
      </c>
      <c r="D2650" s="0">
        <v>20</v>
      </c>
      <c r="E2650" s="10">
        <f>HYPERLINK("http://www.lingerieopt.ru/images/original/9e7e7e70-f715-4c81-9e1e-c6f87ed7031d.jpg","Фото")</f>
      </c>
    </row>
    <row r="2651">
      <c r="A2651" s="7">
        <f>HYPERLINK("http://www.lingerieopt.ru/item/10946-roskoshnji-komplekt-belya-pola/","10946")</f>
      </c>
      <c r="B2651" s="8" t="s">
        <v>2645</v>
      </c>
      <c r="C2651" s="9">
        <v>1753</v>
      </c>
      <c r="D2651" s="0">
        <v>20</v>
      </c>
      <c r="E2651" s="10">
        <f>HYPERLINK("http://www.lingerieopt.ru/images/original/afe0df11-1e78-4eb5-b4cb-e7798ed9b4f7.jpg","Фото")</f>
      </c>
    </row>
    <row r="2652">
      <c r="A2652" s="7">
        <f>HYPERLINK("http://www.lingerieopt.ru/item/10946-roskoshnji-komplekt-belya-pola/","10946")</f>
      </c>
      <c r="B2652" s="8" t="s">
        <v>2646</v>
      </c>
      <c r="C2652" s="9">
        <v>1753</v>
      </c>
      <c r="D2652" s="0">
        <v>20</v>
      </c>
      <c r="E2652" s="10">
        <f>HYPERLINK("http://www.lingerieopt.ru/images/original/afe0df11-1e78-4eb5-b4cb-e7798ed9b4f7.jpg","Фото")</f>
      </c>
    </row>
    <row r="2653">
      <c r="A2653" s="7">
        <f>HYPERLINK("http://www.lingerieopt.ru/item/10946-roskoshnji-komplekt-belya-pola/","10946")</f>
      </c>
      <c r="B2653" s="8" t="s">
        <v>2647</v>
      </c>
      <c r="C2653" s="9">
        <v>1753</v>
      </c>
      <c r="D2653" s="0">
        <v>20</v>
      </c>
      <c r="E2653" s="10">
        <f>HYPERLINK("http://www.lingerieopt.ru/images/original/afe0df11-1e78-4eb5-b4cb-e7798ed9b4f7.jpg","Фото")</f>
      </c>
    </row>
    <row r="2654">
      <c r="A2654" s="7">
        <f>HYPERLINK("http://www.lingerieopt.ru/item/10947-komplekt-belya-yolande-s-nezhnjmi-kruzhevnjmi-vstavkami/","10947")</f>
      </c>
      <c r="B2654" s="8" t="s">
        <v>2648</v>
      </c>
      <c r="C2654" s="9">
        <v>1753</v>
      </c>
      <c r="D2654" s="0">
        <v>20</v>
      </c>
      <c r="E2654" s="10">
        <f>HYPERLINK("http://www.lingerieopt.ru/images/original/7c5fbda3-d24d-4a3f-a742-e4461d16ffd5.jpg","Фото")</f>
      </c>
    </row>
    <row r="2655">
      <c r="A2655" s="7">
        <f>HYPERLINK("http://www.lingerieopt.ru/item/10947-komplekt-belya-yolande-s-nezhnjmi-kruzhevnjmi-vstavkami/","10947")</f>
      </c>
      <c r="B2655" s="8" t="s">
        <v>2649</v>
      </c>
      <c r="C2655" s="9">
        <v>1753</v>
      </c>
      <c r="D2655" s="0">
        <v>20</v>
      </c>
      <c r="E2655" s="10">
        <f>HYPERLINK("http://www.lingerieopt.ru/images/original/7c5fbda3-d24d-4a3f-a742-e4461d16ffd5.jpg","Фото")</f>
      </c>
    </row>
    <row r="2656">
      <c r="A2656" s="7">
        <f>HYPERLINK("http://www.lingerieopt.ru/item/10947-komplekt-belya-yolande-s-nezhnjmi-kruzhevnjmi-vstavkami/","10947")</f>
      </c>
      <c r="B2656" s="8" t="s">
        <v>2650</v>
      </c>
      <c r="C2656" s="9">
        <v>1753</v>
      </c>
      <c r="D2656" s="0">
        <v>20</v>
      </c>
      <c r="E2656" s="10">
        <f>HYPERLINK("http://www.lingerieopt.ru/images/original/7c5fbda3-d24d-4a3f-a742-e4461d16ffd5.jpg","Фото")</f>
      </c>
    </row>
    <row r="2657">
      <c r="A2657" s="7">
        <f>HYPERLINK("http://www.lingerieopt.ru/item/10948-komplekt-belya-gabrielle-s-trusikami-i-effektnjm-byustom/","10948")</f>
      </c>
      <c r="B2657" s="8" t="s">
        <v>2651</v>
      </c>
      <c r="C2657" s="9">
        <v>1753</v>
      </c>
      <c r="D2657" s="0">
        <v>20</v>
      </c>
      <c r="E2657" s="10">
        <f>HYPERLINK("http://www.lingerieopt.ru/images/original/0618fa1c-ce96-4324-b6ee-336aa52f8b12.jpg","Фото")</f>
      </c>
    </row>
    <row r="2658">
      <c r="A2658" s="7">
        <f>HYPERLINK("http://www.lingerieopt.ru/item/10948-komplekt-belya-gabrielle-s-trusikami-i-effektnjm-byustom/","10948")</f>
      </c>
      <c r="B2658" s="8" t="s">
        <v>2652</v>
      </c>
      <c r="C2658" s="9">
        <v>1753</v>
      </c>
      <c r="D2658" s="0">
        <v>20</v>
      </c>
      <c r="E2658" s="10">
        <f>HYPERLINK("http://www.lingerieopt.ru/images/original/0618fa1c-ce96-4324-b6ee-336aa52f8b12.jpg","Фото")</f>
      </c>
    </row>
    <row r="2659">
      <c r="A2659" s="7">
        <f>HYPERLINK("http://www.lingerieopt.ru/item/10948-komplekt-belya-gabrielle-s-trusikami-i-effektnjm-byustom/","10948")</f>
      </c>
      <c r="B2659" s="8" t="s">
        <v>2653</v>
      </c>
      <c r="C2659" s="9">
        <v>1753</v>
      </c>
      <c r="D2659" s="0">
        <v>20</v>
      </c>
      <c r="E2659" s="10">
        <f>HYPERLINK("http://www.lingerieopt.ru/images/original/0618fa1c-ce96-4324-b6ee-336aa52f8b12.jpg","Фото")</f>
      </c>
    </row>
    <row r="2660">
      <c r="A2660" s="7">
        <f>HYPERLINK("http://www.lingerieopt.ru/item/10949-komplekt-belya-vanda-s-vjsokim-poyasom/","10949")</f>
      </c>
      <c r="B2660" s="8" t="s">
        <v>2654</v>
      </c>
      <c r="C2660" s="9">
        <v>2475</v>
      </c>
      <c r="D2660" s="0">
        <v>20</v>
      </c>
      <c r="E2660" s="10">
        <f>HYPERLINK("http://www.lingerieopt.ru/images/original/45f31806-c1a5-44ff-b61e-37da4fd081de.jpg","Фото")</f>
      </c>
    </row>
    <row r="2661">
      <c r="A2661" s="7">
        <f>HYPERLINK("http://www.lingerieopt.ru/item/10949-komplekt-belya-vanda-s-vjsokim-poyasom/","10949")</f>
      </c>
      <c r="B2661" s="8" t="s">
        <v>2655</v>
      </c>
      <c r="C2661" s="9">
        <v>2475</v>
      </c>
      <c r="D2661" s="0">
        <v>20</v>
      </c>
      <c r="E2661" s="10">
        <f>HYPERLINK("http://www.lingerieopt.ru/images/original/45f31806-c1a5-44ff-b61e-37da4fd081de.jpg","Фото")</f>
      </c>
    </row>
    <row r="2662">
      <c r="A2662" s="7">
        <f>HYPERLINK("http://www.lingerieopt.ru/item/10949-komplekt-belya-vanda-s-vjsokim-poyasom/","10949")</f>
      </c>
      <c r="B2662" s="8" t="s">
        <v>2656</v>
      </c>
      <c r="C2662" s="9">
        <v>2475</v>
      </c>
      <c r="D2662" s="0">
        <v>20</v>
      </c>
      <c r="E2662" s="10">
        <f>HYPERLINK("http://www.lingerieopt.ru/images/original/45f31806-c1a5-44ff-b61e-37da4fd081de.jpg","Фото")</f>
      </c>
    </row>
    <row r="2663">
      <c r="A2663" s="7">
        <f>HYPERLINK("http://www.lingerieopt.ru/item/10950-komplekt-belya-grace-s-kruzhevom-i-konturnjmi-lentami/","10950")</f>
      </c>
      <c r="B2663" s="8" t="s">
        <v>2657</v>
      </c>
      <c r="C2663" s="9">
        <v>1856</v>
      </c>
      <c r="D2663" s="0">
        <v>20</v>
      </c>
      <c r="E2663" s="10">
        <f>HYPERLINK("http://www.lingerieopt.ru/images/original/b2e8fbbd-f890-4994-9ece-d1f57fce16ee.jpg","Фото")</f>
      </c>
    </row>
    <row r="2664">
      <c r="A2664" s="7">
        <f>HYPERLINK("http://www.lingerieopt.ru/item/10950-komplekt-belya-grace-s-kruzhevom-i-konturnjmi-lentami/","10950")</f>
      </c>
      <c r="B2664" s="8" t="s">
        <v>2658</v>
      </c>
      <c r="C2664" s="9">
        <v>1856</v>
      </c>
      <c r="D2664" s="0">
        <v>20</v>
      </c>
      <c r="E2664" s="10">
        <f>HYPERLINK("http://www.lingerieopt.ru/images/original/b2e8fbbd-f890-4994-9ece-d1f57fce16ee.jpg","Фото")</f>
      </c>
    </row>
    <row r="2665">
      <c r="A2665" s="7">
        <f>HYPERLINK("http://www.lingerieopt.ru/item/10950-komplekt-belya-grace-s-kruzhevom-i-konturnjmi-lentami/","10950")</f>
      </c>
      <c r="B2665" s="8" t="s">
        <v>2659</v>
      </c>
      <c r="C2665" s="9">
        <v>1856</v>
      </c>
      <c r="D2665" s="0">
        <v>20</v>
      </c>
      <c r="E2665" s="10">
        <f>HYPERLINK("http://www.lingerieopt.ru/images/original/b2e8fbbd-f890-4994-9ece-d1f57fce16ee.jpg","Фото")</f>
      </c>
    </row>
    <row r="2666">
      <c r="A2666" s="7">
        <f>HYPERLINK("http://www.lingerieopt.ru/item/10975-effektnji-komplekt-belya-iz-setki/","10975")</f>
      </c>
      <c r="B2666" s="8" t="s">
        <v>2660</v>
      </c>
      <c r="C2666" s="9">
        <v>1367</v>
      </c>
      <c r="D2666" s="0">
        <v>7</v>
      </c>
      <c r="E2666" s="10">
        <f>HYPERLINK("http://www.lingerieopt.ru/images/original/565d9471-12c0-4c85-a827-06428569635d.jpg","Фото")</f>
      </c>
    </row>
    <row r="2667">
      <c r="A2667" s="7">
        <f>HYPERLINK("http://www.lingerieopt.ru/item/10992-effektnji-komplekt-belya-iz-2-predmetov-cage-me-in-2pc-bra-panty/","10992")</f>
      </c>
      <c r="B2667" s="8" t="s">
        <v>2661</v>
      </c>
      <c r="C2667" s="9">
        <v>1437</v>
      </c>
      <c r="D2667" s="0">
        <v>4</v>
      </c>
      <c r="E2667" s="10">
        <f>HYPERLINK("http://www.lingerieopt.ru/images/original/907404c1-9d17-4855-9fed-2668e45ff23b.jpg","Фото")</f>
      </c>
    </row>
    <row r="2668">
      <c r="A2668" s="7">
        <f>HYPERLINK("http://www.lingerieopt.ru/item/11006-setchatji-komplekt-iz-lifa-i-trusikov-string-nice-set-fishnet-bikini-set/","11006")</f>
      </c>
      <c r="B2668" s="8" t="s">
        <v>2662</v>
      </c>
      <c r="C2668" s="9">
        <v>1367</v>
      </c>
      <c r="D2668" s="0">
        <v>7</v>
      </c>
      <c r="E2668" s="10">
        <f>HYPERLINK("http://www.lingerieopt.ru/images/original/62a07f79-12f6-406b-bc4d-f5f372acd1c9.jpg","Фото")</f>
      </c>
    </row>
    <row r="2669">
      <c r="A2669" s="7">
        <f>HYPERLINK("http://www.lingerieopt.ru/item/11006-setchatji-komplekt-iz-lifa-i-trusikov-string-nice-set-fishnet-bikini-set/","11006")</f>
      </c>
      <c r="B2669" s="8" t="s">
        <v>2663</v>
      </c>
      <c r="C2669" s="9">
        <v>1367</v>
      </c>
      <c r="D2669" s="0">
        <v>0</v>
      </c>
      <c r="E2669" s="10">
        <f>HYPERLINK("http://www.lingerieopt.ru/images/original/62a07f79-12f6-406b-bc4d-f5f372acd1c9.jpg","Фото")</f>
      </c>
    </row>
    <row r="2670">
      <c r="A2670" s="7">
        <f>HYPERLINK("http://www.lingerieopt.ru/item/11012-zhenstvennji-komplekt-belya-na-zavyazkah-2pc-lace-tie-up-bra-thong-set/","11012")</f>
      </c>
      <c r="B2670" s="8" t="s">
        <v>2664</v>
      </c>
      <c r="C2670" s="9">
        <v>573</v>
      </c>
      <c r="D2670" s="0">
        <v>36</v>
      </c>
      <c r="E2670" s="10">
        <f>HYPERLINK("http://www.lingerieopt.ru/images/original/36d53217-ec55-4e6e-88a7-491d1729df98.jpg","Фото")</f>
      </c>
    </row>
    <row r="2671">
      <c r="A2671" s="7">
        <f>HYPERLINK("http://www.lingerieopt.ru/item/11062-chuvstvennji-komplekt-belya-mia-s-cvetochnjm-kruzhevom/","11062")</f>
      </c>
      <c r="B2671" s="8" t="s">
        <v>2665</v>
      </c>
      <c r="C2671" s="9">
        <v>1673</v>
      </c>
      <c r="D2671" s="0">
        <v>8</v>
      </c>
      <c r="E2671" s="10">
        <f>HYPERLINK("http://www.lingerieopt.ru/images/original/4c09bb29-d465-4d15-9092-bfbf6dc70116.jpg","Фото")</f>
      </c>
    </row>
    <row r="2672">
      <c r="A2672" s="7">
        <f>HYPERLINK("http://www.lingerieopt.ru/item/11062-chuvstvennji-komplekt-belya-mia-s-cvetochnjm-kruzhevom/","11062")</f>
      </c>
      <c r="B2672" s="8" t="s">
        <v>2666</v>
      </c>
      <c r="C2672" s="9">
        <v>1673</v>
      </c>
      <c r="D2672" s="0">
        <v>6</v>
      </c>
      <c r="E2672" s="10">
        <f>HYPERLINK("http://www.lingerieopt.ru/images/original/4c09bb29-d465-4d15-9092-bfbf6dc70116.jpg","Фото")</f>
      </c>
    </row>
    <row r="2673">
      <c r="A2673" s="7">
        <f>HYPERLINK("http://www.lingerieopt.ru/item/11063-chuvstvennji-komplekt-belya-mia-plus-size-s-kruzhevom/","11063")</f>
      </c>
      <c r="B2673" s="8" t="s">
        <v>2667</v>
      </c>
      <c r="C2673" s="9">
        <v>1673</v>
      </c>
      <c r="D2673" s="0">
        <v>4</v>
      </c>
      <c r="E2673" s="10">
        <f>HYPERLINK("http://www.lingerieopt.ru/images/original/1476c8ea-8645-4b48-b1db-1729e2635bf3.jpg","Фото")</f>
      </c>
    </row>
    <row r="2674">
      <c r="A2674" s="7">
        <f>HYPERLINK("http://www.lingerieopt.ru/item/11066-soblaznitelnji-komplekt-belya-north-s-pikantnjmi-vjrezami/","11066")</f>
      </c>
      <c r="B2674" s="8" t="s">
        <v>2668</v>
      </c>
      <c r="C2674" s="9">
        <v>1661</v>
      </c>
      <c r="D2674" s="0">
        <v>8</v>
      </c>
      <c r="E2674" s="10">
        <f>HYPERLINK("http://www.lingerieopt.ru/images/original/af58982f-9aa6-428f-879d-dedba81c5290.jpg","Фото")</f>
      </c>
    </row>
    <row r="2675">
      <c r="A2675" s="7">
        <f>HYPERLINK("http://www.lingerieopt.ru/item/11066-soblaznitelnji-komplekt-belya-north-s-pikantnjmi-vjrezami/","11066")</f>
      </c>
      <c r="B2675" s="8" t="s">
        <v>2669</v>
      </c>
      <c r="C2675" s="9">
        <v>1661</v>
      </c>
      <c r="D2675" s="0">
        <v>10</v>
      </c>
      <c r="E2675" s="10">
        <f>HYPERLINK("http://www.lingerieopt.ru/images/original/af58982f-9aa6-428f-879d-dedba81c5290.jpg","Фото")</f>
      </c>
    </row>
    <row r="2676">
      <c r="A2676" s="7">
        <f>HYPERLINK("http://www.lingerieopt.ru/item/11067-soblaznitelnji-komplekt-belya-north-plus-size-s-pikantnjmi-vjrezami/","11067")</f>
      </c>
      <c r="B2676" s="8" t="s">
        <v>2670</v>
      </c>
      <c r="C2676" s="9">
        <v>1661</v>
      </c>
      <c r="D2676" s="0">
        <v>4</v>
      </c>
      <c r="E2676" s="10">
        <f>HYPERLINK("http://www.lingerieopt.ru/images/original/52192872-3809-48a9-8878-101cec0a9c80.jpg","Фото")</f>
      </c>
    </row>
    <row r="2677">
      <c r="A2677" s="7">
        <f>HYPERLINK("http://www.lingerieopt.ru/item/11074-elegantnji-komplekt-belya-tonya-iz-3-predmetov/","11074")</f>
      </c>
      <c r="B2677" s="8" t="s">
        <v>2671</v>
      </c>
      <c r="C2677" s="9">
        <v>1806</v>
      </c>
      <c r="D2677" s="0">
        <v>7</v>
      </c>
      <c r="E2677" s="10">
        <f>HYPERLINK("http://www.lingerieopt.ru/images/original/abf80bea-f96b-4a97-b6df-07ab998b4168.jpg","Фото")</f>
      </c>
    </row>
    <row r="2678">
      <c r="A2678" s="7">
        <f>HYPERLINK("http://www.lingerieopt.ru/item/11074-elegantnji-komplekt-belya-tonya-iz-3-predmetov/","11074")</f>
      </c>
      <c r="B2678" s="8" t="s">
        <v>2672</v>
      </c>
      <c r="C2678" s="9">
        <v>1806</v>
      </c>
      <c r="D2678" s="0">
        <v>7</v>
      </c>
      <c r="E2678" s="10">
        <f>HYPERLINK("http://www.lingerieopt.ru/images/original/abf80bea-f96b-4a97-b6df-07ab998b4168.jpg","Фото")</f>
      </c>
    </row>
    <row r="2679">
      <c r="A2679" s="7">
        <f>HYPERLINK("http://www.lingerieopt.ru/item/11076-provokacionnji-komplekt-belya-morgan-iz-3-predmetov/","11076")</f>
      </c>
      <c r="B2679" s="8" t="s">
        <v>2673</v>
      </c>
      <c r="C2679" s="9">
        <v>1673</v>
      </c>
      <c r="D2679" s="0">
        <v>4</v>
      </c>
      <c r="E2679" s="10">
        <f>HYPERLINK("http://www.lingerieopt.ru/images/original/44f6be3b-0e79-44c1-ace6-2579bce7a524.jpg","Фото")</f>
      </c>
    </row>
    <row r="2680">
      <c r="A2680" s="7">
        <f>HYPERLINK("http://www.lingerieopt.ru/item/11076-provokacionnji-komplekt-belya-morgan-iz-3-predmetov/","11076")</f>
      </c>
      <c r="B2680" s="8" t="s">
        <v>2674</v>
      </c>
      <c r="C2680" s="9">
        <v>1673</v>
      </c>
      <c r="D2680" s="0">
        <v>12</v>
      </c>
      <c r="E2680" s="10">
        <f>HYPERLINK("http://www.lingerieopt.ru/images/original/44f6be3b-0e79-44c1-ace6-2579bce7a524.jpg","Фото")</f>
      </c>
    </row>
    <row r="2681">
      <c r="A2681" s="7">
        <f>HYPERLINK("http://www.lingerieopt.ru/item/11078-yarkii-dvuhcvetnji-komplekt-belya-akita-iz-kruzheva/","11078")</f>
      </c>
      <c r="B2681" s="8" t="s">
        <v>2675</v>
      </c>
      <c r="C2681" s="9">
        <v>1886</v>
      </c>
      <c r="D2681" s="0">
        <v>23</v>
      </c>
      <c r="E2681" s="10">
        <f>HYPERLINK("http://www.lingerieopt.ru/images/original/f0c35572-b897-4cc6-ad57-cfb89c630f09.jpg","Фото")</f>
      </c>
    </row>
    <row r="2682">
      <c r="A2682" s="7">
        <f>HYPERLINK("http://www.lingerieopt.ru/item/11078-yarkii-dvuhcvetnji-komplekt-belya-akita-iz-kruzheva/","11078")</f>
      </c>
      <c r="B2682" s="8" t="s">
        <v>2676</v>
      </c>
      <c r="C2682" s="9">
        <v>1886</v>
      </c>
      <c r="D2682" s="0">
        <v>11</v>
      </c>
      <c r="E2682" s="10">
        <f>HYPERLINK("http://www.lingerieopt.ru/images/original/f0c35572-b897-4cc6-ad57-cfb89c630f09.jpg","Фото")</f>
      </c>
    </row>
    <row r="2683">
      <c r="A2683" s="7">
        <f>HYPERLINK("http://www.lingerieopt.ru/item/11079-yarkii-dvuhcvetnji-komplekt-belya-akita-plus-size-s-shirokim-poyasom/","11079")</f>
      </c>
      <c r="B2683" s="8" t="s">
        <v>2677</v>
      </c>
      <c r="C2683" s="9">
        <v>1886</v>
      </c>
      <c r="D2683" s="0">
        <v>5</v>
      </c>
      <c r="E2683" s="10">
        <f>HYPERLINK("http://www.lingerieopt.ru/images/original/e2f6f121-754f-41cc-a884-c138d42a4b07.jpg","Фото")</f>
      </c>
    </row>
    <row r="2684">
      <c r="A2684" s="7">
        <f>HYPERLINK("http://www.lingerieopt.ru/item/11082-soblaznitelnji-komplekt-belya-jade-s-melkimi-cvetochkami/","11082")</f>
      </c>
      <c r="B2684" s="8" t="s">
        <v>2678</v>
      </c>
      <c r="C2684" s="9">
        <v>1556</v>
      </c>
      <c r="D2684" s="0">
        <v>8</v>
      </c>
      <c r="E2684" s="10">
        <f>HYPERLINK("http://www.lingerieopt.ru/images/original/d0b62658-89e8-44af-994b-00ffd4900953.jpg","Фото")</f>
      </c>
    </row>
    <row r="2685">
      <c r="A2685" s="7">
        <f>HYPERLINK("http://www.lingerieopt.ru/item/11082-soblaznitelnji-komplekt-belya-jade-s-melkimi-cvetochkami/","11082")</f>
      </c>
      <c r="B2685" s="8" t="s">
        <v>2679</v>
      </c>
      <c r="C2685" s="9">
        <v>1556</v>
      </c>
      <c r="D2685" s="0">
        <v>12</v>
      </c>
      <c r="E2685" s="10">
        <f>HYPERLINK("http://www.lingerieopt.ru/images/original/d0b62658-89e8-44af-994b-00ffd4900953.jpg","Фото")</f>
      </c>
    </row>
    <row r="2686">
      <c r="A2686" s="7">
        <f>HYPERLINK("http://www.lingerieopt.ru/item/11084-otkrovennji-kontaktnji-komplekt-belya-magali-iz-3-predmetov/","11084")</f>
      </c>
      <c r="B2686" s="8" t="s">
        <v>2680</v>
      </c>
      <c r="C2686" s="9">
        <v>1603</v>
      </c>
      <c r="D2686" s="0">
        <v>16</v>
      </c>
      <c r="E2686" s="10">
        <f>HYPERLINK("http://www.lingerieopt.ru/images/original/4f331e1e-7800-4d22-99e8-5c43c5c7dfb2.jpg","Фото")</f>
      </c>
    </row>
    <row r="2687">
      <c r="A2687" s="7">
        <f>HYPERLINK("http://www.lingerieopt.ru/item/11084-otkrovennji-kontaktnji-komplekt-belya-magali-iz-3-predmetov/","11084")</f>
      </c>
      <c r="B2687" s="8" t="s">
        <v>2681</v>
      </c>
      <c r="C2687" s="9">
        <v>1603</v>
      </c>
      <c r="D2687" s="0">
        <v>0</v>
      </c>
      <c r="E2687" s="10">
        <f>HYPERLINK("http://www.lingerieopt.ru/images/original/4f331e1e-7800-4d22-99e8-5c43c5c7dfb2.jpg","Фото")</f>
      </c>
    </row>
    <row r="2688">
      <c r="A2688" s="7">
        <f>HYPERLINK("http://www.lingerieopt.ru/item/11088-igrivji-komplekt-belya-xante-s-dostupom/","11088")</f>
      </c>
      <c r="B2688" s="8" t="s">
        <v>2682</v>
      </c>
      <c r="C2688" s="9">
        <v>1748</v>
      </c>
      <c r="D2688" s="0">
        <v>9</v>
      </c>
      <c r="E2688" s="10">
        <f>HYPERLINK("http://www.lingerieopt.ru/images/original/f1172413-2698-49b8-af10-4a5625008b12.jpg","Фото")</f>
      </c>
    </row>
    <row r="2689">
      <c r="A2689" s="7">
        <f>HYPERLINK("http://www.lingerieopt.ru/item/11088-igrivji-komplekt-belya-xante-s-dostupom/","11088")</f>
      </c>
      <c r="B2689" s="8" t="s">
        <v>2683</v>
      </c>
      <c r="C2689" s="9">
        <v>1748</v>
      </c>
      <c r="D2689" s="0">
        <v>11</v>
      </c>
      <c r="E2689" s="10">
        <f>HYPERLINK("http://www.lingerieopt.ru/images/original/f1172413-2698-49b8-af10-4a5625008b12.jpg","Фото")</f>
      </c>
    </row>
    <row r="2690">
      <c r="A2690" s="7">
        <f>HYPERLINK("http://www.lingerieopt.ru/item/11104-nezhnji-komplekt-belya-s-kontrastnjm-uzorom-v-vide-voln/","11104")</f>
      </c>
      <c r="B2690" s="8" t="s">
        <v>2684</v>
      </c>
      <c r="C2690" s="9">
        <v>1672</v>
      </c>
      <c r="D2690" s="0">
        <v>9</v>
      </c>
      <c r="E2690" s="10">
        <f>HYPERLINK("http://www.lingerieopt.ru/images/original/f440257c-193d-4f42-bba8-80484b1b8d98.jpg","Фото")</f>
      </c>
    </row>
    <row r="2691">
      <c r="A2691" s="7">
        <f>HYPERLINK("http://www.lingerieopt.ru/item/11104-nezhnji-komplekt-belya-s-kontrastnjm-uzorom-v-vide-voln/","11104")</f>
      </c>
      <c r="B2691" s="8" t="s">
        <v>2685</v>
      </c>
      <c r="C2691" s="9">
        <v>1672</v>
      </c>
      <c r="D2691" s="0">
        <v>8</v>
      </c>
      <c r="E2691" s="10">
        <f>HYPERLINK("http://www.lingerieopt.ru/images/original/f440257c-193d-4f42-bba8-80484b1b8d98.jpg","Фото")</f>
      </c>
    </row>
    <row r="2692">
      <c r="A2692" s="7">
        <f>HYPERLINK("http://www.lingerieopt.ru/item/11105-komplekt-nizhnego-belya-s-kontrastnjm-uzorom-v-vide-voln/","11105")</f>
      </c>
      <c r="B2692" s="8" t="s">
        <v>2686</v>
      </c>
      <c r="C2692" s="9">
        <v>1213</v>
      </c>
      <c r="D2692" s="0">
        <v>8</v>
      </c>
      <c r="E2692" s="10">
        <f>HYPERLINK("http://www.lingerieopt.ru/images/original/8271a62c-3a87-4b89-b6ea-e098df403461.jpg","Фото")</f>
      </c>
    </row>
    <row r="2693">
      <c r="A2693" s="7">
        <f>HYPERLINK("http://www.lingerieopt.ru/item/11105-komplekt-nizhnego-belya-s-kontrastnjm-uzorom-v-vide-voln/","11105")</f>
      </c>
      <c r="B2693" s="8" t="s">
        <v>2687</v>
      </c>
      <c r="C2693" s="9">
        <v>1213</v>
      </c>
      <c r="D2693" s="0">
        <v>10</v>
      </c>
      <c r="E2693" s="10">
        <f>HYPERLINK("http://www.lingerieopt.ru/images/original/8271a62c-3a87-4b89-b6ea-e098df403461.jpg","Фото")</f>
      </c>
    </row>
    <row r="2694">
      <c r="A2694" s="7">
        <f>HYPERLINK("http://www.lingerieopt.ru/item/11115-originalnji-kruzhevnoi-komplekt-belya-iz-kruzheva-s-resnichkami/","11115")</f>
      </c>
      <c r="B2694" s="8" t="s">
        <v>2688</v>
      </c>
      <c r="C2694" s="9">
        <v>2719</v>
      </c>
      <c r="D2694" s="0">
        <v>4</v>
      </c>
      <c r="E2694" s="10">
        <f>HYPERLINK("http://www.lingerieopt.ru/images/original/23a66ec2-629b-430e-a830-240f6306e285.jpg","Фото")</f>
      </c>
    </row>
    <row r="2695">
      <c r="A2695" s="7">
        <f>HYPERLINK("http://www.lingerieopt.ru/item/11115-originalnji-kruzhevnoi-komplekt-belya-iz-kruzheva-s-resnichkami/","11115")</f>
      </c>
      <c r="B2695" s="8" t="s">
        <v>2689</v>
      </c>
      <c r="C2695" s="9">
        <v>2719</v>
      </c>
      <c r="D2695" s="0">
        <v>3</v>
      </c>
      <c r="E2695" s="10">
        <f>HYPERLINK("http://www.lingerieopt.ru/images/original/23a66ec2-629b-430e-a830-240f6306e285.jpg","Фото")</f>
      </c>
    </row>
    <row r="2696">
      <c r="A2696" s="7">
        <f>HYPERLINK("http://www.lingerieopt.ru/item/11115-originalnji-kruzhevnoi-komplekt-belya-iz-kruzheva-s-resnichkami/","11115")</f>
      </c>
      <c r="B2696" s="8" t="s">
        <v>2690</v>
      </c>
      <c r="C2696" s="9">
        <v>2719</v>
      </c>
      <c r="D2696" s="0">
        <v>4</v>
      </c>
      <c r="E2696" s="10">
        <f>HYPERLINK("http://www.lingerieopt.ru/images/original/23a66ec2-629b-430e-a830-240f6306e285.jpg","Фото")</f>
      </c>
    </row>
    <row r="2697">
      <c r="A2697" s="7">
        <f>HYPERLINK("http://www.lingerieopt.ru/item/11115-originalnji-kruzhevnoi-komplekt-belya-iz-kruzheva-s-resnichkami/","11115")</f>
      </c>
      <c r="B2697" s="8" t="s">
        <v>2691</v>
      </c>
      <c r="C2697" s="9">
        <v>2719</v>
      </c>
      <c r="D2697" s="0">
        <v>3</v>
      </c>
      <c r="E2697" s="10">
        <f>HYPERLINK("http://www.lingerieopt.ru/images/original/23a66ec2-629b-430e-a830-240f6306e285.jpg","Фото")</f>
      </c>
    </row>
    <row r="2698">
      <c r="A2698" s="7">
        <f>HYPERLINK("http://www.lingerieopt.ru/item/11129-kruzhevnoi-komplekt-belya-s-koshachimi-ushkami/","11129")</f>
      </c>
      <c r="B2698" s="8" t="s">
        <v>2692</v>
      </c>
      <c r="C2698" s="9">
        <v>1199</v>
      </c>
      <c r="D2698" s="0">
        <v>18</v>
      </c>
      <c r="E2698" s="10">
        <f>HYPERLINK("http://www.lingerieopt.ru/images/original/58cada8a-8320-41b0-a589-ef5a13019d31.jpg","Фото")</f>
      </c>
    </row>
    <row r="2699">
      <c r="A2699" s="7">
        <f>HYPERLINK("http://www.lingerieopt.ru/item/11130-kruzhevnoi-komplekt-belya-plus-size-s-resnichkami/","11130")</f>
      </c>
      <c r="B2699" s="8" t="s">
        <v>2693</v>
      </c>
      <c r="C2699" s="9">
        <v>2719</v>
      </c>
      <c r="D2699" s="0">
        <v>5</v>
      </c>
      <c r="E2699" s="10">
        <f>HYPERLINK("http://www.lingerieopt.ru/images/original/833e8884-adea-4e7f-8f09-77f9bb6e26d5.jpg","Фото")</f>
      </c>
    </row>
    <row r="2700">
      <c r="A2700" s="7">
        <f>HYPERLINK("http://www.lingerieopt.ru/item/11136-komplekt-belya-plus-size-top-trusiki-stringi-chulki-perchatki-mitenki/","11136")</f>
      </c>
      <c r="B2700" s="8" t="s">
        <v>2694</v>
      </c>
      <c r="C2700" s="9">
        <v>2646</v>
      </c>
      <c r="D2700" s="0">
        <v>5</v>
      </c>
      <c r="E2700" s="10">
        <f>HYPERLINK("http://www.lingerieopt.ru/images/original/e9d8e2fa-6be1-45ba-a51e-8a40dae43886.jpg","Фото")</f>
      </c>
    </row>
    <row r="2701">
      <c r="A2701" s="7">
        <f>HYPERLINK("http://www.lingerieopt.ru/item/11137-chernji-komplekt-belya-iz-4-predmetov/","11137")</f>
      </c>
      <c r="B2701" s="8" t="s">
        <v>2695</v>
      </c>
      <c r="C2701" s="9">
        <v>2646</v>
      </c>
      <c r="D2701" s="0">
        <v>5</v>
      </c>
      <c r="E2701" s="10">
        <f>HYPERLINK("http://www.lingerieopt.ru/images/original/4639ac78-9c1e-40f2-9e96-5dfb12a70c3a.jpg","Фото")</f>
      </c>
    </row>
    <row r="2702">
      <c r="A2702" s="7">
        <f>HYPERLINK("http://www.lingerieopt.ru/item/11137-chernji-komplekt-belya-iz-4-predmetov/","11137")</f>
      </c>
      <c r="B2702" s="8" t="s">
        <v>2696</v>
      </c>
      <c r="C2702" s="9">
        <v>2646</v>
      </c>
      <c r="D2702" s="0">
        <v>5</v>
      </c>
      <c r="E2702" s="10">
        <f>HYPERLINK("http://www.lingerieopt.ru/images/original/4639ac78-9c1e-40f2-9e96-5dfb12a70c3a.jpg","Фото")</f>
      </c>
    </row>
    <row r="2703">
      <c r="A2703" s="7">
        <f>HYPERLINK("http://www.lingerieopt.ru/item/11137-chernji-komplekt-belya-iz-4-predmetov/","11137")</f>
      </c>
      <c r="B2703" s="8" t="s">
        <v>2697</v>
      </c>
      <c r="C2703" s="9">
        <v>2646</v>
      </c>
      <c r="D2703" s="0">
        <v>5</v>
      </c>
      <c r="E2703" s="10">
        <f>HYPERLINK("http://www.lingerieopt.ru/images/original/4639ac78-9c1e-40f2-9e96-5dfb12a70c3a.jpg","Фото")</f>
      </c>
    </row>
    <row r="2704">
      <c r="A2704" s="7">
        <f>HYPERLINK("http://www.lingerieopt.ru/item/11137-chernji-komplekt-belya-iz-4-predmetov/","11137")</f>
      </c>
      <c r="B2704" s="8" t="s">
        <v>2698</v>
      </c>
      <c r="C2704" s="9">
        <v>2646</v>
      </c>
      <c r="D2704" s="0">
        <v>2</v>
      </c>
      <c r="E2704" s="10">
        <f>HYPERLINK("http://www.lingerieopt.ru/images/original/4639ac78-9c1e-40f2-9e96-5dfb12a70c3a.jpg","Фото")</f>
      </c>
    </row>
    <row r="2705">
      <c r="A2705" s="7">
        <f>HYPERLINK("http://www.lingerieopt.ru/item/11140-kruzhevnoi-komplekt-belya-plus-size-bralett-i-trusiki/","11140")</f>
      </c>
      <c r="B2705" s="8" t="s">
        <v>2699</v>
      </c>
      <c r="C2705" s="9">
        <v>2468</v>
      </c>
      <c r="D2705" s="0">
        <v>5</v>
      </c>
      <c r="E2705" s="10">
        <f>HYPERLINK("http://www.lingerieopt.ru/images/original/54fe0f46-7b15-4daa-9f2d-102603fc98a6.jpg","Фото")</f>
      </c>
    </row>
    <row r="2706">
      <c r="A2706" s="7">
        <f>HYPERLINK("http://www.lingerieopt.ru/item/11141-kruzhevnoi-komplekt-nizhnego-belya/","11141")</f>
      </c>
      <c r="B2706" s="8" t="s">
        <v>2700</v>
      </c>
      <c r="C2706" s="9">
        <v>2468</v>
      </c>
      <c r="D2706" s="0">
        <v>5</v>
      </c>
      <c r="E2706" s="10">
        <f>HYPERLINK("http://www.lingerieopt.ru/images/original/265746b6-9049-4cb8-adb2-91b40792e25e.jpg","Фото")</f>
      </c>
    </row>
    <row r="2707">
      <c r="A2707" s="7">
        <f>HYPERLINK("http://www.lingerieopt.ru/item/11141-kruzhevnoi-komplekt-nizhnego-belya/","11141")</f>
      </c>
      <c r="B2707" s="8" t="s">
        <v>2701</v>
      </c>
      <c r="C2707" s="9">
        <v>2468</v>
      </c>
      <c r="D2707" s="0">
        <v>5</v>
      </c>
      <c r="E2707" s="10">
        <f>HYPERLINK("http://www.lingerieopt.ru/images/original/265746b6-9049-4cb8-adb2-91b40792e25e.jpg","Фото")</f>
      </c>
    </row>
    <row r="2708">
      <c r="A2708" s="7">
        <f>HYPERLINK("http://www.lingerieopt.ru/item/11141-kruzhevnoi-komplekt-nizhnego-belya/","11141")</f>
      </c>
      <c r="B2708" s="8" t="s">
        <v>2702</v>
      </c>
      <c r="C2708" s="9">
        <v>2468</v>
      </c>
      <c r="D2708" s="0">
        <v>3</v>
      </c>
      <c r="E2708" s="10">
        <f>HYPERLINK("http://www.lingerieopt.ru/images/original/265746b6-9049-4cb8-adb2-91b40792e25e.jpg","Фото")</f>
      </c>
    </row>
    <row r="2709">
      <c r="A2709" s="7">
        <f>HYPERLINK("http://www.lingerieopt.ru/item/11141-kruzhevnoi-komplekt-nizhnego-belya/","11141")</f>
      </c>
      <c r="B2709" s="8" t="s">
        <v>2703</v>
      </c>
      <c r="C2709" s="9">
        <v>2468</v>
      </c>
      <c r="D2709" s="0">
        <v>4</v>
      </c>
      <c r="E2709" s="10">
        <f>HYPERLINK("http://www.lingerieopt.ru/images/original/265746b6-9049-4cb8-adb2-91b40792e25e.jpg","Фото")</f>
      </c>
    </row>
    <row r="2710">
      <c r="A2710" s="7">
        <f>HYPERLINK("http://www.lingerieopt.ru/item/11192-roskoshnji-komplekt-belya-s-shirokim-poyasom/","11192")</f>
      </c>
      <c r="B2710" s="8" t="s">
        <v>2704</v>
      </c>
      <c r="C2710" s="9">
        <v>1672</v>
      </c>
      <c r="D2710" s="0">
        <v>5</v>
      </c>
      <c r="E2710" s="10">
        <f>HYPERLINK("http://www.lingerieopt.ru/images/original/0f257754-c985-4f70-a325-f097cd01cf14.jpg","Фото")</f>
      </c>
    </row>
    <row r="2711">
      <c r="A2711" s="7">
        <f>HYPERLINK("http://www.lingerieopt.ru/item/11192-roskoshnji-komplekt-belya-s-shirokim-poyasom/","11192")</f>
      </c>
      <c r="B2711" s="8" t="s">
        <v>2705</v>
      </c>
      <c r="C2711" s="9">
        <v>1672</v>
      </c>
      <c r="D2711" s="0">
        <v>4</v>
      </c>
      <c r="E2711" s="10">
        <f>HYPERLINK("http://www.lingerieopt.ru/images/original/0f257754-c985-4f70-a325-f097cd01cf14.jpg","Фото")</f>
      </c>
    </row>
    <row r="2712">
      <c r="A2712" s="7">
        <f>HYPERLINK("http://www.lingerieopt.ru/item/11201-komplekt-belya-iz-dvuh-predmetov-s-otkrjtjm-dostupom/","11201")</f>
      </c>
      <c r="B2712" s="8" t="s">
        <v>2706</v>
      </c>
      <c r="C2712" s="9">
        <v>1136</v>
      </c>
      <c r="D2712" s="0">
        <v>5</v>
      </c>
      <c r="E2712" s="10">
        <f>HYPERLINK("http://www.lingerieopt.ru/images/original/5a878ae8-0a81-4e15-9c79-e295e36b4c00.jpg","Фото")</f>
      </c>
    </row>
    <row r="2713">
      <c r="A2713" s="7">
        <f>HYPERLINK("http://www.lingerieopt.ru/item/11203-kruzhevnoi-komplekt-nizhnego-belya-janet/","11203")</f>
      </c>
      <c r="B2713" s="8" t="s">
        <v>2707</v>
      </c>
      <c r="C2713" s="9">
        <v>2085</v>
      </c>
      <c r="D2713" s="0">
        <v>10</v>
      </c>
      <c r="E2713" s="10">
        <f>HYPERLINK("http://www.lingerieopt.ru/images/original/4c904b8b-ecaa-481a-8b93-abd67fdc2e97.jpg","Фото")</f>
      </c>
    </row>
    <row r="2714">
      <c r="A2714" s="7">
        <f>HYPERLINK("http://www.lingerieopt.ru/item/11203-kruzhevnoi-komplekt-nizhnego-belya-janet/","11203")</f>
      </c>
      <c r="B2714" s="8" t="s">
        <v>2708</v>
      </c>
      <c r="C2714" s="9">
        <v>2085</v>
      </c>
      <c r="D2714" s="0">
        <v>3</v>
      </c>
      <c r="E2714" s="10">
        <f>HYPERLINK("http://www.lingerieopt.ru/images/original/4c904b8b-ecaa-481a-8b93-abd67fdc2e97.jpg","Фото")</f>
      </c>
    </row>
    <row r="2715">
      <c r="A2715" s="7">
        <f>HYPERLINK("http://www.lingerieopt.ru/item/11203-kruzhevnoi-komplekt-nizhnego-belya-janet/","11203")</f>
      </c>
      <c r="B2715" s="8" t="s">
        <v>2709</v>
      </c>
      <c r="C2715" s="9">
        <v>2085</v>
      </c>
      <c r="D2715" s="0">
        <v>6</v>
      </c>
      <c r="E2715" s="10">
        <f>HYPERLINK("http://www.lingerieopt.ru/images/original/4c904b8b-ecaa-481a-8b93-abd67fdc2e97.jpg","Фото")</f>
      </c>
    </row>
    <row r="2716">
      <c r="A2716" s="7">
        <f>HYPERLINK("http://www.lingerieopt.ru/item/11203-kruzhevnoi-komplekt-nizhnego-belya-janet/","11203")</f>
      </c>
      <c r="B2716" s="8" t="s">
        <v>2710</v>
      </c>
      <c r="C2716" s="9">
        <v>2085</v>
      </c>
      <c r="D2716" s="0">
        <v>2</v>
      </c>
      <c r="E2716" s="10">
        <f>HYPERLINK("http://www.lingerieopt.ru/images/original/4c904b8b-ecaa-481a-8b93-abd67fdc2e97.jpg","Фото")</f>
      </c>
    </row>
    <row r="2717">
      <c r="A2717" s="7">
        <f>HYPERLINK("http://www.lingerieopt.ru/item/11203-kruzhevnoi-komplekt-nizhnego-belya-janet/","11203")</f>
      </c>
      <c r="B2717" s="8" t="s">
        <v>2711</v>
      </c>
      <c r="C2717" s="9">
        <v>2085</v>
      </c>
      <c r="D2717" s="0">
        <v>3</v>
      </c>
      <c r="E2717" s="10">
        <f>HYPERLINK("http://www.lingerieopt.ru/images/original/4c904b8b-ecaa-481a-8b93-abd67fdc2e97.jpg","Фото")</f>
      </c>
    </row>
    <row r="2718">
      <c r="A2718" s="7">
        <f>HYPERLINK("http://www.lingerieopt.ru/item/11203-kruzhevnoi-komplekt-nizhnego-belya-janet/","11203")</f>
      </c>
      <c r="B2718" s="8" t="s">
        <v>2712</v>
      </c>
      <c r="C2718" s="9">
        <v>2085</v>
      </c>
      <c r="D2718" s="0">
        <v>7</v>
      </c>
      <c r="E2718" s="10">
        <f>HYPERLINK("http://www.lingerieopt.ru/images/original/4c904b8b-ecaa-481a-8b93-abd67fdc2e97.jpg","Фото")</f>
      </c>
    </row>
    <row r="2719">
      <c r="A2719" s="7">
        <f>HYPERLINK("http://www.lingerieopt.ru/item/11219-kruzhevnoi-komplekt-belya-s-cvetochnjm-uzorom/","11219")</f>
      </c>
      <c r="B2719" s="8" t="s">
        <v>2713</v>
      </c>
      <c r="C2719" s="9">
        <v>1509</v>
      </c>
      <c r="D2719" s="0">
        <v>9</v>
      </c>
      <c r="E2719" s="10">
        <f>HYPERLINK("http://www.lingerieopt.ru/images/original/4186ecfc-a6b8-4519-a70f-e49a0ef18fee.jpg","Фото")</f>
      </c>
    </row>
    <row r="2720">
      <c r="A2720" s="7">
        <f>HYPERLINK("http://www.lingerieopt.ru/item/11219-kruzhevnoi-komplekt-belya-s-cvetochnjm-uzorom/","11219")</f>
      </c>
      <c r="B2720" s="8" t="s">
        <v>2714</v>
      </c>
      <c r="C2720" s="9">
        <v>1509</v>
      </c>
      <c r="D2720" s="0">
        <v>10</v>
      </c>
      <c r="E2720" s="10">
        <f>HYPERLINK("http://www.lingerieopt.ru/images/original/4186ecfc-a6b8-4519-a70f-e49a0ef18fee.jpg","Фото")</f>
      </c>
    </row>
    <row r="2721">
      <c r="A2721" s="7">
        <f>HYPERLINK("http://www.lingerieopt.ru/item/11251-kostyum-transformer-pomoschnica-santj-ili-alji-komplekt-belya-s-oborkami/","11251")</f>
      </c>
      <c r="B2721" s="8" t="s">
        <v>2715</v>
      </c>
      <c r="C2721" s="9">
        <v>2426</v>
      </c>
      <c r="D2721" s="0">
        <v>2</v>
      </c>
      <c r="E2721" s="10">
        <f>HYPERLINK("http://www.lingerieopt.ru/images/original/624de50f-620e-4982-abb8-8156f2efa300.jpg","Фото")</f>
      </c>
    </row>
    <row r="2722">
      <c r="A2722" s="7">
        <f>HYPERLINK("http://www.lingerieopt.ru/item/11251-kostyum-transformer-pomoschnica-santj-ili-alji-komplekt-belya-s-oborkami/","11251")</f>
      </c>
      <c r="B2722" s="8" t="s">
        <v>2716</v>
      </c>
      <c r="C2722" s="9">
        <v>2426</v>
      </c>
      <c r="D2722" s="0">
        <v>5</v>
      </c>
      <c r="E2722" s="10">
        <f>HYPERLINK("http://www.lingerieopt.ru/images/original/624de50f-620e-4982-abb8-8156f2efa300.jpg","Фото")</f>
      </c>
    </row>
    <row r="2723">
      <c r="A2723" s="7">
        <f>HYPERLINK("http://www.lingerieopt.ru/item/11269-charuyuschii-komplekt-belya-burlesque-iz-tyulya/","11269")</f>
      </c>
      <c r="B2723" s="8" t="s">
        <v>2717</v>
      </c>
      <c r="C2723" s="9">
        <v>2484</v>
      </c>
      <c r="D2723" s="0">
        <v>0</v>
      </c>
      <c r="E2723" s="10">
        <f>HYPERLINK("http://www.lingerieopt.ru/images/original/ac4cf37a-ae82-4533-962c-b7877c902383.jpg","Фото")</f>
      </c>
    </row>
    <row r="2724">
      <c r="A2724" s="7">
        <f>HYPERLINK("http://www.lingerieopt.ru/item/11269-charuyuschii-komplekt-belya-burlesque-iz-tyulya/","11269")</f>
      </c>
      <c r="B2724" s="8" t="s">
        <v>2718</v>
      </c>
      <c r="C2724" s="9">
        <v>2484</v>
      </c>
      <c r="D2724" s="0">
        <v>8</v>
      </c>
      <c r="E2724" s="10">
        <f>HYPERLINK("http://www.lingerieopt.ru/images/original/ac4cf37a-ae82-4533-962c-b7877c902383.jpg","Фото")</f>
      </c>
    </row>
    <row r="2725">
      <c r="A2725" s="7">
        <f>HYPERLINK("http://www.lingerieopt.ru/item/11283-soblaznitelnji-komplekt-belya-coline-s-vstavkami-iz-setochki-i-osheinikom/","11283")</f>
      </c>
      <c r="B2725" s="8" t="s">
        <v>2719</v>
      </c>
      <c r="C2725" s="9">
        <v>1693</v>
      </c>
      <c r="D2725" s="0">
        <v>1</v>
      </c>
      <c r="E2725" s="10">
        <f>HYPERLINK("http://www.lingerieopt.ru/images/original/245c0328-8c59-41f7-8cf1-052ac6b7d6a3.jpg","Фото")</f>
      </c>
    </row>
    <row r="2726">
      <c r="A2726" s="7">
        <f>HYPERLINK("http://www.lingerieopt.ru/item/11283-soblaznitelnji-komplekt-belya-coline-s-vstavkami-iz-setochki-i-osheinikom/","11283")</f>
      </c>
      <c r="B2726" s="8" t="s">
        <v>2720</v>
      </c>
      <c r="C2726" s="9">
        <v>1693</v>
      </c>
      <c r="D2726" s="0">
        <v>5</v>
      </c>
      <c r="E2726" s="10">
        <f>HYPERLINK("http://www.lingerieopt.ru/images/original/245c0328-8c59-41f7-8cf1-052ac6b7d6a3.jpg","Фото")</f>
      </c>
    </row>
    <row r="2727">
      <c r="A2727" s="7">
        <f>HYPERLINK("http://www.lingerieopt.ru/item/11285-soblaznitelnji-dvuhcvetnji-komplekt-belya-nea-s-cvetochnjm-kruzhevom/","11285")</f>
      </c>
      <c r="B2727" s="8" t="s">
        <v>2721</v>
      </c>
      <c r="C2727" s="9">
        <v>1840</v>
      </c>
      <c r="D2727" s="0">
        <v>7</v>
      </c>
      <c r="E2727" s="10">
        <f>HYPERLINK("http://www.lingerieopt.ru/images/original/8655a2f6-403e-43c1-ae7f-84cc0640645d.jpg","Фото")</f>
      </c>
    </row>
    <row r="2728">
      <c r="A2728" s="7">
        <f>HYPERLINK("http://www.lingerieopt.ru/item/11285-soblaznitelnji-dvuhcvetnji-komplekt-belya-nea-s-cvetochnjm-kruzhevom/","11285")</f>
      </c>
      <c r="B2728" s="8" t="s">
        <v>2722</v>
      </c>
      <c r="C2728" s="9">
        <v>1840</v>
      </c>
      <c r="D2728" s="0">
        <v>9</v>
      </c>
      <c r="E2728" s="10">
        <f>HYPERLINK("http://www.lingerieopt.ru/images/original/8655a2f6-403e-43c1-ae7f-84cc0640645d.jpg","Фото")</f>
      </c>
    </row>
    <row r="2729">
      <c r="A2729" s="7">
        <f>HYPERLINK("http://www.lingerieopt.ru/item/11291-koketlivji-komplekt-belya-ivone-s-izjskannjm-temno-sinim-kruzhevom/","11291")</f>
      </c>
      <c r="B2729" s="8" t="s">
        <v>2723</v>
      </c>
      <c r="C2729" s="9">
        <v>2001</v>
      </c>
      <c r="D2729" s="0">
        <v>9</v>
      </c>
      <c r="E2729" s="10">
        <f>HYPERLINK("http://www.lingerieopt.ru/images/original/e4780a51-a1bf-4039-aacd-e1e2a4052a80.jpg","Фото")</f>
      </c>
    </row>
    <row r="2730">
      <c r="A2730" s="7">
        <f>HYPERLINK("http://www.lingerieopt.ru/item/11291-koketlivji-komplekt-belya-ivone-s-izjskannjm-temno-sinim-kruzhevom/","11291")</f>
      </c>
      <c r="B2730" s="8" t="s">
        <v>2724</v>
      </c>
      <c r="C2730" s="9">
        <v>2001</v>
      </c>
      <c r="D2730" s="0">
        <v>8</v>
      </c>
      <c r="E2730" s="10">
        <f>HYPERLINK("http://www.lingerieopt.ru/images/original/e4780a51-a1bf-4039-aacd-e1e2a4052a80.jpg","Фото")</f>
      </c>
    </row>
    <row r="2731">
      <c r="A2731" s="7">
        <f>HYPERLINK("http://www.lingerieopt.ru/item/11292-soblaznitelnji-elastichnji-komplekt-belya/","11292")</f>
      </c>
      <c r="B2731" s="8" t="s">
        <v>2725</v>
      </c>
      <c r="C2731" s="9">
        <v>1480</v>
      </c>
      <c r="D2731" s="0">
        <v>6</v>
      </c>
      <c r="E2731" s="10">
        <f>HYPERLINK("http://www.lingerieopt.ru/images/original/00ff903d-77dd-489d-92b4-0ce1e1d877ca.jpg","Фото")</f>
      </c>
    </row>
    <row r="2732">
      <c r="A2732" s="7">
        <f>HYPERLINK("http://www.lingerieopt.ru/item/11293-elastichnji-komplekt-belya-s-dopolnitelnjmi-bretelyami/","11293")</f>
      </c>
      <c r="B2732" s="8" t="s">
        <v>2726</v>
      </c>
      <c r="C2732" s="9">
        <v>1595</v>
      </c>
      <c r="D2732" s="0">
        <v>5</v>
      </c>
      <c r="E2732" s="10">
        <f>HYPERLINK("http://www.lingerieopt.ru/images/original/b5c0fb4b-7374-4e9f-a64c-f9f151e7abfa.jpg","Фото")</f>
      </c>
    </row>
    <row r="2733">
      <c r="A2733" s="7">
        <f>HYPERLINK("http://www.lingerieopt.ru/item/11303-igrivji-poluprozrachnji-komplekt-belya-s-garterami/","11303")</f>
      </c>
      <c r="B2733" s="8" t="s">
        <v>2727</v>
      </c>
      <c r="C2733" s="9">
        <v>1691</v>
      </c>
      <c r="D2733" s="0">
        <v>11</v>
      </c>
      <c r="E2733" s="10">
        <f>HYPERLINK("http://www.lingerieopt.ru/images/original/92d245d8-4c8f-4ac0-aa4f-6f2921fd03a6.jpg","Фото")</f>
      </c>
    </row>
    <row r="2734">
      <c r="A2734" s="7">
        <f>HYPERLINK("http://www.lingerieopt.ru/item/11303-igrivji-poluprozrachnji-komplekt-belya-s-garterami/","11303")</f>
      </c>
      <c r="B2734" s="8" t="s">
        <v>2728</v>
      </c>
      <c r="C2734" s="9">
        <v>1691</v>
      </c>
      <c r="D2734" s="0">
        <v>10</v>
      </c>
      <c r="E2734" s="10">
        <f>HYPERLINK("http://www.lingerieopt.ru/images/original/92d245d8-4c8f-4ac0-aa4f-6f2921fd03a6.jpg","Фото")</f>
      </c>
    </row>
    <row r="2735">
      <c r="A2735" s="7">
        <f>HYPERLINK("http://www.lingerieopt.ru/item/11330-effektnji-kruzhevnoi-komplekt-belya-s-chashechkami-na-kostochke/","11330")</f>
      </c>
      <c r="B2735" s="8" t="s">
        <v>2729</v>
      </c>
      <c r="C2735" s="9">
        <v>1732</v>
      </c>
      <c r="D2735" s="0">
        <v>1</v>
      </c>
      <c r="E2735" s="10">
        <f>HYPERLINK("http://www.lingerieopt.ru/images/original/8dbecaa2-f19a-4016-837c-c609ff54d0cc.jpg","Фото")</f>
      </c>
    </row>
    <row r="2736">
      <c r="A2736" s="7">
        <f>HYPERLINK("http://www.lingerieopt.ru/item/11330-effektnji-kruzhevnoi-komplekt-belya-s-chashechkami-na-kostochke/","11330")</f>
      </c>
      <c r="B2736" s="8" t="s">
        <v>2730</v>
      </c>
      <c r="C2736" s="9">
        <v>1732</v>
      </c>
      <c r="D2736" s="0">
        <v>4</v>
      </c>
      <c r="E2736" s="10">
        <f>HYPERLINK("http://www.lingerieopt.ru/images/original/8dbecaa2-f19a-4016-837c-c609ff54d0cc.jpg","Фото")</f>
      </c>
    </row>
    <row r="2737">
      <c r="A2737" s="7">
        <f>HYPERLINK("http://www.lingerieopt.ru/item/11347-soblaznitelnji-kruzhevnoi-komplekt-belya-maxime-s-pikantnjmi-okoshkami/","11347")</f>
      </c>
      <c r="B2737" s="8" t="s">
        <v>2731</v>
      </c>
      <c r="C2737" s="9">
        <v>1693</v>
      </c>
      <c r="D2737" s="0">
        <v>3</v>
      </c>
      <c r="E2737" s="10">
        <f>HYPERLINK("http://www.lingerieopt.ru/images/original/70b9424c-5375-4ab5-b707-b2de09ea8b84.jpg","Фото")</f>
      </c>
    </row>
    <row r="2738">
      <c r="A2738" s="7">
        <f>HYPERLINK("http://www.lingerieopt.ru/item/11347-soblaznitelnji-kruzhevnoi-komplekt-belya-maxime-s-pikantnjmi-okoshkami/","11347")</f>
      </c>
      <c r="B2738" s="8" t="s">
        <v>2732</v>
      </c>
      <c r="C2738" s="9">
        <v>1693</v>
      </c>
      <c r="D2738" s="0">
        <v>4</v>
      </c>
      <c r="E2738" s="10">
        <f>HYPERLINK("http://www.lingerieopt.ru/images/original/70b9424c-5375-4ab5-b707-b2de09ea8b84.jpg","Фото")</f>
      </c>
    </row>
    <row r="2739">
      <c r="A2739" s="7">
        <f>HYPERLINK("http://www.lingerieopt.ru/item/11347-soblaznitelnji-kruzhevnoi-komplekt-belya-maxime-s-pikantnjmi-okoshkami/","11347")</f>
      </c>
      <c r="B2739" s="8" t="s">
        <v>2733</v>
      </c>
      <c r="C2739" s="9">
        <v>1693</v>
      </c>
      <c r="D2739" s="0">
        <v>4</v>
      </c>
      <c r="E2739" s="10">
        <f>HYPERLINK("http://www.lingerieopt.ru/images/original/70b9424c-5375-4ab5-b707-b2de09ea8b84.jpg","Фото")</f>
      </c>
    </row>
    <row r="2740">
      <c r="A2740" s="7">
        <f>HYPERLINK("http://www.lingerieopt.ru/item/11347-soblaznitelnji-kruzhevnoi-komplekt-belya-maxime-s-pikantnjmi-okoshkami/","11347")</f>
      </c>
      <c r="B2740" s="8" t="s">
        <v>2734</v>
      </c>
      <c r="C2740" s="9">
        <v>1693</v>
      </c>
      <c r="D2740" s="0">
        <v>3</v>
      </c>
      <c r="E2740" s="10">
        <f>HYPERLINK("http://www.lingerieopt.ru/images/original/70b9424c-5375-4ab5-b707-b2de09ea8b84.jpg","Фото")</f>
      </c>
    </row>
    <row r="2741">
      <c r="A2741" s="7">
        <f>HYPERLINK("http://www.lingerieopt.ru/item/11348-soblaznitelnji-kruzhevnoi-komplekt-belya-maxime-plus-size-s-pikantnjmi-okoshkami/","11348")</f>
      </c>
      <c r="B2741" s="8" t="s">
        <v>2735</v>
      </c>
      <c r="C2741" s="9">
        <v>1693</v>
      </c>
      <c r="D2741" s="0">
        <v>2</v>
      </c>
      <c r="E2741" s="10">
        <f>HYPERLINK("http://www.lingerieopt.ru/images/original/4f14d135-be55-4528-b2c5-31d5808c1fe0.jpg","Фото")</f>
      </c>
    </row>
    <row r="2742">
      <c r="A2742" s="7">
        <f>HYPERLINK("http://www.lingerieopt.ru/item/11348-soblaznitelnji-kruzhevnoi-komplekt-belya-maxime-plus-size-s-pikantnjmi-okoshkami/","11348")</f>
      </c>
      <c r="B2742" s="8" t="s">
        <v>2736</v>
      </c>
      <c r="C2742" s="9">
        <v>1693</v>
      </c>
      <c r="D2742" s="0">
        <v>2</v>
      </c>
      <c r="E2742" s="10">
        <f>HYPERLINK("http://www.lingerieopt.ru/images/original/4f14d135-be55-4528-b2c5-31d5808c1fe0.jpg","Фото")</f>
      </c>
    </row>
    <row r="2743">
      <c r="A2743" s="7">
        <f>HYPERLINK("http://www.lingerieopt.ru/item/11399-volnuyuschii-kruzhevnoi-komplekt-belya-lou-iz-3-predmetov/","11399")</f>
      </c>
      <c r="B2743" s="8" t="s">
        <v>2737</v>
      </c>
      <c r="C2743" s="9">
        <v>1578</v>
      </c>
      <c r="D2743" s="0">
        <v>5</v>
      </c>
      <c r="E2743" s="10">
        <f>HYPERLINK("http://www.lingerieopt.ru/images/original/75d800c2-3164-41de-8f2f-c075413c08df.jpg","Фото")</f>
      </c>
    </row>
    <row r="2744">
      <c r="A2744" s="7">
        <f>HYPERLINK("http://www.lingerieopt.ru/item/11399-volnuyuschii-kruzhevnoi-komplekt-belya-lou-iz-3-predmetov/","11399")</f>
      </c>
      <c r="B2744" s="8" t="s">
        <v>2738</v>
      </c>
      <c r="C2744" s="9">
        <v>1578</v>
      </c>
      <c r="D2744" s="0">
        <v>5</v>
      </c>
      <c r="E2744" s="10">
        <f>HYPERLINK("http://www.lingerieopt.ru/images/original/75d800c2-3164-41de-8f2f-c075413c08df.jpg","Фото")</f>
      </c>
    </row>
    <row r="2745">
      <c r="A2745" s="7">
        <f>HYPERLINK("http://www.lingerieopt.ru/item/11401-volshebnji-komplekt-belya-rebecca-s-prozrachnjmi-vstavkami/","11401")</f>
      </c>
      <c r="B2745" s="8" t="s">
        <v>2739</v>
      </c>
      <c r="C2745" s="9">
        <v>1636</v>
      </c>
      <c r="D2745" s="0">
        <v>1</v>
      </c>
      <c r="E2745" s="10">
        <f>HYPERLINK("http://www.lingerieopt.ru/images/original/989716db-8945-4d6f-94f6-3102519c5c08.jpg","Фото")</f>
      </c>
    </row>
    <row r="2746">
      <c r="A2746" s="7">
        <f>HYPERLINK("http://www.lingerieopt.ru/item/11401-volshebnji-komplekt-belya-rebecca-s-prozrachnjmi-vstavkami/","11401")</f>
      </c>
      <c r="B2746" s="8" t="s">
        <v>2740</v>
      </c>
      <c r="C2746" s="9">
        <v>1636</v>
      </c>
      <c r="D2746" s="0">
        <v>5</v>
      </c>
      <c r="E2746" s="10">
        <f>HYPERLINK("http://www.lingerieopt.ru/images/original/989716db-8945-4d6f-94f6-3102519c5c08.jpg","Фото")</f>
      </c>
    </row>
    <row r="2747">
      <c r="A2747" s="7">
        <f>HYPERLINK("http://www.lingerieopt.ru/item/11417-komplekt-belya-aziza-iz-strep-lent/","11417")</f>
      </c>
      <c r="B2747" s="8" t="s">
        <v>2741</v>
      </c>
      <c r="C2747" s="9">
        <v>1720</v>
      </c>
      <c r="D2747" s="0">
        <v>9</v>
      </c>
      <c r="E2747" s="10">
        <f>HYPERLINK("http://www.lingerieopt.ru/images/original/4b6f8f78-8142-4704-91eb-573fcf67e41b.jpg","Фото")</f>
      </c>
    </row>
    <row r="2748">
      <c r="A2748" s="7">
        <f>HYPERLINK("http://www.lingerieopt.ru/item/11417-komplekt-belya-aziza-iz-strep-lent/","11417")</f>
      </c>
      <c r="B2748" s="8" t="s">
        <v>2742</v>
      </c>
      <c r="C2748" s="9">
        <v>1720</v>
      </c>
      <c r="D2748" s="0">
        <v>10</v>
      </c>
      <c r="E2748" s="10">
        <f>HYPERLINK("http://www.lingerieopt.ru/images/original/4b6f8f78-8142-4704-91eb-573fcf67e41b.jpg","Фото")</f>
      </c>
    </row>
    <row r="2749">
      <c r="A2749" s="7">
        <f>HYPERLINK("http://www.lingerieopt.ru/item/11419-ekstravagantnji-komplekt-nizhnego-belya-lamis-so-strep-lentami/","11419")</f>
      </c>
      <c r="B2749" s="8" t="s">
        <v>2743</v>
      </c>
      <c r="C2749" s="9">
        <v>1661</v>
      </c>
      <c r="D2749" s="0">
        <v>13</v>
      </c>
      <c r="E2749" s="10">
        <f>HYPERLINK("http://www.lingerieopt.ru/images/original/b0357863-017c-4e4e-8b1d-da7707bfc7b1.jpg","Фото")</f>
      </c>
    </row>
    <row r="2750">
      <c r="A2750" s="7">
        <f>HYPERLINK("http://www.lingerieopt.ru/item/11419-ekstravagantnji-komplekt-nizhnego-belya-lamis-so-strep-lentami/","11419")</f>
      </c>
      <c r="B2750" s="8" t="s">
        <v>2744</v>
      </c>
      <c r="C2750" s="9">
        <v>1661</v>
      </c>
      <c r="D2750" s="0">
        <v>7</v>
      </c>
      <c r="E2750" s="10">
        <f>HYPERLINK("http://www.lingerieopt.ru/images/original/b0357863-017c-4e4e-8b1d-da7707bfc7b1.jpg","Фото")</f>
      </c>
    </row>
    <row r="2751">
      <c r="A2751" s="7">
        <f>HYPERLINK("http://www.lingerieopt.ru/item/11420-ekstravagantnji-komplekt-belya-lamis-plus-size-so-strep-lentami/","11420")</f>
      </c>
      <c r="B2751" s="8" t="s">
        <v>2745</v>
      </c>
      <c r="C2751" s="9">
        <v>1661</v>
      </c>
      <c r="D2751" s="0">
        <v>4</v>
      </c>
      <c r="E2751" s="10">
        <f>HYPERLINK("http://www.lingerieopt.ru/images/original/412b04da-f1ae-42d9-abc8-51de89243544.jpg","Фото")</f>
      </c>
    </row>
    <row r="2752">
      <c r="A2752" s="7">
        <f>HYPERLINK("http://www.lingerieopt.ru/item/11421-otkrovennji-komplekt-belya-midori-s-otkrjtjm-lifom-i-perforaciei/","11421")</f>
      </c>
      <c r="B2752" s="8" t="s">
        <v>2746</v>
      </c>
      <c r="C2752" s="9">
        <v>1673</v>
      </c>
      <c r="D2752" s="0">
        <v>8</v>
      </c>
      <c r="E2752" s="10">
        <f>HYPERLINK("http://www.lingerieopt.ru/images/original/8478952b-7ae3-4974-9654-c4c88b7c1eca.jpg","Фото")</f>
      </c>
    </row>
    <row r="2753">
      <c r="A2753" s="7">
        <f>HYPERLINK("http://www.lingerieopt.ru/item/11421-otkrovennji-komplekt-belya-midori-s-otkrjtjm-lifom-i-perforaciei/","11421")</f>
      </c>
      <c r="B2753" s="8" t="s">
        <v>2747</v>
      </c>
      <c r="C2753" s="9">
        <v>1673</v>
      </c>
      <c r="D2753" s="0">
        <v>12</v>
      </c>
      <c r="E2753" s="10">
        <f>HYPERLINK("http://www.lingerieopt.ru/images/original/8478952b-7ae3-4974-9654-c4c88b7c1eca.jpg","Фото")</f>
      </c>
    </row>
    <row r="2754">
      <c r="A2754" s="7">
        <f>HYPERLINK("http://www.lingerieopt.ru/item/11422-otkrovennji-komplekt-belya-midori-plus-size-s-otkrjtjm-lifom-i-perforaciei/","11422")</f>
      </c>
      <c r="B2754" s="8" t="s">
        <v>2748</v>
      </c>
      <c r="C2754" s="9">
        <v>1673</v>
      </c>
      <c r="D2754" s="0">
        <v>4</v>
      </c>
      <c r="E2754" s="10">
        <f>HYPERLINK("http://www.lingerieopt.ru/images/original/2259e3c4-1910-437c-a81f-cc1b1a5bda06.jpg","Фото")</f>
      </c>
    </row>
    <row r="2755">
      <c r="A2755" s="7">
        <f>HYPERLINK("http://www.lingerieopt.ru/item/11423-koketlivji-komplekt-belya-praline-s-poluotkrjtjm-lifom/","11423")</f>
      </c>
      <c r="B2755" s="8" t="s">
        <v>2749</v>
      </c>
      <c r="C2755" s="9">
        <v>1661</v>
      </c>
      <c r="D2755" s="0">
        <v>3</v>
      </c>
      <c r="E2755" s="10">
        <f>HYPERLINK("http://www.lingerieopt.ru/images/original/497065b4-853d-4d73-aca6-f9fb3ad6f1ba.jpg","Фото")</f>
      </c>
    </row>
    <row r="2756">
      <c r="A2756" s="7">
        <f>HYPERLINK("http://www.lingerieopt.ru/item/11423-koketlivji-komplekt-belya-praline-s-poluotkrjtjm-lifom/","11423")</f>
      </c>
      <c r="B2756" s="8" t="s">
        <v>2750</v>
      </c>
      <c r="C2756" s="9">
        <v>1661</v>
      </c>
      <c r="D2756" s="0">
        <v>5</v>
      </c>
      <c r="E2756" s="10">
        <f>HYPERLINK("http://www.lingerieopt.ru/images/original/497065b4-853d-4d73-aca6-f9fb3ad6f1ba.jpg","Фото")</f>
      </c>
    </row>
    <row r="2757">
      <c r="A2757" s="7">
        <f>HYPERLINK("http://www.lingerieopt.ru/item/11425-kruzhevnoi-komplekt-belya-saria-s-otkrjtjm-lifom-i-strep-lentami/","11425")</f>
      </c>
      <c r="B2757" s="8" t="s">
        <v>2751</v>
      </c>
      <c r="C2757" s="9">
        <v>1568</v>
      </c>
      <c r="D2757" s="0">
        <v>3</v>
      </c>
      <c r="E2757" s="10">
        <f>HYPERLINK("http://www.lingerieopt.ru/images/original/f6fc546f-1a7f-4957-b4e4-3a1d5d25743b.jpg","Фото")</f>
      </c>
    </row>
    <row r="2758">
      <c r="A2758" s="7">
        <f>HYPERLINK("http://www.lingerieopt.ru/item/11425-kruzhevnoi-komplekt-belya-saria-s-otkrjtjm-lifom-i-strep-lentami/","11425")</f>
      </c>
      <c r="B2758" s="8" t="s">
        <v>2752</v>
      </c>
      <c r="C2758" s="9">
        <v>1568</v>
      </c>
      <c r="D2758" s="0">
        <v>4</v>
      </c>
      <c r="E2758" s="10">
        <f>HYPERLINK("http://www.lingerieopt.ru/images/original/f6fc546f-1a7f-4957-b4e4-3a1d5d25743b.jpg","Фото")</f>
      </c>
    </row>
    <row r="2759">
      <c r="A2759" s="7">
        <f>HYPERLINK("http://www.lingerieopt.ru/item/11427-otkrovennji-komplekt-belya-valery-s-otkrjtjm-lifom/","11427")</f>
      </c>
      <c r="B2759" s="8" t="s">
        <v>2753</v>
      </c>
      <c r="C2759" s="9">
        <v>1673</v>
      </c>
      <c r="D2759" s="0">
        <v>10</v>
      </c>
      <c r="E2759" s="10">
        <f>HYPERLINK("http://www.lingerieopt.ru/images/original/b9f22361-4a7b-401a-be87-a2343c194d06.jpg","Фото")</f>
      </c>
    </row>
    <row r="2760">
      <c r="A2760" s="7">
        <f>HYPERLINK("http://www.lingerieopt.ru/item/11427-otkrovennji-komplekt-belya-valery-s-otkrjtjm-lifom/","11427")</f>
      </c>
      <c r="B2760" s="8" t="s">
        <v>2754</v>
      </c>
      <c r="C2760" s="9">
        <v>1673</v>
      </c>
      <c r="D2760" s="0">
        <v>8</v>
      </c>
      <c r="E2760" s="10">
        <f>HYPERLINK("http://www.lingerieopt.ru/images/original/b9f22361-4a7b-401a-be87-a2343c194d06.jpg","Фото")</f>
      </c>
    </row>
    <row r="2761">
      <c r="A2761" s="7">
        <f>HYPERLINK("http://www.lingerieopt.ru/item/11429-komplekt-belya-navel-iz-tkani-s-wet-look-effektom/","11429")</f>
      </c>
      <c r="B2761" s="8" t="s">
        <v>2755</v>
      </c>
      <c r="C2761" s="9">
        <v>1806</v>
      </c>
      <c r="D2761" s="0">
        <v>6</v>
      </c>
      <c r="E2761" s="10">
        <f>HYPERLINK("http://www.lingerieopt.ru/images/original/1799cf3f-28dd-4587-a0db-f7a48f3b1c3f.jpg","Фото")</f>
      </c>
    </row>
    <row r="2762">
      <c r="A2762" s="7">
        <f>HYPERLINK("http://www.lingerieopt.ru/item/11429-komplekt-belya-navel-iz-tkani-s-wet-look-effektom/","11429")</f>
      </c>
      <c r="B2762" s="8" t="s">
        <v>2756</v>
      </c>
      <c r="C2762" s="9">
        <v>1806</v>
      </c>
      <c r="D2762" s="0">
        <v>8</v>
      </c>
      <c r="E2762" s="10">
        <f>HYPERLINK("http://www.lingerieopt.ru/images/original/1799cf3f-28dd-4587-a0db-f7a48f3b1c3f.jpg","Фото")</f>
      </c>
    </row>
    <row r="2763">
      <c r="A2763" s="7">
        <f>HYPERLINK("http://www.lingerieopt.ru/item/11441-roskoshnji-kruzhevnoi-komplekt-iz-topa-i-trusikov-shortikov/","11441")</f>
      </c>
      <c r="B2763" s="8" t="s">
        <v>2757</v>
      </c>
      <c r="C2763" s="9">
        <v>1612</v>
      </c>
      <c r="D2763" s="0">
        <v>10</v>
      </c>
      <c r="E2763" s="10">
        <f>HYPERLINK("http://www.lingerieopt.ru/images/original/ab908c30-af4a-402e-82da-cc863551902a.jpg","Фото")</f>
      </c>
    </row>
    <row r="2764">
      <c r="A2764" s="7">
        <f>HYPERLINK("http://www.lingerieopt.ru/item/11441-roskoshnji-kruzhevnoi-komplekt-iz-topa-i-trusikov-shortikov/","11441")</f>
      </c>
      <c r="B2764" s="8" t="s">
        <v>2758</v>
      </c>
      <c r="C2764" s="9">
        <v>1612</v>
      </c>
      <c r="D2764" s="0">
        <v>10</v>
      </c>
      <c r="E2764" s="10">
        <f>HYPERLINK("http://www.lingerieopt.ru/images/original/ab908c30-af4a-402e-82da-cc863551902a.jpg","Фото")</f>
      </c>
    </row>
    <row r="2765">
      <c r="A2765" s="7">
        <f>HYPERLINK("http://www.lingerieopt.ru/item/11446-charuyuschii-kruzhevnoi-komplekt-belya-s-vjsokim-poyasom-dlya-chulok/","11446")</f>
      </c>
      <c r="B2765" s="8" t="s">
        <v>2759</v>
      </c>
      <c r="C2765" s="9">
        <v>1863</v>
      </c>
      <c r="D2765" s="0">
        <v>3</v>
      </c>
      <c r="E2765" s="10">
        <f>HYPERLINK("http://www.lingerieopt.ru/images/original/e445d8c3-fedd-4bcf-ba0e-6b585a981857.jpg","Фото")</f>
      </c>
    </row>
    <row r="2766">
      <c r="A2766" s="7">
        <f>HYPERLINK("http://www.lingerieopt.ru/item/11446-charuyuschii-kruzhevnoi-komplekt-belya-s-vjsokim-poyasom-dlya-chulok/","11446")</f>
      </c>
      <c r="B2766" s="8" t="s">
        <v>2760</v>
      </c>
      <c r="C2766" s="9">
        <v>1863</v>
      </c>
      <c r="D2766" s="0">
        <v>2</v>
      </c>
      <c r="E2766" s="10">
        <f>HYPERLINK("http://www.lingerieopt.ru/images/original/e445d8c3-fedd-4bcf-ba0e-6b585a981857.jpg","Фото")</f>
      </c>
    </row>
    <row r="2767">
      <c r="A2767" s="7">
        <f>HYPERLINK("http://www.lingerieopt.ru/item/11447-charuyuschii-kruzhevnoi-komplekt-belya-iz-3-predmetov/","11447")</f>
      </c>
      <c r="B2767" s="8" t="s">
        <v>2761</v>
      </c>
      <c r="C2767" s="9">
        <v>1671</v>
      </c>
      <c r="D2767" s="0">
        <v>8</v>
      </c>
      <c r="E2767" s="10">
        <f>HYPERLINK("http://www.lingerieopt.ru/images/original/03e7f3b1-2b7f-40e1-b6a3-e86fd6688946.jpg","Фото")</f>
      </c>
    </row>
    <row r="2768">
      <c r="A2768" s="7">
        <f>HYPERLINK("http://www.lingerieopt.ru/item/11447-charuyuschii-kruzhevnoi-komplekt-belya-iz-3-predmetov/","11447")</f>
      </c>
      <c r="B2768" s="8" t="s">
        <v>2762</v>
      </c>
      <c r="C2768" s="9">
        <v>1671</v>
      </c>
      <c r="D2768" s="0">
        <v>5</v>
      </c>
      <c r="E2768" s="10">
        <f>HYPERLINK("http://www.lingerieopt.ru/images/original/03e7f3b1-2b7f-40e1-b6a3-e86fd6688946.jpg","Фото")</f>
      </c>
    </row>
    <row r="2769">
      <c r="A2769" s="7">
        <f>HYPERLINK("http://www.lingerieopt.ru/item/11448-soblaznitelnji-azhurnji-komplekt-belya-s-cvetochnjm-uzorom/","11448")</f>
      </c>
      <c r="B2769" s="8" t="s">
        <v>2763</v>
      </c>
      <c r="C2769" s="9">
        <v>1308</v>
      </c>
      <c r="D2769" s="0">
        <v>2</v>
      </c>
      <c r="E2769" s="10">
        <f>HYPERLINK("http://www.lingerieopt.ru/images/original/79db208c-8c94-444b-ac21-7053b768364c.jpg","Фото")</f>
      </c>
    </row>
    <row r="2770">
      <c r="A2770" s="7">
        <f>HYPERLINK("http://www.lingerieopt.ru/item/11448-soblaznitelnji-azhurnji-komplekt-belya-s-cvetochnjm-uzorom/","11448")</f>
      </c>
      <c r="B2770" s="8" t="s">
        <v>2764</v>
      </c>
      <c r="C2770" s="9">
        <v>1308</v>
      </c>
      <c r="D2770" s="0">
        <v>9</v>
      </c>
      <c r="E2770" s="10">
        <f>HYPERLINK("http://www.lingerieopt.ru/images/original/79db208c-8c94-444b-ac21-7053b768364c.jpg","Фото")</f>
      </c>
    </row>
    <row r="2771">
      <c r="A2771" s="7">
        <f>HYPERLINK("http://www.lingerieopt.ru/item/11460-charuyuschii-komplekt-belya-plus-size-s-vjsokim-kruzhevnjm-poyasom-dlya-chulok/","11460")</f>
      </c>
      <c r="B2771" s="8" t="s">
        <v>2765</v>
      </c>
      <c r="C2771" s="9">
        <v>1857</v>
      </c>
      <c r="D2771" s="0">
        <v>6</v>
      </c>
      <c r="E2771" s="10">
        <f>HYPERLINK("http://www.lingerieopt.ru/images/original/612f5053-5768-4af8-83fb-346b48eb6b8f.jpg","Фото")</f>
      </c>
    </row>
    <row r="2772">
      <c r="A2772" s="7">
        <f>HYPERLINK("http://www.lingerieopt.ru/item/11461-charuyuschii-komplekt-belya-iz-cvetochnogo-kruzheva/","11461")</f>
      </c>
      <c r="B2772" s="8" t="s">
        <v>2766</v>
      </c>
      <c r="C2772" s="9">
        <v>1439</v>
      </c>
      <c r="D2772" s="0">
        <v>6</v>
      </c>
      <c r="E2772" s="10">
        <f>HYPERLINK("http://www.lingerieopt.ru/images/original/66c2291f-9def-4e31-bcaa-27add1d46950.jpg","Фото")</f>
      </c>
    </row>
    <row r="2773">
      <c r="A2773" s="7">
        <f>HYPERLINK("http://www.lingerieopt.ru/item/11461-charuyuschii-komplekt-belya-iz-cvetochnogo-kruzheva/","11461")</f>
      </c>
      <c r="B2773" s="8" t="s">
        <v>2767</v>
      </c>
      <c r="C2773" s="9">
        <v>1439</v>
      </c>
      <c r="D2773" s="0">
        <v>10</v>
      </c>
      <c r="E2773" s="10">
        <f>HYPERLINK("http://www.lingerieopt.ru/images/original/66c2291f-9def-4e31-bcaa-27add1d46950.jpg","Фото")</f>
      </c>
    </row>
    <row r="2774">
      <c r="A2774" s="7">
        <f>HYPERLINK("http://www.lingerieopt.ru/item/11462-chuvstvennji-komplekt-belya-s-kruzhevnjm-vorotnikom/","11462")</f>
      </c>
      <c r="B2774" s="8" t="s">
        <v>2768</v>
      </c>
      <c r="C2774" s="9">
        <v>1507</v>
      </c>
      <c r="D2774" s="0">
        <v>10</v>
      </c>
      <c r="E2774" s="10">
        <f>HYPERLINK("http://www.lingerieopt.ru/images/original/25a13ce6-8194-4abe-877f-63073fdf9c1f.jpg","Фото")</f>
      </c>
    </row>
    <row r="2775">
      <c r="A2775" s="7">
        <f>HYPERLINK("http://www.lingerieopt.ru/item/11462-chuvstvennji-komplekt-belya-s-kruzhevnjm-vorotnikom/","11462")</f>
      </c>
      <c r="B2775" s="8" t="s">
        <v>2769</v>
      </c>
      <c r="C2775" s="9">
        <v>1507</v>
      </c>
      <c r="D2775" s="0">
        <v>10</v>
      </c>
      <c r="E2775" s="10">
        <f>HYPERLINK("http://www.lingerieopt.ru/images/original/25a13ce6-8194-4abe-877f-63073fdf9c1f.jpg","Фото")</f>
      </c>
    </row>
    <row r="2776">
      <c r="A2776" s="7">
        <f>HYPERLINK("http://www.lingerieopt.ru/item/11463-komplekt-belya-iz-nezhnogo-cvetochnogo-kruzheva-s-tonenkimi-bretelyami/","11463")</f>
      </c>
      <c r="B2776" s="8" t="s">
        <v>2770</v>
      </c>
      <c r="C2776" s="9">
        <v>1530</v>
      </c>
      <c r="D2776" s="0">
        <v>10</v>
      </c>
      <c r="E2776" s="10">
        <f>HYPERLINK("http://www.lingerieopt.ru/images/original/61dfcb84-9250-4151-bfe2-92d197fd5147.jpg","Фото")</f>
      </c>
    </row>
    <row r="2777">
      <c r="A2777" s="7">
        <f>HYPERLINK("http://www.lingerieopt.ru/item/11463-komplekt-belya-iz-nezhnogo-cvetochnogo-kruzheva-s-tonenkimi-bretelyami/","11463")</f>
      </c>
      <c r="B2777" s="8" t="s">
        <v>2771</v>
      </c>
      <c r="C2777" s="9">
        <v>1530</v>
      </c>
      <c r="D2777" s="0">
        <v>9</v>
      </c>
      <c r="E2777" s="10">
        <f>HYPERLINK("http://www.lingerieopt.ru/images/original/61dfcb84-9250-4151-bfe2-92d197fd5147.jpg","Фото")</f>
      </c>
    </row>
    <row r="2778">
      <c r="A2778" s="7">
        <f>HYPERLINK("http://www.lingerieopt.ru/item/11463-komplekt-belya-iz-nezhnogo-cvetochnogo-kruzheva-s-tonenkimi-bretelyami/","11463")</f>
      </c>
      <c r="B2778" s="8" t="s">
        <v>2772</v>
      </c>
      <c r="C2778" s="9">
        <v>1530</v>
      </c>
      <c r="D2778" s="0">
        <v>10</v>
      </c>
      <c r="E2778" s="10">
        <f>HYPERLINK("http://www.lingerieopt.ru/images/original/61dfcb84-9250-4151-bfe2-92d197fd5147.jpg","Фото")</f>
      </c>
    </row>
    <row r="2779">
      <c r="A2779" s="7">
        <f>HYPERLINK("http://www.lingerieopt.ru/item/11463-komplekt-belya-iz-nezhnogo-cvetochnogo-kruzheva-s-tonenkimi-bretelyami/","11463")</f>
      </c>
      <c r="B2779" s="8" t="s">
        <v>2773</v>
      </c>
      <c r="C2779" s="9">
        <v>1530</v>
      </c>
      <c r="D2779" s="0">
        <v>10</v>
      </c>
      <c r="E2779" s="10">
        <f>HYPERLINK("http://www.lingerieopt.ru/images/original/61dfcb84-9250-4151-bfe2-92d197fd5147.jpg","Фото")</f>
      </c>
    </row>
    <row r="2780">
      <c r="A2780" s="5"/>
      <c r="B2780" s="6" t="s">
        <v>2774</v>
      </c>
      <c r="C2780" s="5"/>
      <c r="D2780" s="5"/>
      <c r="E2780" s="5"/>
    </row>
    <row r="2781">
      <c r="A2781" s="7">
        <f>HYPERLINK("http://www.lingerieopt.ru/item/629-kostyum-setka-s-risunkom/","629")</f>
      </c>
      <c r="B2781" s="8" t="s">
        <v>2775</v>
      </c>
      <c r="C2781" s="9">
        <v>537</v>
      </c>
      <c r="D2781" s="0">
        <v>6</v>
      </c>
      <c r="E2781" s="10">
        <f>HYPERLINK("http://www.lingerieopt.ru/images/original/4e176d11-f0dc-43e8-bf8f-9260db547aaa.jpg","Фото")</f>
      </c>
    </row>
    <row r="2782">
      <c r="A2782" s="7">
        <f>HYPERLINK("http://www.lingerieopt.ru/item/632-kostyum-setka-s-uzorom/","632")</f>
      </c>
      <c r="B2782" s="8" t="s">
        <v>2776</v>
      </c>
      <c r="C2782" s="9">
        <v>647</v>
      </c>
      <c r="D2782" s="0">
        <v>25</v>
      </c>
      <c r="E2782" s="10">
        <f>HYPERLINK("http://www.lingerieopt.ru/images/original/62aa4f1f-1bca-4c8a-abb1-4447cbcd9cf0.jpg","Фото")</f>
      </c>
    </row>
    <row r="2783">
      <c r="A2783" s="7">
        <f>HYPERLINK("http://www.lingerieopt.ru/item/724-poluprozrachnoe-bodi-s-chulkami/","724")</f>
      </c>
      <c r="B2783" s="8" t="s">
        <v>2777</v>
      </c>
      <c r="C2783" s="9">
        <v>607</v>
      </c>
      <c r="D2783" s="0">
        <v>42</v>
      </c>
      <c r="E2783" s="10">
        <f>HYPERLINK("http://www.lingerieopt.ru/images/original/8c0195c6-2e49-465b-9128-f544f984a45c.jpg","Фото")</f>
      </c>
    </row>
    <row r="2784">
      <c r="A2784" s="7">
        <f>HYPERLINK("http://www.lingerieopt.ru/item/732-kombinezon-s-otkrjtjm-plechom/","732")</f>
      </c>
      <c r="B2784" s="8" t="s">
        <v>2778</v>
      </c>
      <c r="C2784" s="9">
        <v>478</v>
      </c>
      <c r="D2784" s="0">
        <v>2</v>
      </c>
      <c r="E2784" s="10">
        <f>HYPERLINK("http://www.lingerieopt.ru/images/original/26f30116-4af2-4cae-bce8-2b0047ca357c.jpg","Фото")</f>
      </c>
    </row>
    <row r="2785">
      <c r="A2785" s="7">
        <f>HYPERLINK("http://www.lingerieopt.ru/item/740-kombinezon-s-uzorami-v-melkuyu-setku/","740")</f>
      </c>
      <c r="B2785" s="8" t="s">
        <v>2779</v>
      </c>
      <c r="C2785" s="9">
        <v>606</v>
      </c>
      <c r="D2785" s="0">
        <v>2</v>
      </c>
      <c r="E2785" s="10">
        <f>HYPERLINK("http://www.lingerieopt.ru/images/original/b8800e28-6a0c-41ae-a69e-c453a5b9e811.jpg","Фото")</f>
      </c>
    </row>
    <row r="2786">
      <c r="A2786" s="7">
        <f>HYPERLINK("http://www.lingerieopt.ru/item/741-kombinezon-s-chulkami-i-kozhanjmi-remnyami/","741")</f>
      </c>
      <c r="B2786" s="8" t="s">
        <v>2780</v>
      </c>
      <c r="C2786" s="9">
        <v>766</v>
      </c>
      <c r="D2786" s="0">
        <v>9</v>
      </c>
      <c r="E2786" s="10">
        <f>HYPERLINK("http://www.lingerieopt.ru/images/original/88ef6926-bc6e-4f03-a0b4-cf076fcce9a4.jpg","Фото")</f>
      </c>
    </row>
    <row r="2787">
      <c r="A2787" s="7">
        <f>HYPERLINK("http://www.lingerieopt.ru/item/742-kruzhevnoi-kombinezon-s-dlinnjmi-rukavami/","742")</f>
      </c>
      <c r="B2787" s="8" t="s">
        <v>2781</v>
      </c>
      <c r="C2787" s="9">
        <v>848</v>
      </c>
      <c r="D2787" s="0">
        <v>6</v>
      </c>
      <c r="E2787" s="10">
        <f>HYPERLINK("http://www.lingerieopt.ru/images/original/31d87a8e-64f2-4f14-b78c-f3d830f40931.jpg","Фото")</f>
      </c>
    </row>
    <row r="2788">
      <c r="A2788" s="7">
        <f>HYPERLINK("http://www.lingerieopt.ru/item/743-kombinezon-so-shnurovkoi-i-dlinnjmi-rukavami/","743")</f>
      </c>
      <c r="B2788" s="8" t="s">
        <v>2782</v>
      </c>
      <c r="C2788" s="9">
        <v>593</v>
      </c>
      <c r="D2788" s="0">
        <v>4</v>
      </c>
      <c r="E2788" s="10">
        <f>HYPERLINK("http://www.lingerieopt.ru/images/original/ac393a81-b1c2-481a-9c71-df86ecb0e060.jpg","Фото")</f>
      </c>
    </row>
    <row r="2789">
      <c r="A2789" s="7">
        <f>HYPERLINK("http://www.lingerieopt.ru/item/1975-originalnji-kombinezon/","1975")</f>
      </c>
      <c r="B2789" s="8" t="s">
        <v>2783</v>
      </c>
      <c r="C2789" s="9">
        <v>1003</v>
      </c>
      <c r="D2789" s="0">
        <v>1</v>
      </c>
      <c r="E2789" s="10">
        <f>HYPERLINK("http://www.lingerieopt.ru/images/original/ab83a0e1-26fb-490c-bd2e-7f706eca0fd7.jpg","Фото")</f>
      </c>
    </row>
    <row r="2790">
      <c r="A2790" s="7">
        <f>HYPERLINK("http://www.lingerieopt.ru/item/2010-kombinezon-amkezia/","2010")</f>
      </c>
      <c r="B2790" s="8" t="s">
        <v>2784</v>
      </c>
      <c r="C2790" s="9">
        <v>636</v>
      </c>
      <c r="D2790" s="0">
        <v>10</v>
      </c>
      <c r="E2790" s="10">
        <f>HYPERLINK("http://www.lingerieopt.ru/images/original/59ec3eaf-62ca-4344-a802-7104db4e4512.jpg","Фото")</f>
      </c>
    </row>
    <row r="2791">
      <c r="A2791" s="7">
        <f>HYPERLINK("http://www.lingerieopt.ru/item/2449-kombinezon-setka-s-dlinnjmi-rukavami-i-dostupom/","2449")</f>
      </c>
      <c r="B2791" s="8" t="s">
        <v>2785</v>
      </c>
      <c r="C2791" s="9">
        <v>803</v>
      </c>
      <c r="D2791" s="0">
        <v>1</v>
      </c>
      <c r="E2791" s="10">
        <f>HYPERLINK("http://www.lingerieopt.ru/images/original/a8190f7b-fd01-4e8f-b5f9-c75f601ca9f0.jpg","Фото")</f>
      </c>
    </row>
    <row r="2792">
      <c r="A2792" s="7">
        <f>HYPERLINK("http://www.lingerieopt.ru/item/2450-kombinezon-setka-s-dekorativnoi-shnurovkoi-na-grudi/","2450")</f>
      </c>
      <c r="B2792" s="8" t="s">
        <v>2786</v>
      </c>
      <c r="C2792" s="9">
        <v>787</v>
      </c>
      <c r="D2792" s="0">
        <v>18</v>
      </c>
      <c r="E2792" s="10">
        <f>HYPERLINK("http://www.lingerieopt.ru/images/original/d1c28389-908f-42ca-b9d1-10128f324c5c.jpg","Фото")</f>
      </c>
    </row>
    <row r="2793">
      <c r="A2793" s="7">
        <f>HYPERLINK("http://www.lingerieopt.ru/item/2451-kombinezon-setka-s-azhurnjm-verhom/","2451")</f>
      </c>
      <c r="B2793" s="8" t="s">
        <v>2787</v>
      </c>
      <c r="C2793" s="9">
        <v>1239</v>
      </c>
      <c r="D2793" s="0">
        <v>2</v>
      </c>
      <c r="E2793" s="10">
        <f>HYPERLINK("http://www.lingerieopt.ru/images/original/7f2f8f3f-ad4c-4b16-b2cb-c82ea2dfa12b.jpg","Фото")</f>
      </c>
    </row>
    <row r="2794">
      <c r="A2794" s="7">
        <f>HYPERLINK("http://www.lingerieopt.ru/item/2459-setevoi-kombinezon-s-petlei-i-dostupom/","2459")</f>
      </c>
      <c r="B2794" s="8" t="s">
        <v>2788</v>
      </c>
      <c r="C2794" s="9">
        <v>612</v>
      </c>
      <c r="D2794" s="0">
        <v>0</v>
      </c>
      <c r="E2794" s="10">
        <f>HYPERLINK("http://www.lingerieopt.ru/images/original/5ec28cdd-f0aa-4218-88b9-179a02acab24.jpg","Фото")</f>
      </c>
    </row>
    <row r="2795">
      <c r="A2795" s="7">
        <f>HYPERLINK("http://www.lingerieopt.ru/item/2459-setevoi-kombinezon-s-petlei-i-dostupom/","2459")</f>
      </c>
      <c r="B2795" s="8" t="s">
        <v>2789</v>
      </c>
      <c r="C2795" s="9">
        <v>612</v>
      </c>
      <c r="D2795" s="0">
        <v>7</v>
      </c>
      <c r="E2795" s="10">
        <f>HYPERLINK("http://www.lingerieopt.ru/images/original/5ec28cdd-f0aa-4218-88b9-179a02acab24.jpg","Фото")</f>
      </c>
    </row>
    <row r="2796">
      <c r="A2796" s="7">
        <f>HYPERLINK("http://www.lingerieopt.ru/item/2460-setevoi-ketsyuit-s-azhurnjm-verhom/","2460")</f>
      </c>
      <c r="B2796" s="8" t="s">
        <v>2790</v>
      </c>
      <c r="C2796" s="9">
        <v>1015</v>
      </c>
      <c r="D2796" s="0">
        <v>1</v>
      </c>
      <c r="E2796" s="10">
        <f>HYPERLINK("http://www.lingerieopt.ru/images/original/14e323e1-27db-4f5b-ae63-3fd76b127dd1.jpg","Фото")</f>
      </c>
    </row>
    <row r="2797">
      <c r="A2797" s="7">
        <f>HYPERLINK("http://www.lingerieopt.ru/item/2461-kombinezon-setka-s-rombovidnjm-uzorom/","2461")</f>
      </c>
      <c r="B2797" s="8" t="s">
        <v>2791</v>
      </c>
      <c r="C2797" s="9">
        <v>599</v>
      </c>
      <c r="D2797" s="0">
        <v>0</v>
      </c>
      <c r="E2797" s="10">
        <f>HYPERLINK("http://www.lingerieopt.ru/images/original/c796ed76-e1ec-4c9b-a987-48528872352f.jpg","Фото")</f>
      </c>
    </row>
    <row r="2798">
      <c r="A2798" s="7">
        <f>HYPERLINK("http://www.lingerieopt.ru/item/2461-kombinezon-setka-s-rombovidnjm-uzorom/","2461")</f>
      </c>
      <c r="B2798" s="8" t="s">
        <v>2792</v>
      </c>
      <c r="C2798" s="9">
        <v>599</v>
      </c>
      <c r="D2798" s="0">
        <v>7</v>
      </c>
      <c r="E2798" s="10">
        <f>HYPERLINK("http://www.lingerieopt.ru/images/original/c796ed76-e1ec-4c9b-a987-48528872352f.jpg","Фото")</f>
      </c>
    </row>
    <row r="2799">
      <c r="A2799" s="7">
        <f>HYPERLINK("http://www.lingerieopt.ru/item/2801-kostyum-setka-na-bretelyah/","2801")</f>
      </c>
      <c r="B2799" s="8" t="s">
        <v>2793</v>
      </c>
      <c r="C2799" s="9">
        <v>551</v>
      </c>
      <c r="D2799" s="0">
        <v>14</v>
      </c>
      <c r="E2799" s="10">
        <f>HYPERLINK("http://www.lingerieopt.ru/images/original/f93be36b-7948-40bd-b875-70b53d31d8bc.jpg","Фото")</f>
      </c>
    </row>
    <row r="2800">
      <c r="A2800" s="7">
        <f>HYPERLINK("http://www.lingerieopt.ru/item/2832-leopardovji-kombinezon-setka-na-tonkih-rozovjh-bretelyah/","2832")</f>
      </c>
      <c r="B2800" s="8" t="s">
        <v>2794</v>
      </c>
      <c r="C2800" s="9">
        <v>644</v>
      </c>
      <c r="D2800" s="0">
        <v>6</v>
      </c>
      <c r="E2800" s="10">
        <f>HYPERLINK("http://www.lingerieopt.ru/images/original/0b236b3f-8e69-4917-933b-eb651e7f1845.jpg","Фото")</f>
      </c>
    </row>
    <row r="2801">
      <c r="A2801" s="7">
        <f>HYPERLINK("http://www.lingerieopt.ru/item/3339-poluprozrachnji-kombinezon-s-zamjslovatjm-uzorom-i-dostupom/","3339")</f>
      </c>
      <c r="B2801" s="8" t="s">
        <v>2795</v>
      </c>
      <c r="C2801" s="9">
        <v>683</v>
      </c>
      <c r="D2801" s="0">
        <v>6</v>
      </c>
      <c r="E2801" s="10">
        <f>HYPERLINK("http://www.lingerieopt.ru/images/original/f84a3e95-1168-4f79-b413-47da08d950b5.jpg","Фото")</f>
      </c>
    </row>
    <row r="2802">
      <c r="A2802" s="7">
        <f>HYPERLINK("http://www.lingerieopt.ru/item/3340-azhurnji-kombinezon-s-krupnjm-cvetochnjm-uzorom/","3340")</f>
      </c>
      <c r="B2802" s="8" t="s">
        <v>2796</v>
      </c>
      <c r="C2802" s="9">
        <v>668</v>
      </c>
      <c r="D2802" s="0">
        <v>14</v>
      </c>
      <c r="E2802" s="10">
        <f>HYPERLINK("http://www.lingerieopt.ru/images/original/43471453-cccb-474a-a5ac-1f5860b1e892.jpg","Фото")</f>
      </c>
    </row>
    <row r="2803">
      <c r="A2803" s="7">
        <f>HYPERLINK("http://www.lingerieopt.ru/item/3417-kombinezon-chulok-s-perekreschennjmi-na-spinke-bretelyami-i-imitaciei-chulok/","3417")</f>
      </c>
      <c r="B2803" s="8" t="s">
        <v>2797</v>
      </c>
      <c r="C2803" s="9">
        <v>1252</v>
      </c>
      <c r="D2803" s="0">
        <v>0</v>
      </c>
      <c r="E2803" s="10">
        <f>HYPERLINK("http://www.lingerieopt.ru/images/original/e2d161c2-a29d-4a49-b5d1-34c4f26c7766.jpg","Фото")</f>
      </c>
    </row>
    <row r="2804">
      <c r="A2804" s="7">
        <f>HYPERLINK("http://www.lingerieopt.ru/item/3417-kombinezon-chulok-s-perekreschennjmi-na-spinke-bretelyami-i-imitaciei-chulok/","3417")</f>
      </c>
      <c r="B2804" s="8" t="s">
        <v>2798</v>
      </c>
      <c r="C2804" s="9">
        <v>1252</v>
      </c>
      <c r="D2804" s="0">
        <v>0</v>
      </c>
      <c r="E2804" s="10">
        <f>HYPERLINK("http://www.lingerieopt.ru/images/original/e2d161c2-a29d-4a49-b5d1-34c4f26c7766.jpg","Фото")</f>
      </c>
    </row>
    <row r="2805">
      <c r="A2805" s="7">
        <f>HYPERLINK("http://www.lingerieopt.ru/item/3417-kombinezon-chulok-s-perekreschennjmi-na-spinke-bretelyami-i-imitaciei-chulok/","3417")</f>
      </c>
      <c r="B2805" s="8" t="s">
        <v>2799</v>
      </c>
      <c r="C2805" s="9">
        <v>1252</v>
      </c>
      <c r="D2805" s="0">
        <v>7</v>
      </c>
      <c r="E2805" s="10">
        <f>HYPERLINK("http://www.lingerieopt.ru/images/original/e2d161c2-a29d-4a49-b5d1-34c4f26c7766.jpg","Фото")</f>
      </c>
    </row>
    <row r="2806">
      <c r="A2806" s="7">
        <f>HYPERLINK("http://www.lingerieopt.ru/item/3421-ketsyuit-s-assimetrichnjm-topom-i-chulkami/","3421")</f>
      </c>
      <c r="B2806" s="8" t="s">
        <v>2800</v>
      </c>
      <c r="C2806" s="9">
        <v>578</v>
      </c>
      <c r="D2806" s="0">
        <v>1</v>
      </c>
      <c r="E2806" s="10">
        <f>HYPERLINK("http://www.lingerieopt.ru/images/original/b7413609-5a76-437b-abcd-a2d9ad60222a.jpg","Фото")</f>
      </c>
    </row>
    <row r="2807">
      <c r="A2807" s="7">
        <f>HYPERLINK("http://www.lingerieopt.ru/item/3503-oblegayuschii-kombinezon-chulok-iz-krupnoi-setki/","3503")</f>
      </c>
      <c r="B2807" s="8" t="s">
        <v>2801</v>
      </c>
      <c r="C2807" s="9">
        <v>1110</v>
      </c>
      <c r="D2807" s="0">
        <v>1</v>
      </c>
      <c r="E2807" s="10">
        <f>HYPERLINK("http://www.lingerieopt.ru/images/original/88f0ec60-9f41-406a-92d8-2327a343370c.jpg","Фото")</f>
      </c>
    </row>
    <row r="2808">
      <c r="A2808" s="7">
        <f>HYPERLINK("http://www.lingerieopt.ru/item/3507-kostyum-setka-s-imitaciei-shnurovki/","3507")</f>
      </c>
      <c r="B2808" s="8" t="s">
        <v>2802</v>
      </c>
      <c r="C2808" s="9">
        <v>670</v>
      </c>
      <c r="D2808" s="0">
        <v>1</v>
      </c>
      <c r="E2808" s="10">
        <f>HYPERLINK("http://www.lingerieopt.ru/images/original/d5fe3d76-941a-483b-a0b5-2a372b3bfff8.jpg","Фото")</f>
      </c>
    </row>
    <row r="2809">
      <c r="A2809" s="7">
        <f>HYPERLINK("http://www.lingerieopt.ru/item/3553-oblegayuschii-kombinezon-chulok-so-shnurovkoi/","3553")</f>
      </c>
      <c r="B2809" s="8" t="s">
        <v>2803</v>
      </c>
      <c r="C2809" s="9">
        <v>1176</v>
      </c>
      <c r="D2809" s="0">
        <v>30</v>
      </c>
      <c r="E2809" s="10">
        <f>HYPERLINK("http://www.lingerieopt.ru/images/original/8b927880-ae10-4a73-bff2-3d34ec518238.jpg","Фото")</f>
      </c>
    </row>
    <row r="2810">
      <c r="A2810" s="7">
        <f>HYPERLINK("http://www.lingerieopt.ru/item/3616-kombinezon-chulok-s-glubokim-kruzhevnjm-vjrezom/","3616")</f>
      </c>
      <c r="B2810" s="8" t="s">
        <v>2804</v>
      </c>
      <c r="C2810" s="9">
        <v>1193</v>
      </c>
      <c r="D2810" s="0">
        <v>3</v>
      </c>
      <c r="E2810" s="10">
        <f>HYPERLINK("http://www.lingerieopt.ru/images/original/51d8a850-3018-4d97-9117-9b5245ed95d1.jpg","Фото")</f>
      </c>
    </row>
    <row r="2811">
      <c r="A2811" s="7">
        <f>HYPERLINK("http://www.lingerieopt.ru/item/3746-ketsyuit-s-dostupom/","3746")</f>
      </c>
      <c r="B2811" s="8" t="s">
        <v>2805</v>
      </c>
      <c r="C2811" s="9">
        <v>1170</v>
      </c>
      <c r="D2811" s="0">
        <v>1</v>
      </c>
      <c r="E2811" s="10">
        <f>HYPERLINK("http://www.lingerieopt.ru/images/original/4c1325c9-de32-44c2-8f1a-6c0562dedfb4.jpg","Фото")</f>
      </c>
    </row>
    <row r="2812">
      <c r="A2812" s="7">
        <f>HYPERLINK("http://www.lingerieopt.ru/item/3956-ketsyuit-s-risunkom-v-vide-babochek/","3956")</f>
      </c>
      <c r="B2812" s="8" t="s">
        <v>2806</v>
      </c>
      <c r="C2812" s="9">
        <v>1286</v>
      </c>
      <c r="D2812" s="0">
        <v>30</v>
      </c>
      <c r="E2812" s="10">
        <f>HYPERLINK("http://www.lingerieopt.ru/images/original/6935512e-0f75-4520-a4c6-3f164d3737f9.jpg","Фото")</f>
      </c>
    </row>
    <row r="2813">
      <c r="A2813" s="7">
        <f>HYPERLINK("http://www.lingerieopt.ru/item/3959-setchatji-ketsyuit-s-otkrjtoi-spinoi/","3959")</f>
      </c>
      <c r="B2813" s="8" t="s">
        <v>2807</v>
      </c>
      <c r="C2813" s="9">
        <v>880</v>
      </c>
      <c r="D2813" s="0">
        <v>1</v>
      </c>
      <c r="E2813" s="10">
        <f>HYPERLINK("http://www.lingerieopt.ru/images/original/00d7965b-1458-4e30-8b12-4ec1e56e49f4.jpg","Фото")</f>
      </c>
    </row>
    <row r="2814">
      <c r="A2814" s="7">
        <f>HYPERLINK("http://www.lingerieopt.ru/item/3961-ketsyuit-na-tonkih-bretelyah/","3961")</f>
      </c>
      <c r="B2814" s="8" t="s">
        <v>2808</v>
      </c>
      <c r="C2814" s="9">
        <v>1003</v>
      </c>
      <c r="D2814" s="0">
        <v>1</v>
      </c>
      <c r="E2814" s="10">
        <f>HYPERLINK("http://www.lingerieopt.ru/images/original/4e0c9eb8-9e43-4cef-a143-9db4bb61273c.jpg","Фото")</f>
      </c>
    </row>
    <row r="2815">
      <c r="A2815" s="7">
        <f>HYPERLINK("http://www.lingerieopt.ru/item/3963-ketsyuit-s-vjrezom-na-zhivote/","3963")</f>
      </c>
      <c r="B2815" s="8" t="s">
        <v>2809</v>
      </c>
      <c r="C2815" s="9">
        <v>1044</v>
      </c>
      <c r="D2815" s="0">
        <v>6</v>
      </c>
      <c r="E2815" s="10">
        <f>HYPERLINK("http://www.lingerieopt.ru/images/original/9851e21b-9261-4d49-a263-f216ff30f546.jpg","Фото")</f>
      </c>
    </row>
    <row r="2816">
      <c r="A2816" s="7">
        <f>HYPERLINK("http://www.lingerieopt.ru/item/3964-setchatji-ketsyuit-s-rozovjm-bantom/","3964")</f>
      </c>
      <c r="B2816" s="8" t="s">
        <v>2810</v>
      </c>
      <c r="C2816" s="9">
        <v>906</v>
      </c>
      <c r="D2816" s="0">
        <v>30</v>
      </c>
      <c r="E2816" s="10">
        <f>HYPERLINK("http://www.lingerieopt.ru/images/original/43465e28-fe93-4b8a-ab4f-89237d920430.jpg","Фото")</f>
      </c>
    </row>
    <row r="2817">
      <c r="A2817" s="7">
        <f>HYPERLINK("http://www.lingerieopt.ru/item/4043-ketsyuit-v-krupnuyu-setku-s-dlinnjmi-rukavami/","4043")</f>
      </c>
      <c r="B2817" s="8" t="s">
        <v>2811</v>
      </c>
      <c r="C2817" s="9">
        <v>1322</v>
      </c>
      <c r="D2817" s="0">
        <v>6</v>
      </c>
      <c r="E2817" s="10">
        <f>HYPERLINK("http://www.lingerieopt.ru/images/original/389d5a74-2ff1-4acb-8f80-b1632824e3d6.jpg","Фото")</f>
      </c>
    </row>
    <row r="2818">
      <c r="A2818" s="7">
        <f>HYPERLINK("http://www.lingerieopt.ru/item/4250-ketsyuit-s-originalnjm-pleteniem-setki/","4250")</f>
      </c>
      <c r="B2818" s="8" t="s">
        <v>2812</v>
      </c>
      <c r="C2818" s="9">
        <v>1016</v>
      </c>
      <c r="D2818" s="0">
        <v>30</v>
      </c>
      <c r="E2818" s="10">
        <f>HYPERLINK("http://www.lingerieopt.ru/images/original/d6e62888-eb6e-4b66-8fe1-2c32b410ef75.jpg","Фото")</f>
      </c>
    </row>
    <row r="2819">
      <c r="A2819" s="7">
        <f>HYPERLINK("http://www.lingerieopt.ru/item/4411-ocharovatelnji-kruzhevnoi-ketsyuit/","4411")</f>
      </c>
      <c r="B2819" s="8" t="s">
        <v>2813</v>
      </c>
      <c r="C2819" s="9">
        <v>1246</v>
      </c>
      <c r="D2819" s="0">
        <v>0</v>
      </c>
      <c r="E2819" s="10">
        <f>HYPERLINK("http://www.lingerieopt.ru/images/original/b26a17aa-e970-4022-8c37-07a3fd50c121.jpg","Фото")</f>
      </c>
    </row>
    <row r="2820">
      <c r="A2820" s="7">
        <f>HYPERLINK("http://www.lingerieopt.ru/item/4411-ocharovatelnji-kruzhevnoi-ketsyuit/","4411")</f>
      </c>
      <c r="B2820" s="8" t="s">
        <v>2814</v>
      </c>
      <c r="C2820" s="9">
        <v>1246</v>
      </c>
      <c r="D2820" s="0">
        <v>10</v>
      </c>
      <c r="E2820" s="10">
        <f>HYPERLINK("http://www.lingerieopt.ru/images/original/b26a17aa-e970-4022-8c37-07a3fd50c121.jpg","Фото")</f>
      </c>
    </row>
    <row r="2821">
      <c r="A2821" s="7">
        <f>HYPERLINK("http://www.lingerieopt.ru/item/4411-ocharovatelnji-kruzhevnoi-ketsyuit/","4411")</f>
      </c>
      <c r="B2821" s="8" t="s">
        <v>2815</v>
      </c>
      <c r="C2821" s="9">
        <v>1246</v>
      </c>
      <c r="D2821" s="0">
        <v>0</v>
      </c>
      <c r="E2821" s="10">
        <f>HYPERLINK("http://www.lingerieopt.ru/images/original/b26a17aa-e970-4022-8c37-07a3fd50c121.jpg","Фото")</f>
      </c>
    </row>
    <row r="2822">
      <c r="A2822" s="7">
        <f>HYPERLINK("http://www.lingerieopt.ru/item/4422-azhurnji-ketsyuit-s-chulkami/","4422")</f>
      </c>
      <c r="B2822" s="8" t="s">
        <v>2816</v>
      </c>
      <c r="C2822" s="9">
        <v>1116</v>
      </c>
      <c r="D2822" s="0">
        <v>0</v>
      </c>
      <c r="E2822" s="10">
        <f>HYPERLINK("http://www.lingerieopt.ru/images/original/8d70c87f-4272-44cc-8bf3-b02f8d24b3a2.jpg","Фото")</f>
      </c>
    </row>
    <row r="2823">
      <c r="A2823" s="7">
        <f>HYPERLINK("http://www.lingerieopt.ru/item/4422-azhurnji-ketsyuit-s-chulkami/","4422")</f>
      </c>
      <c r="B2823" s="8" t="s">
        <v>2817</v>
      </c>
      <c r="C2823" s="9">
        <v>1116</v>
      </c>
      <c r="D2823" s="0">
        <v>0</v>
      </c>
      <c r="E2823" s="10">
        <f>HYPERLINK("http://www.lingerieopt.ru/images/original/8d70c87f-4272-44cc-8bf3-b02f8d24b3a2.jpg","Фото")</f>
      </c>
    </row>
    <row r="2824">
      <c r="A2824" s="7">
        <f>HYPERLINK("http://www.lingerieopt.ru/item/4422-azhurnji-ketsyuit-s-chulkami/","4422")</f>
      </c>
      <c r="B2824" s="8" t="s">
        <v>2818</v>
      </c>
      <c r="C2824" s="9">
        <v>1116</v>
      </c>
      <c r="D2824" s="0">
        <v>4</v>
      </c>
      <c r="E2824" s="10">
        <f>HYPERLINK("http://www.lingerieopt.ru/images/original/8d70c87f-4272-44cc-8bf3-b02f8d24b3a2.jpg","Фото")</f>
      </c>
    </row>
    <row r="2825">
      <c r="A2825" s="7">
        <f>HYPERLINK("http://www.lingerieopt.ru/item/4426-zhenstvennji-ketsyuit-s-cvetochnjm-motivom/","4426")</f>
      </c>
      <c r="B2825" s="8" t="s">
        <v>2819</v>
      </c>
      <c r="C2825" s="9">
        <v>1374</v>
      </c>
      <c r="D2825" s="0">
        <v>10</v>
      </c>
      <c r="E2825" s="10">
        <f>HYPERLINK("http://www.lingerieopt.ru/images/original/92182d0d-fc15-4084-91e7-f6085c6cd1a0.jpg","Фото")</f>
      </c>
    </row>
    <row r="2826">
      <c r="A2826" s="7">
        <f>HYPERLINK("http://www.lingerieopt.ru/item/4646-setchatji-ketsyuit-so-shnurovkoi-i-razrezom/","4646")</f>
      </c>
      <c r="B2826" s="8" t="s">
        <v>2820</v>
      </c>
      <c r="C2826" s="9">
        <v>2437</v>
      </c>
      <c r="D2826" s="0">
        <v>30</v>
      </c>
      <c r="E2826" s="10">
        <f>HYPERLINK("http://www.lingerieopt.ru/images/original/99f77253-064a-47f5-8768-83b94c49e677.jpg","Фото")</f>
      </c>
    </row>
    <row r="2827">
      <c r="A2827" s="7">
        <f>HYPERLINK("http://www.lingerieopt.ru/item/4647-ketsyuit-so-shnurovkoi-na-spine-i-kruzhevnoi-otdelkoi-po-lifu/","4647")</f>
      </c>
      <c r="B2827" s="8" t="s">
        <v>2821</v>
      </c>
      <c r="C2827" s="9">
        <v>2437</v>
      </c>
      <c r="D2827" s="0">
        <v>0</v>
      </c>
      <c r="E2827" s="10">
        <f>HYPERLINK("http://www.lingerieopt.ru/images/original/e8c7b521-c3c4-4065-a3fa-a4238dfcecd7.jpg","Фото")</f>
      </c>
    </row>
    <row r="2828">
      <c r="A2828" s="7">
        <f>HYPERLINK("http://www.lingerieopt.ru/item/4647-ketsyuit-so-shnurovkoi-na-spine-i-kruzhevnoi-otdelkoi-po-lifu/","4647")</f>
      </c>
      <c r="B2828" s="8" t="s">
        <v>2822</v>
      </c>
      <c r="C2828" s="9">
        <v>2437</v>
      </c>
      <c r="D2828" s="0">
        <v>6</v>
      </c>
      <c r="E2828" s="10">
        <f>HYPERLINK("http://www.lingerieopt.ru/images/original/e8c7b521-c3c4-4065-a3fa-a4238dfcecd7.jpg","Фото")</f>
      </c>
    </row>
    <row r="2829">
      <c r="A2829" s="7">
        <f>HYPERLINK("http://www.lingerieopt.ru/item/4659-ketsyuit-s-vjrezami-po-bokam/","4659")</f>
      </c>
      <c r="B2829" s="8" t="s">
        <v>2823</v>
      </c>
      <c r="C2829" s="9">
        <v>1322</v>
      </c>
      <c r="D2829" s="0">
        <v>30</v>
      </c>
      <c r="E2829" s="10">
        <f>HYPERLINK("http://www.lingerieopt.ru/images/original/edb562da-9efc-44bf-8c31-8fbc032c1d14.jpg","Фото")</f>
      </c>
    </row>
    <row r="2830">
      <c r="A2830" s="7">
        <f>HYPERLINK("http://www.lingerieopt.ru/item/4660-ketsyuit-s-neobjchnjm-cvetochnjm-ornamentom/","4660")</f>
      </c>
      <c r="B2830" s="8" t="s">
        <v>2824</v>
      </c>
      <c r="C2830" s="9">
        <v>1016</v>
      </c>
      <c r="D2830" s="0">
        <v>6</v>
      </c>
      <c r="E2830" s="10">
        <f>HYPERLINK("http://www.lingerieopt.ru/images/original/d6f88be2-876b-41d6-9cb9-75552ab35b1c.jpg","Фото")</f>
      </c>
    </row>
    <row r="2831">
      <c r="A2831" s="7">
        <f>HYPERLINK("http://www.lingerieopt.ru/item/4660-ketsyuit-s-neobjchnjm-cvetochnjm-ornamentom/","4660")</f>
      </c>
      <c r="B2831" s="8" t="s">
        <v>2825</v>
      </c>
      <c r="C2831" s="9">
        <v>1016</v>
      </c>
      <c r="D2831" s="0">
        <v>0</v>
      </c>
      <c r="E2831" s="10">
        <f>HYPERLINK("http://www.lingerieopt.ru/images/original/d6f88be2-876b-41d6-9cb9-75552ab35b1c.jpg","Фото")</f>
      </c>
    </row>
    <row r="2832">
      <c r="A2832" s="7">
        <f>HYPERLINK("http://www.lingerieopt.ru/item/4665-ketsyuit-v-krupnuyu-setku/","4665")</f>
      </c>
      <c r="B2832" s="8" t="s">
        <v>2826</v>
      </c>
      <c r="C2832" s="9">
        <v>1487</v>
      </c>
      <c r="D2832" s="0">
        <v>6</v>
      </c>
      <c r="E2832" s="10">
        <f>HYPERLINK("http://www.lingerieopt.ru/images/original/ef278289-b28e-4c11-be6b-a42dc0b8d0f1.jpg","Фото")</f>
      </c>
    </row>
    <row r="2833">
      <c r="A2833" s="7">
        <f>HYPERLINK("http://www.lingerieopt.ru/item/4672-azhurnji-ketsyuit-s-cvetochnjmi-motivami/","4672")</f>
      </c>
      <c r="B2833" s="8" t="s">
        <v>2827</v>
      </c>
      <c r="C2833" s="9">
        <v>1487</v>
      </c>
      <c r="D2833" s="0">
        <v>1</v>
      </c>
      <c r="E2833" s="10">
        <f>HYPERLINK("http://www.lingerieopt.ru/images/original/665d9603-26e5-48ec-b603-616d5c4b01d2.jpg","Фото")</f>
      </c>
    </row>
    <row r="2834">
      <c r="A2834" s="7">
        <f>HYPERLINK("http://www.lingerieopt.ru/item/4872-ketsyuit-s-krugljmi-otverstiyami/","4872")</f>
      </c>
      <c r="B2834" s="8" t="s">
        <v>2828</v>
      </c>
      <c r="C2834" s="9">
        <v>1438</v>
      </c>
      <c r="D2834" s="0">
        <v>10</v>
      </c>
      <c r="E2834" s="10">
        <f>HYPERLINK("http://www.lingerieopt.ru/images/original/e6384eab-d36a-42f1-b447-1a719e3ba5f2.jpg","Фото")</f>
      </c>
    </row>
    <row r="2835">
      <c r="A2835" s="7">
        <f>HYPERLINK("http://www.lingerieopt.ru/item/4896-ketsyuit-v-vertikalnuyu-polosku-s-bretelyu-na-shee/","4896")</f>
      </c>
      <c r="B2835" s="8" t="s">
        <v>2829</v>
      </c>
      <c r="C2835" s="9">
        <v>1487</v>
      </c>
      <c r="D2835" s="0">
        <v>6</v>
      </c>
      <c r="E2835" s="10">
        <f>HYPERLINK("http://www.lingerieopt.ru/images/original/7a6f0f7d-bb90-4c12-bb06-83336320f0d6.jpg","Фото")</f>
      </c>
    </row>
    <row r="2836">
      <c r="A2836" s="7">
        <f>HYPERLINK("http://www.lingerieopt.ru/item/5273-kombinezon-v-setku-s-kruzhevnjmi-uzorami-vjrezom-kapelkoi-i-bantom-na-life/","5273")</f>
      </c>
      <c r="B2836" s="8" t="s">
        <v>2830</v>
      </c>
      <c r="C2836" s="9">
        <v>441</v>
      </c>
      <c r="D2836" s="0">
        <v>3</v>
      </c>
      <c r="E2836" s="10">
        <f>HYPERLINK("http://www.lingerieopt.ru/images/original/a66fd7e0-d8f6-4932-8807-8e168139bebd.jpg","Фото")</f>
      </c>
    </row>
    <row r="2837">
      <c r="A2837" s="7">
        <f>HYPERLINK("http://www.lingerieopt.ru/item/5940-kombinezon-debby-na-molnii/","5940")</f>
      </c>
      <c r="B2837" s="8" t="s">
        <v>2831</v>
      </c>
      <c r="C2837" s="9">
        <v>2530</v>
      </c>
      <c r="D2837" s="0">
        <v>5</v>
      </c>
      <c r="E2837" s="10">
        <f>HYPERLINK("http://www.lingerieopt.ru/images/original/e5cfead1-aa8a-4084-9ff3-9f4cca871bb2.jpg","Фото")</f>
      </c>
    </row>
    <row r="2838">
      <c r="A2838" s="7">
        <f>HYPERLINK("http://www.lingerieopt.ru/item/5940-kombinezon-debby-na-molnii/","5940")</f>
      </c>
      <c r="B2838" s="8" t="s">
        <v>2832</v>
      </c>
      <c r="C2838" s="9">
        <v>2530</v>
      </c>
      <c r="D2838" s="0">
        <v>5</v>
      </c>
      <c r="E2838" s="10">
        <f>HYPERLINK("http://www.lingerieopt.ru/images/original/e5cfead1-aa8a-4084-9ff3-9f4cca871bb2.jpg","Фото")</f>
      </c>
    </row>
    <row r="2839">
      <c r="A2839" s="7">
        <f>HYPERLINK("http://www.lingerieopt.ru/item/6055-ketsyuit-s-dlinnjmi-rukavami-i-v-obraznjm-vjrezom/","6055")</f>
      </c>
      <c r="B2839" s="8" t="s">
        <v>2833</v>
      </c>
      <c r="C2839" s="9">
        <v>631</v>
      </c>
      <c r="D2839" s="0">
        <v>31</v>
      </c>
      <c r="E2839" s="10">
        <f>HYPERLINK("http://www.lingerieopt.ru/images/original/3c891cab-30c3-44a3-8001-15bae977e6ce.jpg","Фото")</f>
      </c>
    </row>
    <row r="2840">
      <c r="A2840" s="7">
        <f>HYPERLINK("http://www.lingerieopt.ru/item/6057-ketsyuit-v-melkuyu-setku/","6057")</f>
      </c>
      <c r="B2840" s="8" t="s">
        <v>2834</v>
      </c>
      <c r="C2840" s="9">
        <v>629</v>
      </c>
      <c r="D2840" s="0">
        <v>30</v>
      </c>
      <c r="E2840" s="10">
        <f>HYPERLINK("http://www.lingerieopt.ru/images/original/099a0777-1a79-4991-86d4-a168b0ab0ae3.jpg","Фото")</f>
      </c>
    </row>
    <row r="2841">
      <c r="A2841" s="7">
        <f>HYPERLINK("http://www.lingerieopt.ru/item/6121-poluprozrachnji-ketsyuit-s-azhurnjm-uzorom/","6121")</f>
      </c>
      <c r="B2841" s="8" t="s">
        <v>2835</v>
      </c>
      <c r="C2841" s="9">
        <v>1374</v>
      </c>
      <c r="D2841" s="0">
        <v>10</v>
      </c>
      <c r="E2841" s="10">
        <f>HYPERLINK("http://www.lingerieopt.ru/images/original/4f5e3004-b806-43be-9a26-60cefca161db.jpg","Фото")</f>
      </c>
    </row>
    <row r="2842">
      <c r="A2842" s="7">
        <f>HYPERLINK("http://www.lingerieopt.ru/item/6250-poluprozrachnji-kombinezon-s-uzorom-pod-zebru-i-dostupom/","6250")</f>
      </c>
      <c r="B2842" s="8" t="s">
        <v>2836</v>
      </c>
      <c r="C2842" s="9">
        <v>636</v>
      </c>
      <c r="D2842" s="0">
        <v>8</v>
      </c>
      <c r="E2842" s="10">
        <f>HYPERLINK("http://www.lingerieopt.ru/images/original/ea4f8473-3904-4f4d-90aa-ceedb5792982.jpg","Фото")</f>
      </c>
    </row>
    <row r="2843">
      <c r="A2843" s="7">
        <f>HYPERLINK("http://www.lingerieopt.ru/item/6250-poluprozrachnji-kombinezon-s-uzorom-pod-zebru-i-dostupom/","6250")</f>
      </c>
      <c r="B2843" s="8" t="s">
        <v>2837</v>
      </c>
      <c r="C2843" s="9">
        <v>636</v>
      </c>
      <c r="D2843" s="0">
        <v>7</v>
      </c>
      <c r="E2843" s="10">
        <f>HYPERLINK("http://www.lingerieopt.ru/images/original/ea4f8473-3904-4f4d-90aa-ceedb5792982.jpg","Фото")</f>
      </c>
    </row>
    <row r="2844">
      <c r="A2844" s="7">
        <f>HYPERLINK("http://www.lingerieopt.ru/item/6251-azhurnji-kombinezon-s-cvetochnjm-uzorom-vjrezom-kapelkoi-na-grudi-i-dostupom/","6251")</f>
      </c>
      <c r="B2844" s="8" t="s">
        <v>2838</v>
      </c>
      <c r="C2844" s="9">
        <v>636</v>
      </c>
      <c r="D2844" s="0">
        <v>9</v>
      </c>
      <c r="E2844" s="10">
        <f>HYPERLINK("http://www.lingerieopt.ru/images/original/f16d26b4-93ce-4478-b15f-2e80e88a08fd.jpg","Фото")</f>
      </c>
    </row>
    <row r="2845">
      <c r="A2845" s="7">
        <f>HYPERLINK("http://www.lingerieopt.ru/item/6252-setchatji-kombinezon-s-imitaciei-chulok-i-dostupom/","6252")</f>
      </c>
      <c r="B2845" s="8" t="s">
        <v>2839</v>
      </c>
      <c r="C2845" s="9">
        <v>636</v>
      </c>
      <c r="D2845" s="0">
        <v>6</v>
      </c>
      <c r="E2845" s="10">
        <f>HYPERLINK("http://www.lingerieopt.ru/images/original/43962eda-f7e2-4264-87ee-249d676d6498.jpg","Фото")</f>
      </c>
    </row>
    <row r="2846">
      <c r="A2846" s="7">
        <f>HYPERLINK("http://www.lingerieopt.ru/item/6252-setchatji-kombinezon-s-imitaciei-chulok-i-dostupom/","6252")</f>
      </c>
      <c r="B2846" s="8" t="s">
        <v>2840</v>
      </c>
      <c r="C2846" s="9">
        <v>636</v>
      </c>
      <c r="D2846" s="0">
        <v>4</v>
      </c>
      <c r="E2846" s="10">
        <f>HYPERLINK("http://www.lingerieopt.ru/images/original/43962eda-f7e2-4264-87ee-249d676d6498.jpg","Фото")</f>
      </c>
    </row>
    <row r="2847">
      <c r="A2847" s="7">
        <f>HYPERLINK("http://www.lingerieopt.ru/item/6253-kombinezon-s-otkrjtjmi-bedrami/","6253")</f>
      </c>
      <c r="B2847" s="8" t="s">
        <v>2841</v>
      </c>
      <c r="C2847" s="9">
        <v>636</v>
      </c>
      <c r="D2847" s="0">
        <v>4</v>
      </c>
      <c r="E2847" s="10">
        <f>HYPERLINK("http://www.lingerieopt.ru/images/original/d6a0b542-d6cc-44d3-a2c1-f3ec6cfc4d90.jpg","Фото")</f>
      </c>
    </row>
    <row r="2848">
      <c r="A2848" s="7">
        <f>HYPERLINK("http://www.lingerieopt.ru/item/6253-kombinezon-s-otkrjtjmi-bedrami/","6253")</f>
      </c>
      <c r="B2848" s="8" t="s">
        <v>2842</v>
      </c>
      <c r="C2848" s="9">
        <v>636</v>
      </c>
      <c r="D2848" s="0">
        <v>3</v>
      </c>
      <c r="E2848" s="10">
        <f>HYPERLINK("http://www.lingerieopt.ru/images/original/d6a0b542-d6cc-44d3-a2c1-f3ec6cfc4d90.jpg","Фото")</f>
      </c>
    </row>
    <row r="2849">
      <c r="A2849" s="7">
        <f>HYPERLINK("http://www.lingerieopt.ru/item/6254-azhurnji-kombinezon-s-melkim-kletchatjm-uzorom-i-dostupom/","6254")</f>
      </c>
      <c r="B2849" s="8" t="s">
        <v>2843</v>
      </c>
      <c r="C2849" s="9">
        <v>636</v>
      </c>
      <c r="D2849" s="0">
        <v>9</v>
      </c>
      <c r="E2849" s="10">
        <f>HYPERLINK("http://www.lingerieopt.ru/images/original/9ec4aedf-4d05-4f7c-a3ec-4f7ec88a75e2.jpg","Фото")</f>
      </c>
    </row>
    <row r="2850">
      <c r="A2850" s="7">
        <f>HYPERLINK("http://www.lingerieopt.ru/item/6254-azhurnji-kombinezon-s-melkim-kletchatjm-uzorom-i-dostupom/","6254")</f>
      </c>
      <c r="B2850" s="8" t="s">
        <v>2844</v>
      </c>
      <c r="C2850" s="9">
        <v>636</v>
      </c>
      <c r="D2850" s="0">
        <v>15</v>
      </c>
      <c r="E2850" s="10">
        <f>HYPERLINK("http://www.lingerieopt.ru/images/original/9ec4aedf-4d05-4f7c-a3ec-4f7ec88a75e2.jpg","Фото")</f>
      </c>
    </row>
    <row r="2851">
      <c r="A2851" s="7">
        <f>HYPERLINK("http://www.lingerieopt.ru/item/6255-kombinezon-s-lyamochkoi-na-odno-plecho-i-krupnjm-cvetochnjm-uzorom/","6255")</f>
      </c>
      <c r="B2851" s="8" t="s">
        <v>2845</v>
      </c>
      <c r="C2851" s="9">
        <v>636</v>
      </c>
      <c r="D2851" s="0">
        <v>10</v>
      </c>
      <c r="E2851" s="10">
        <f>HYPERLINK("http://www.lingerieopt.ru/images/original/99849e9a-6beb-4d38-890e-830c892d06e0.jpg","Фото")</f>
      </c>
    </row>
    <row r="2852">
      <c r="A2852" s="7">
        <f>HYPERLINK("http://www.lingerieopt.ru/item/6255-kombinezon-s-lyamochkoi-na-odno-plecho-i-krupnjm-cvetochnjm-uzorom/","6255")</f>
      </c>
      <c r="B2852" s="8" t="s">
        <v>2846</v>
      </c>
      <c r="C2852" s="9">
        <v>636</v>
      </c>
      <c r="D2852" s="0">
        <v>8</v>
      </c>
      <c r="E2852" s="10">
        <f>HYPERLINK("http://www.lingerieopt.ru/images/original/99849e9a-6beb-4d38-890e-830c892d06e0.jpg","Фото")</f>
      </c>
    </row>
    <row r="2853">
      <c r="A2853" s="7">
        <f>HYPERLINK("http://www.lingerieopt.ru/item/6255-kombinezon-s-lyamochkoi-na-odno-plecho-i-krupnjm-cvetochnjm-uzorom/","6255")</f>
      </c>
      <c r="B2853" s="8" t="s">
        <v>2847</v>
      </c>
      <c r="C2853" s="9">
        <v>636</v>
      </c>
      <c r="D2853" s="0">
        <v>4</v>
      </c>
      <c r="E2853" s="10">
        <f>HYPERLINK("http://www.lingerieopt.ru/images/original/99849e9a-6beb-4d38-890e-830c892d06e0.jpg","Фото")</f>
      </c>
    </row>
    <row r="2854">
      <c r="A2854" s="7">
        <f>HYPERLINK("http://www.lingerieopt.ru/item/6256-poluprozrachnji-kombinezon-s-azhurnoi-verhnei-chastyu/","6256")</f>
      </c>
      <c r="B2854" s="8" t="s">
        <v>2848</v>
      </c>
      <c r="C2854" s="9">
        <v>1103</v>
      </c>
      <c r="D2854" s="0">
        <v>8</v>
      </c>
      <c r="E2854" s="10">
        <f>HYPERLINK("http://www.lingerieopt.ru/images/original/abe91f88-1679-41a5-9da1-6e1f70a19027.jpg","Фото")</f>
      </c>
    </row>
    <row r="2855">
      <c r="A2855" s="7">
        <f>HYPERLINK("http://www.lingerieopt.ru/item/6256-poluprozrachnji-kombinezon-s-azhurnoi-verhnei-chastyu/","6256")</f>
      </c>
      <c r="B2855" s="8" t="s">
        <v>2849</v>
      </c>
      <c r="C2855" s="9">
        <v>1103</v>
      </c>
      <c r="D2855" s="0">
        <v>12</v>
      </c>
      <c r="E2855" s="10">
        <f>HYPERLINK("http://www.lingerieopt.ru/images/original/abe91f88-1679-41a5-9da1-6e1f70a19027.jpg","Фото")</f>
      </c>
    </row>
    <row r="2856">
      <c r="A2856" s="7">
        <f>HYPERLINK("http://www.lingerieopt.ru/item/6257-kombinezon-s-krugljmi-vjrezami-na-chulkah-i-po-bokam/","6257")</f>
      </c>
      <c r="B2856" s="8" t="s">
        <v>2850</v>
      </c>
      <c r="C2856" s="9">
        <v>636</v>
      </c>
      <c r="D2856" s="0">
        <v>0</v>
      </c>
      <c r="E2856" s="10">
        <f>HYPERLINK("http://www.lingerieopt.ru/images/original/f49be963-d6df-4d96-84ab-d2caff4ad995.jpg","Фото")</f>
      </c>
    </row>
    <row r="2857">
      <c r="A2857" s="7">
        <f>HYPERLINK("http://www.lingerieopt.ru/item/6257-kombinezon-s-krugljmi-vjrezami-na-chulkah-i-po-bokam/","6257")</f>
      </c>
      <c r="B2857" s="8" t="s">
        <v>2851</v>
      </c>
      <c r="C2857" s="9">
        <v>636</v>
      </c>
      <c r="D2857" s="0">
        <v>13</v>
      </c>
      <c r="E2857" s="10">
        <f>HYPERLINK("http://www.lingerieopt.ru/images/original/f49be963-d6df-4d96-84ab-d2caff4ad995.jpg","Фото")</f>
      </c>
    </row>
    <row r="2858">
      <c r="A2858" s="7">
        <f>HYPERLINK("http://www.lingerieopt.ru/item/6258-kombinezon-v-krupnuyu-setku-s-dostupom/","6258")</f>
      </c>
      <c r="B2858" s="8" t="s">
        <v>2852</v>
      </c>
      <c r="C2858" s="9">
        <v>636</v>
      </c>
      <c r="D2858" s="0">
        <v>10</v>
      </c>
      <c r="E2858" s="10">
        <f>HYPERLINK("http://www.lingerieopt.ru/images/original/ac85af05-0e2a-4a6b-a35c-2a0fcd62f80d.jpg","Фото")</f>
      </c>
    </row>
    <row r="2859">
      <c r="A2859" s="7">
        <f>HYPERLINK("http://www.lingerieopt.ru/item/6258-kombinezon-v-krupnuyu-setku-s-dostupom/","6258")</f>
      </c>
      <c r="B2859" s="8" t="s">
        <v>2853</v>
      </c>
      <c r="C2859" s="9">
        <v>636</v>
      </c>
      <c r="D2859" s="0">
        <v>1</v>
      </c>
      <c r="E2859" s="10">
        <f>HYPERLINK("http://www.lingerieopt.ru/images/original/ac85af05-0e2a-4a6b-a35c-2a0fcd62f80d.jpg","Фото")</f>
      </c>
    </row>
    <row r="2860">
      <c r="A2860" s="7">
        <f>HYPERLINK("http://www.lingerieopt.ru/item/6259-azhurnji-kombinezon-s-otkrjtjmi-bedrami-i-uzorom-v-vide-listikov/","6259")</f>
      </c>
      <c r="B2860" s="8" t="s">
        <v>2854</v>
      </c>
      <c r="C2860" s="9">
        <v>636</v>
      </c>
      <c r="D2860" s="0">
        <v>0</v>
      </c>
      <c r="E2860" s="10">
        <f>HYPERLINK("http://www.lingerieopt.ru/images/original/7def88a2-27e5-48de-b776-281946eb83c1.jpg","Фото")</f>
      </c>
    </row>
    <row r="2861">
      <c r="A2861" s="7">
        <f>HYPERLINK("http://www.lingerieopt.ru/item/6259-azhurnji-kombinezon-s-otkrjtjmi-bedrami-i-uzorom-v-vide-listikov/","6259")</f>
      </c>
      <c r="B2861" s="8" t="s">
        <v>2855</v>
      </c>
      <c r="C2861" s="9">
        <v>636</v>
      </c>
      <c r="D2861" s="0">
        <v>1</v>
      </c>
      <c r="E2861" s="10">
        <f>HYPERLINK("http://www.lingerieopt.ru/images/original/7def88a2-27e5-48de-b776-281946eb83c1.jpg","Фото")</f>
      </c>
    </row>
    <row r="2862">
      <c r="A2862" s="7">
        <f>HYPERLINK("http://www.lingerieopt.ru/item/6260-kombinezon-s-uzorom-v-vide-roz-i-vetochek/","6260")</f>
      </c>
      <c r="B2862" s="8" t="s">
        <v>2856</v>
      </c>
      <c r="C2862" s="9">
        <v>1024</v>
      </c>
      <c r="D2862" s="0">
        <v>19</v>
      </c>
      <c r="E2862" s="10">
        <f>HYPERLINK("http://www.lingerieopt.ru/images/original/d8c6684d-14fc-4fa7-8a7a-1a4e69b719cc.jpg","Фото")</f>
      </c>
    </row>
    <row r="2863">
      <c r="A2863" s="7">
        <f>HYPERLINK("http://www.lingerieopt.ru/item/6260-kombinezon-s-uzorom-v-vide-roz-i-vetochek/","6260")</f>
      </c>
      <c r="B2863" s="8" t="s">
        <v>2857</v>
      </c>
      <c r="C2863" s="9">
        <v>1024</v>
      </c>
      <c r="D2863" s="0">
        <v>6</v>
      </c>
      <c r="E2863" s="10">
        <f>HYPERLINK("http://www.lingerieopt.ru/images/original/d8c6684d-14fc-4fa7-8a7a-1a4e69b719cc.jpg","Фото")</f>
      </c>
    </row>
    <row r="2864">
      <c r="A2864" s="7">
        <f>HYPERLINK("http://www.lingerieopt.ru/item/6260-kombinezon-s-uzorom-v-vide-roz-i-vetochek/","6260")</f>
      </c>
      <c r="B2864" s="8" t="s">
        <v>2858</v>
      </c>
      <c r="C2864" s="9">
        <v>1024</v>
      </c>
      <c r="D2864" s="0">
        <v>21</v>
      </c>
      <c r="E2864" s="10">
        <f>HYPERLINK("http://www.lingerieopt.ru/images/original/d8c6684d-14fc-4fa7-8a7a-1a4e69b719cc.jpg","Фото")</f>
      </c>
    </row>
    <row r="2865">
      <c r="A2865" s="7">
        <f>HYPERLINK("http://www.lingerieopt.ru/item/6261-kombinezon-s-vjrezami-dostupom-i-uzorom-iz-rozovjh-butonov/","6261")</f>
      </c>
      <c r="B2865" s="8" t="s">
        <v>2859</v>
      </c>
      <c r="C2865" s="9">
        <v>636</v>
      </c>
      <c r="D2865" s="0">
        <v>15</v>
      </c>
      <c r="E2865" s="10">
        <f>HYPERLINK("http://www.lingerieopt.ru/images/original/469c5125-f09f-4338-b956-e4ac76eecfc0.jpg","Фото")</f>
      </c>
    </row>
    <row r="2866">
      <c r="A2866" s="7">
        <f>HYPERLINK("http://www.lingerieopt.ru/item/6262-kombinezon-setka-s-pikantnjmi-vjrezami-i-imitaciei-chulok/","6262")</f>
      </c>
      <c r="B2866" s="8" t="s">
        <v>2860</v>
      </c>
      <c r="C2866" s="9">
        <v>636</v>
      </c>
      <c r="D2866" s="0">
        <v>7</v>
      </c>
      <c r="E2866" s="10">
        <f>HYPERLINK("http://www.lingerieopt.ru/images/original/d538138e-e8ec-4030-954d-f6158d19cba6.jpg","Фото")</f>
      </c>
    </row>
    <row r="2867">
      <c r="A2867" s="7">
        <f>HYPERLINK("http://www.lingerieopt.ru/item/6262-kombinezon-setka-s-pikantnjmi-vjrezami-i-imitaciei-chulok/","6262")</f>
      </c>
      <c r="B2867" s="8" t="s">
        <v>2861</v>
      </c>
      <c r="C2867" s="9">
        <v>636</v>
      </c>
      <c r="D2867" s="0">
        <v>6</v>
      </c>
      <c r="E2867" s="10">
        <f>HYPERLINK("http://www.lingerieopt.ru/images/original/d538138e-e8ec-4030-954d-f6158d19cba6.jpg","Фото")</f>
      </c>
    </row>
    <row r="2868">
      <c r="A2868" s="7">
        <f>HYPERLINK("http://www.lingerieopt.ru/item/6262-kombinezon-setka-s-pikantnjmi-vjrezami-i-imitaciei-chulok/","6262")</f>
      </c>
      <c r="B2868" s="8" t="s">
        <v>2862</v>
      </c>
      <c r="C2868" s="9">
        <v>636</v>
      </c>
      <c r="D2868" s="0">
        <v>4</v>
      </c>
      <c r="E2868" s="10">
        <f>HYPERLINK("http://www.lingerieopt.ru/images/original/d538138e-e8ec-4030-954d-f6158d19cba6.jpg","Фото")</f>
      </c>
    </row>
    <row r="2869">
      <c r="A2869" s="7">
        <f>HYPERLINK("http://www.lingerieopt.ru/item/6263-kombinezon-chulok-s-otkrjtjmi-bedrami-i-imitaciei-shnurovki-na-zhivote/","6263")</f>
      </c>
      <c r="B2869" s="8" t="s">
        <v>2863</v>
      </c>
      <c r="C2869" s="9">
        <v>917</v>
      </c>
      <c r="D2869" s="0">
        <v>13</v>
      </c>
      <c r="E2869" s="10">
        <f>HYPERLINK("http://www.lingerieopt.ru/images/original/8b0fe9cf-c4cb-46d0-893c-5189249c0765.jpg","Фото")</f>
      </c>
    </row>
    <row r="2870">
      <c r="A2870" s="7">
        <f>HYPERLINK("http://www.lingerieopt.ru/item/6263-kombinezon-chulok-s-otkrjtjmi-bedrami-i-imitaciei-shnurovki-na-zhivote/","6263")</f>
      </c>
      <c r="B2870" s="8" t="s">
        <v>2864</v>
      </c>
      <c r="C2870" s="9">
        <v>917</v>
      </c>
      <c r="D2870" s="0">
        <v>20</v>
      </c>
      <c r="E2870" s="10">
        <f>HYPERLINK("http://www.lingerieopt.ru/images/original/8b0fe9cf-c4cb-46d0-893c-5189249c0765.jpg","Фото")</f>
      </c>
    </row>
    <row r="2871">
      <c r="A2871" s="7">
        <f>HYPERLINK("http://www.lingerieopt.ru/item/6263-kombinezon-chulok-s-otkrjtjmi-bedrami-i-imitaciei-shnurovki-na-zhivote/","6263")</f>
      </c>
      <c r="B2871" s="8" t="s">
        <v>2865</v>
      </c>
      <c r="C2871" s="9">
        <v>917</v>
      </c>
      <c r="D2871" s="0">
        <v>14</v>
      </c>
      <c r="E2871" s="10">
        <f>HYPERLINK("http://www.lingerieopt.ru/images/original/8b0fe9cf-c4cb-46d0-893c-5189249c0765.jpg","Фото")</f>
      </c>
    </row>
    <row r="2872">
      <c r="A2872" s="7">
        <f>HYPERLINK("http://www.lingerieopt.ru/item/6264-kombinezon-s-zamjslovatjm-uzorom-v-vide-lepestkov-zigzagov-i-polos/","6264")</f>
      </c>
      <c r="B2872" s="8" t="s">
        <v>2866</v>
      </c>
      <c r="C2872" s="9">
        <v>636</v>
      </c>
      <c r="D2872" s="0">
        <v>0</v>
      </c>
      <c r="E2872" s="10">
        <f>HYPERLINK("http://www.lingerieopt.ru/images/original/dd8049da-5f25-4331-9c16-f5f94f122629.jpg","Фото")</f>
      </c>
    </row>
    <row r="2873">
      <c r="A2873" s="7">
        <f>HYPERLINK("http://www.lingerieopt.ru/item/6264-kombinezon-s-zamjslovatjm-uzorom-v-vide-lepestkov-zigzagov-i-polos/","6264")</f>
      </c>
      <c r="B2873" s="8" t="s">
        <v>2867</v>
      </c>
      <c r="C2873" s="9">
        <v>636</v>
      </c>
      <c r="D2873" s="0">
        <v>7</v>
      </c>
      <c r="E2873" s="10">
        <f>HYPERLINK("http://www.lingerieopt.ru/images/original/dd8049da-5f25-4331-9c16-f5f94f122629.jpg","Фото")</f>
      </c>
    </row>
    <row r="2874">
      <c r="A2874" s="7">
        <f>HYPERLINK("http://www.lingerieopt.ru/item/6264-kombinezon-s-zamjslovatjm-uzorom-v-vide-lepestkov-zigzagov-i-polos/","6264")</f>
      </c>
      <c r="B2874" s="8" t="s">
        <v>2868</v>
      </c>
      <c r="C2874" s="9">
        <v>636</v>
      </c>
      <c r="D2874" s="0">
        <v>8</v>
      </c>
      <c r="E2874" s="10">
        <f>HYPERLINK("http://www.lingerieopt.ru/images/original/dd8049da-5f25-4331-9c16-f5f94f122629.jpg","Фото")</f>
      </c>
    </row>
    <row r="2875">
      <c r="A2875" s="7">
        <f>HYPERLINK("http://www.lingerieopt.ru/item/6265-kombinezon-s-dlinnjmi-rukavami-cvetochnjm-uzorom-otkrjtoi-grudyu-i-dostupom/","6265")</f>
      </c>
      <c r="B2875" s="8" t="s">
        <v>2869</v>
      </c>
      <c r="C2875" s="9">
        <v>636</v>
      </c>
      <c r="D2875" s="0">
        <v>0</v>
      </c>
      <c r="E2875" s="10">
        <f>HYPERLINK("http://www.lingerieopt.ru/images/original/d8c6f94f-cce6-4ef6-aae2-409bb6fd0e23.jpg","Фото")</f>
      </c>
    </row>
    <row r="2876">
      <c r="A2876" s="7">
        <f>HYPERLINK("http://www.lingerieopt.ru/item/6265-kombinezon-s-dlinnjmi-rukavami-cvetochnjm-uzorom-otkrjtoi-grudyu-i-dostupom/","6265")</f>
      </c>
      <c r="B2876" s="8" t="s">
        <v>2870</v>
      </c>
      <c r="C2876" s="9">
        <v>636</v>
      </c>
      <c r="D2876" s="0">
        <v>13</v>
      </c>
      <c r="E2876" s="10">
        <f>HYPERLINK("http://www.lingerieopt.ru/images/original/d8c6f94f-cce6-4ef6-aae2-409bb6fd0e23.jpg","Фото")</f>
      </c>
    </row>
    <row r="2877">
      <c r="A2877" s="7">
        <f>HYPERLINK("http://www.lingerieopt.ru/item/6265-kombinezon-s-dlinnjmi-rukavami-cvetochnjm-uzorom-otkrjtoi-grudyu-i-dostupom/","6265")</f>
      </c>
      <c r="B2877" s="8" t="s">
        <v>2871</v>
      </c>
      <c r="C2877" s="9">
        <v>636</v>
      </c>
      <c r="D2877" s="0">
        <v>3</v>
      </c>
      <c r="E2877" s="10">
        <f>HYPERLINK("http://www.lingerieopt.ru/images/original/d8c6f94f-cce6-4ef6-aae2-409bb6fd0e23.jpg","Фото")</f>
      </c>
    </row>
    <row r="2878">
      <c r="A2878" s="7">
        <f>HYPERLINK("http://www.lingerieopt.ru/item/6266-kombinezon-setka-s-azhurnoi-verhnei-chastyu-i-dostupom/","6266")</f>
      </c>
      <c r="B2878" s="8" t="s">
        <v>2872</v>
      </c>
      <c r="C2878" s="9">
        <v>636</v>
      </c>
      <c r="D2878" s="0">
        <v>9</v>
      </c>
      <c r="E2878" s="10">
        <f>HYPERLINK("http://www.lingerieopt.ru/images/original/a7ba80e6-213f-4755-b1ba-5f7221a31bfa.jpg","Фото")</f>
      </c>
    </row>
    <row r="2879">
      <c r="A2879" s="7">
        <f>HYPERLINK("http://www.lingerieopt.ru/item/6266-kombinezon-setka-s-azhurnoi-verhnei-chastyu-i-dostupom/","6266")</f>
      </c>
      <c r="B2879" s="8" t="s">
        <v>2873</v>
      </c>
      <c r="C2879" s="9">
        <v>636</v>
      </c>
      <c r="D2879" s="0">
        <v>5</v>
      </c>
      <c r="E2879" s="10">
        <f>HYPERLINK("http://www.lingerieopt.ru/images/original/a7ba80e6-213f-4755-b1ba-5f7221a31bfa.jpg","Фото")</f>
      </c>
    </row>
    <row r="2880">
      <c r="A2880" s="7">
        <f>HYPERLINK("http://www.lingerieopt.ru/item/6267-kombinezon-s-dlinnjmi-rukavami-i-cvetochnjm-uzorom/","6267")</f>
      </c>
      <c r="B2880" s="8" t="s">
        <v>2874</v>
      </c>
      <c r="C2880" s="9">
        <v>636</v>
      </c>
      <c r="D2880" s="0">
        <v>4</v>
      </c>
      <c r="E2880" s="10">
        <f>HYPERLINK("http://www.lingerieopt.ru/images/original/c2a83c79-cd87-4213-93a6-1773098c21d0.jpg","Фото")</f>
      </c>
    </row>
    <row r="2881">
      <c r="A2881" s="7">
        <f>HYPERLINK("http://www.lingerieopt.ru/item/6267-kombinezon-s-dlinnjmi-rukavami-i-cvetochnjm-uzorom/","6267")</f>
      </c>
      <c r="B2881" s="8" t="s">
        <v>2875</v>
      </c>
      <c r="C2881" s="9">
        <v>636</v>
      </c>
      <c r="D2881" s="0">
        <v>8</v>
      </c>
      <c r="E2881" s="10">
        <f>HYPERLINK("http://www.lingerieopt.ru/images/original/c2a83c79-cd87-4213-93a6-1773098c21d0.jpg","Фото")</f>
      </c>
    </row>
    <row r="2882">
      <c r="A2882" s="7">
        <f>HYPERLINK("http://www.lingerieopt.ru/item/6268-kombinezon-s-otkrjtjmi-bedrami-i-uzorom-v-vide-bantikov/","6268")</f>
      </c>
      <c r="B2882" s="8" t="s">
        <v>2876</v>
      </c>
      <c r="C2882" s="9">
        <v>636</v>
      </c>
      <c r="D2882" s="0">
        <v>4</v>
      </c>
      <c r="E2882" s="10">
        <f>HYPERLINK("http://www.lingerieopt.ru/images/original/573e7358-181b-4d28-84ce-8cf7aec0a584.jpg","Фото")</f>
      </c>
    </row>
    <row r="2883">
      <c r="A2883" s="7">
        <f>HYPERLINK("http://www.lingerieopt.ru/item/6268-kombinezon-s-otkrjtjmi-bedrami-i-uzorom-v-vide-bantikov/","6268")</f>
      </c>
      <c r="B2883" s="8" t="s">
        <v>2877</v>
      </c>
      <c r="C2883" s="9">
        <v>636</v>
      </c>
      <c r="D2883" s="0">
        <v>12</v>
      </c>
      <c r="E2883" s="10">
        <f>HYPERLINK("http://www.lingerieopt.ru/images/original/573e7358-181b-4d28-84ce-8cf7aec0a584.jpg","Фото")</f>
      </c>
    </row>
    <row r="2884">
      <c r="A2884" s="7">
        <f>HYPERLINK("http://www.lingerieopt.ru/item/6269-kombinezon-s-yacheikami-razlichnjh-form-i-razmerov/","6269")</f>
      </c>
      <c r="B2884" s="8" t="s">
        <v>2878</v>
      </c>
      <c r="C2884" s="9">
        <v>636</v>
      </c>
      <c r="D2884" s="0">
        <v>15</v>
      </c>
      <c r="E2884" s="10">
        <f>HYPERLINK("http://www.lingerieopt.ru/images/original/845b2d9f-cb68-4755-937b-a3c463eeaa3d.jpg","Фото")</f>
      </c>
    </row>
    <row r="2885">
      <c r="A2885" s="7">
        <f>HYPERLINK("http://www.lingerieopt.ru/item/6269-kombinezon-s-yacheikami-razlichnjh-form-i-razmerov/","6269")</f>
      </c>
      <c r="B2885" s="8" t="s">
        <v>2879</v>
      </c>
      <c r="C2885" s="9">
        <v>636</v>
      </c>
      <c r="D2885" s="0">
        <v>6</v>
      </c>
      <c r="E2885" s="10">
        <f>HYPERLINK("http://www.lingerieopt.ru/images/original/845b2d9f-cb68-4755-937b-a3c463eeaa3d.jpg","Фото")</f>
      </c>
    </row>
    <row r="2886">
      <c r="A2886" s="7">
        <f>HYPERLINK("http://www.lingerieopt.ru/item/6269-kombinezon-s-yacheikami-razlichnjh-form-i-razmerov/","6269")</f>
      </c>
      <c r="B2886" s="8" t="s">
        <v>2880</v>
      </c>
      <c r="C2886" s="9">
        <v>636</v>
      </c>
      <c r="D2886" s="0">
        <v>3</v>
      </c>
      <c r="E2886" s="10">
        <f>HYPERLINK("http://www.lingerieopt.ru/images/original/845b2d9f-cb68-4755-937b-a3c463eeaa3d.jpg","Фото")</f>
      </c>
    </row>
    <row r="2887">
      <c r="A2887" s="7">
        <f>HYPERLINK("http://www.lingerieopt.ru/item/6270-kombinezon-s-dvoinjmi-bretelyami-i-uzorom-v-vide-vetochek/","6270")</f>
      </c>
      <c r="B2887" s="8" t="s">
        <v>2881</v>
      </c>
      <c r="C2887" s="9">
        <v>636</v>
      </c>
      <c r="D2887" s="0">
        <v>7</v>
      </c>
      <c r="E2887" s="10">
        <f>HYPERLINK("http://www.lingerieopt.ru/images/original/db4aff83-f24d-448c-b324-a562e800f73a.jpg","Фото")</f>
      </c>
    </row>
    <row r="2888">
      <c r="A2888" s="7">
        <f>HYPERLINK("http://www.lingerieopt.ru/item/6270-kombinezon-s-dvoinjmi-bretelyami-i-uzorom-v-vide-vetochek/","6270")</f>
      </c>
      <c r="B2888" s="8" t="s">
        <v>2882</v>
      </c>
      <c r="C2888" s="9">
        <v>636</v>
      </c>
      <c r="D2888" s="0">
        <v>15</v>
      </c>
      <c r="E2888" s="10">
        <f>HYPERLINK("http://www.lingerieopt.ru/images/original/db4aff83-f24d-448c-b324-a562e800f73a.jpg","Фото")</f>
      </c>
    </row>
    <row r="2889">
      <c r="A2889" s="7">
        <f>HYPERLINK("http://www.lingerieopt.ru/item/6271-azhurnji-kombinezon-s-krupnjmi-cvetochnjmi-zavitkami-i-dostupom/","6271")</f>
      </c>
      <c r="B2889" s="8" t="s">
        <v>2883</v>
      </c>
      <c r="C2889" s="9">
        <v>636</v>
      </c>
      <c r="D2889" s="0">
        <v>6</v>
      </c>
      <c r="E2889" s="10">
        <f>HYPERLINK("http://www.lingerieopt.ru/images/original/f360290b-7e9b-47bb-a8e1-c9364e708edc.jpg","Фото")</f>
      </c>
    </row>
    <row r="2890">
      <c r="A2890" s="7">
        <f>HYPERLINK("http://www.lingerieopt.ru/item/6271-azhurnji-kombinezon-s-krupnjmi-cvetochnjmi-zavitkami-i-dostupom/","6271")</f>
      </c>
      <c r="B2890" s="8" t="s">
        <v>2884</v>
      </c>
      <c r="C2890" s="9">
        <v>636</v>
      </c>
      <c r="D2890" s="0">
        <v>14</v>
      </c>
      <c r="E2890" s="10">
        <f>HYPERLINK("http://www.lingerieopt.ru/images/original/f360290b-7e9b-47bb-a8e1-c9364e708edc.jpg","Фото")</f>
      </c>
    </row>
    <row r="2891">
      <c r="A2891" s="7">
        <f>HYPERLINK("http://www.lingerieopt.ru/item/6272-kombinezon-s-zigzagoobraznjm-uzorom/","6272")</f>
      </c>
      <c r="B2891" s="8" t="s">
        <v>2885</v>
      </c>
      <c r="C2891" s="9">
        <v>636</v>
      </c>
      <c r="D2891" s="0">
        <v>0</v>
      </c>
      <c r="E2891" s="10">
        <f>HYPERLINK("http://www.lingerieopt.ru/images/original/5785eb72-eccc-436c-b31e-cae97df339c5.jpg","Фото")</f>
      </c>
    </row>
    <row r="2892">
      <c r="A2892" s="7">
        <f>HYPERLINK("http://www.lingerieopt.ru/item/6272-kombinezon-s-zigzagoobraznjm-uzorom/","6272")</f>
      </c>
      <c r="B2892" s="8" t="s">
        <v>2886</v>
      </c>
      <c r="C2892" s="9">
        <v>636</v>
      </c>
      <c r="D2892" s="0">
        <v>15</v>
      </c>
      <c r="E2892" s="10">
        <f>HYPERLINK("http://www.lingerieopt.ru/images/original/5785eb72-eccc-436c-b31e-cae97df339c5.jpg","Фото")</f>
      </c>
    </row>
    <row r="2893">
      <c r="A2893" s="7">
        <f>HYPERLINK("http://www.lingerieopt.ru/item/6273-otkrovennji-kombinezon-s-cvetochnjm-uzorom-i-otkrjtjmi-bedrami/","6273")</f>
      </c>
      <c r="B2893" s="8" t="s">
        <v>2887</v>
      </c>
      <c r="C2893" s="9">
        <v>636</v>
      </c>
      <c r="D2893" s="0">
        <v>6</v>
      </c>
      <c r="E2893" s="10">
        <f>HYPERLINK("http://www.lingerieopt.ru/images/original/526f7440-0417-422c-94a6-71eaf66f2880.jpg","Фото")</f>
      </c>
    </row>
    <row r="2894">
      <c r="A2894" s="7">
        <f>HYPERLINK("http://www.lingerieopt.ru/item/6273-otkrovennji-kombinezon-s-cvetochnjm-uzorom-i-otkrjtjmi-bedrami/","6273")</f>
      </c>
      <c r="B2894" s="8" t="s">
        <v>2888</v>
      </c>
      <c r="C2894" s="9">
        <v>636</v>
      </c>
      <c r="D2894" s="0">
        <v>4</v>
      </c>
      <c r="E2894" s="10">
        <f>HYPERLINK("http://www.lingerieopt.ru/images/original/526f7440-0417-422c-94a6-71eaf66f2880.jpg","Фото")</f>
      </c>
    </row>
    <row r="2895">
      <c r="A2895" s="7">
        <f>HYPERLINK("http://www.lingerieopt.ru/item/6274-kombinezon-s-uzorom-imitiruyuschim-bodi-i-chulki/","6274")</f>
      </c>
      <c r="B2895" s="8" t="s">
        <v>2889</v>
      </c>
      <c r="C2895" s="9">
        <v>636</v>
      </c>
      <c r="D2895" s="0">
        <v>11</v>
      </c>
      <c r="E2895" s="10">
        <f>HYPERLINK("http://www.lingerieopt.ru/images/original/be705386-3182-4928-b8c8-1efe27f46c38.jpg","Фото")</f>
      </c>
    </row>
    <row r="2896">
      <c r="A2896" s="7">
        <f>HYPERLINK("http://www.lingerieopt.ru/item/6274-kombinezon-s-uzorom-imitiruyuschim-bodi-i-chulki/","6274")</f>
      </c>
      <c r="B2896" s="8" t="s">
        <v>2890</v>
      </c>
      <c r="C2896" s="9">
        <v>636</v>
      </c>
      <c r="D2896" s="0">
        <v>9</v>
      </c>
      <c r="E2896" s="10">
        <f>HYPERLINK("http://www.lingerieopt.ru/images/original/be705386-3182-4928-b8c8-1efe27f46c38.jpg","Фото")</f>
      </c>
    </row>
    <row r="2897">
      <c r="A2897" s="7">
        <f>HYPERLINK("http://www.lingerieopt.ru/item/6287-kombinezon-ilse-s-prozrachnjmi-vstavkami/","6287")</f>
      </c>
      <c r="B2897" s="8" t="s">
        <v>2891</v>
      </c>
      <c r="C2897" s="9">
        <v>3160</v>
      </c>
      <c r="D2897" s="0">
        <v>20</v>
      </c>
      <c r="E2897" s="10">
        <f>HYPERLINK("http://www.lingerieopt.ru/images/original/9443161f-498d-458f-9d4e-5af80a9b182d.jpg","Фото")</f>
      </c>
    </row>
    <row r="2898">
      <c r="A2898" s="7">
        <f>HYPERLINK("http://www.lingerieopt.ru/item/6287-kombinezon-ilse-s-prozrachnjmi-vstavkami/","6287")</f>
      </c>
      <c r="B2898" s="8" t="s">
        <v>2892</v>
      </c>
      <c r="C2898" s="9">
        <v>3160</v>
      </c>
      <c r="D2898" s="0">
        <v>19</v>
      </c>
      <c r="E2898" s="10">
        <f>HYPERLINK("http://www.lingerieopt.ru/images/original/9443161f-498d-458f-9d4e-5af80a9b182d.jpg","Фото")</f>
      </c>
    </row>
    <row r="2899">
      <c r="A2899" s="7">
        <f>HYPERLINK("http://www.lingerieopt.ru/item/6406-rozovji-azhurnji-kombinezon-appla-s-dostupom/","6406")</f>
      </c>
      <c r="B2899" s="8" t="s">
        <v>2893</v>
      </c>
      <c r="C2899" s="9">
        <v>866</v>
      </c>
      <c r="D2899" s="0">
        <v>2</v>
      </c>
      <c r="E2899" s="10">
        <f>HYPERLINK("http://www.lingerieopt.ru/images/original/7de70b59-9475-4bbb-8cc7-9f2df83918db.jpg","Фото")</f>
      </c>
    </row>
    <row r="2900">
      <c r="A2900" s="7">
        <f>HYPERLINK("http://www.lingerieopt.ru/item/6542-otkrovennji-kombinezon-setka/","6542")</f>
      </c>
      <c r="B2900" s="8" t="s">
        <v>2894</v>
      </c>
      <c r="C2900" s="9">
        <v>1403</v>
      </c>
      <c r="D2900" s="0">
        <v>7</v>
      </c>
      <c r="E2900" s="10">
        <f>HYPERLINK("http://www.lingerieopt.ru/images/original/c1404b80-e519-4579-9352-59799a1176b3.jpg","Фото")</f>
      </c>
    </row>
    <row r="2901">
      <c r="A2901" s="7">
        <f>HYPERLINK("http://www.lingerieopt.ru/item/6544-prelestnji-kombinezon-s-azhurnjmi-krjljshkami-na-spinke/","6544")</f>
      </c>
      <c r="B2901" s="8" t="s">
        <v>2895</v>
      </c>
      <c r="C2901" s="9">
        <v>1217</v>
      </c>
      <c r="D2901" s="0">
        <v>3</v>
      </c>
      <c r="E2901" s="10">
        <f>HYPERLINK("http://www.lingerieopt.ru/images/original/d5db51c0-76e5-4a52-8e66-272e98659d49.jpg","Фото")</f>
      </c>
    </row>
    <row r="2902">
      <c r="A2902" s="7">
        <f>HYPERLINK("http://www.lingerieopt.ru/item/6817-bodi-chulok-na-telo-iz-poluprozrachnogo-materiala-s-izjskannjm-cvetochnjm-uzorom/","6817")</f>
      </c>
      <c r="B2902" s="8" t="s">
        <v>2896</v>
      </c>
      <c r="C2902" s="9">
        <v>979</v>
      </c>
      <c r="D2902" s="0">
        <v>11</v>
      </c>
      <c r="E2902" s="10">
        <f>HYPERLINK("http://www.lingerieopt.ru/images/original/6b4f4378-ab77-49df-b467-764693453b27.jpg","Фото")</f>
      </c>
    </row>
    <row r="2903">
      <c r="A2903" s="7">
        <f>HYPERLINK("http://www.lingerieopt.ru/item/6973-kombinezon-s-bra-hoshi-v-komplekte-s-verevkami-dlya-svyazjvaniya/","6973")</f>
      </c>
      <c r="B2903" s="8" t="s">
        <v>2897</v>
      </c>
      <c r="C2903" s="9">
        <v>3804</v>
      </c>
      <c r="D2903" s="0">
        <v>5</v>
      </c>
      <c r="E2903" s="10">
        <f>HYPERLINK("http://www.lingerieopt.ru/images/original/b9d88cdf-3276-4bfb-9a4e-c0cfa8b7330f.jpg","Фото")</f>
      </c>
    </row>
    <row r="2904">
      <c r="A2904" s="7">
        <f>HYPERLINK("http://www.lingerieopt.ru/item/6973-kombinezon-s-bra-hoshi-v-komplekte-s-verevkami-dlya-svyazjvaniya/","6973")</f>
      </c>
      <c r="B2904" s="8" t="s">
        <v>2898</v>
      </c>
      <c r="C2904" s="9">
        <v>3804</v>
      </c>
      <c r="D2904" s="0">
        <v>7</v>
      </c>
      <c r="E2904" s="10">
        <f>HYPERLINK("http://www.lingerieopt.ru/images/original/b9d88cdf-3276-4bfb-9a4e-c0cfa8b7330f.jpg","Фото")</f>
      </c>
    </row>
    <row r="2905">
      <c r="A2905" s="7">
        <f>HYPERLINK("http://www.lingerieopt.ru/item/6973-kombinezon-s-bra-hoshi-v-komplekte-s-verevkami-dlya-svyazjvaniya/","6973")</f>
      </c>
      <c r="B2905" s="8" t="s">
        <v>2899</v>
      </c>
      <c r="C2905" s="9">
        <v>3804</v>
      </c>
      <c r="D2905" s="0">
        <v>2</v>
      </c>
      <c r="E2905" s="10">
        <f>HYPERLINK("http://www.lingerieopt.ru/images/original/b9d88cdf-3276-4bfb-9a4e-c0cfa8b7330f.jpg","Фото")</f>
      </c>
    </row>
    <row r="2906">
      <c r="A2906" s="7">
        <f>HYPERLINK("http://www.lingerieopt.ru/item/6983-fantasticheskii-kombinezon-s-cvetochnjm-risunkom-i-dostupom/","6983")</f>
      </c>
      <c r="B2906" s="8" t="s">
        <v>2900</v>
      </c>
      <c r="C2906" s="9">
        <v>1341</v>
      </c>
      <c r="D2906" s="0">
        <v>10</v>
      </c>
      <c r="E2906" s="10">
        <f>HYPERLINK("http://www.lingerieopt.ru/images/original/c08ab0f9-db63-4931-8caa-a1d9db275d14.jpg","Фото")</f>
      </c>
    </row>
    <row r="2907">
      <c r="A2907" s="7">
        <f>HYPERLINK("http://www.lingerieopt.ru/item/7138-kombinezon-chulok-s-otkrjtjmi-bedrami-i-krupnjm-azhurnjm-risunkom/","7138")</f>
      </c>
      <c r="B2907" s="8" t="s">
        <v>2901</v>
      </c>
      <c r="C2907" s="9">
        <v>1056</v>
      </c>
      <c r="D2907" s="0">
        <v>7</v>
      </c>
      <c r="E2907" s="10">
        <f>HYPERLINK("http://www.lingerieopt.ru/images/original/712a0d75-9c1f-42bc-bc7f-f0e29023732e.jpg","Фото")</f>
      </c>
    </row>
    <row r="2908">
      <c r="A2908" s="7">
        <f>HYPERLINK("http://www.lingerieopt.ru/item/7249-originalnji-kombinezon-setka-s-zavyazkami-na-shee-i-otkrjtjmi-bedrami/","7249")</f>
      </c>
      <c r="B2908" s="8" t="s">
        <v>2902</v>
      </c>
      <c r="C2908" s="9">
        <v>1152</v>
      </c>
      <c r="D2908" s="0">
        <v>3</v>
      </c>
      <c r="E2908" s="10">
        <f>HYPERLINK("http://www.lingerieopt.ru/images/original/c475ebce-c5be-4f5e-bb0e-92925a76401b.jpg","Фото")</f>
      </c>
    </row>
    <row r="2909">
      <c r="A2909" s="7">
        <f>HYPERLINK("http://www.lingerieopt.ru/item/7291-kombinezon-setka-s-cvetochnjm-uzorom/","7291")</f>
      </c>
      <c r="B2909" s="8" t="s">
        <v>2903</v>
      </c>
      <c r="C2909" s="9">
        <v>1233</v>
      </c>
      <c r="D2909" s="0">
        <v>1</v>
      </c>
      <c r="E2909" s="10">
        <f>HYPERLINK("http://www.lingerieopt.ru/images/original/dab14eeb-c033-42d9-9073-bbd54ff032ee.jpg","Фото")</f>
      </c>
    </row>
    <row r="2910">
      <c r="A2910" s="7">
        <f>HYPERLINK("http://www.lingerieopt.ru/item/7292-originalnji-kombinezon-s-vjrezami/","7292")</f>
      </c>
      <c r="B2910" s="8" t="s">
        <v>2904</v>
      </c>
      <c r="C2910" s="9">
        <v>1432</v>
      </c>
      <c r="D2910" s="0">
        <v>1</v>
      </c>
      <c r="E2910" s="10">
        <f>HYPERLINK("http://www.lingerieopt.ru/images/original/28a1ab35-eac4-4e8b-9ab9-c005dc4f4e78.jpg","Фото")</f>
      </c>
    </row>
    <row r="2911">
      <c r="A2911" s="7">
        <f>HYPERLINK("http://www.lingerieopt.ru/item/7431-oblegayuschii-kombinezon-demi-s-prozrachnjm-verhom-i-ekokozhi/","7431")</f>
      </c>
      <c r="B2911" s="8" t="s">
        <v>2905</v>
      </c>
      <c r="C2911" s="9">
        <v>2553</v>
      </c>
      <c r="D2911" s="0">
        <v>5</v>
      </c>
      <c r="E2911" s="10">
        <f>HYPERLINK("http://www.lingerieopt.ru/images/original/4c91de80-9c55-42c3-a164-7588882bf619.jpg","Фото")</f>
      </c>
    </row>
    <row r="2912">
      <c r="A2912" s="7">
        <f>HYPERLINK("http://www.lingerieopt.ru/item/7431-oblegayuschii-kombinezon-demi-s-prozrachnjm-verhom-i-ekokozhi/","7431")</f>
      </c>
      <c r="B2912" s="8" t="s">
        <v>2906</v>
      </c>
      <c r="C2912" s="9">
        <v>2553</v>
      </c>
      <c r="D2912" s="0">
        <v>5</v>
      </c>
      <c r="E2912" s="10">
        <f>HYPERLINK("http://www.lingerieopt.ru/images/original/4c91de80-9c55-42c3-a164-7588882bf619.jpg","Фото")</f>
      </c>
    </row>
    <row r="2913">
      <c r="A2913" s="7">
        <f>HYPERLINK("http://www.lingerieopt.ru/item/7698-poluprozrachnji-korotenkii-kombinezon-s-kruzhevom/","7698")</f>
      </c>
      <c r="B2913" s="8" t="s">
        <v>2907</v>
      </c>
      <c r="C2913" s="9">
        <v>2012</v>
      </c>
      <c r="D2913" s="0">
        <v>30</v>
      </c>
      <c r="E2913" s="10">
        <f>HYPERLINK("http://www.lingerieopt.ru/images/original/d99acb7a-50da-49aa-9b21-337a3d203a9c.jpg","Фото")</f>
      </c>
    </row>
    <row r="2914">
      <c r="A2914" s="7">
        <f>HYPERLINK("http://www.lingerieopt.ru/item/7793-kombinezon-na-telo-iz-plotnoi-setochki-s-printom/","7793")</f>
      </c>
      <c r="B2914" s="8" t="s">
        <v>2908</v>
      </c>
      <c r="C2914" s="9">
        <v>1164</v>
      </c>
      <c r="D2914" s="0">
        <v>13</v>
      </c>
      <c r="E2914" s="10">
        <f>HYPERLINK("http://www.lingerieopt.ru/images/original/f05dc81f-1618-4672-8599-d9e81a529e3e.jpg","Фото")</f>
      </c>
    </row>
    <row r="2915">
      <c r="A2915" s="7">
        <f>HYPERLINK("http://www.lingerieopt.ru/item/7794-kombinezon-s-vjrezami-na-bedrah/","7794")</f>
      </c>
      <c r="B2915" s="8" t="s">
        <v>2909</v>
      </c>
      <c r="C2915" s="9">
        <v>642</v>
      </c>
      <c r="D2915" s="0">
        <v>15</v>
      </c>
      <c r="E2915" s="10">
        <f>HYPERLINK("http://www.lingerieopt.ru/images/original/532f237f-5319-442c-ab9a-5e57435b38ab.jpg","Фото")</f>
      </c>
    </row>
    <row r="2916">
      <c r="A2916" s="7">
        <f>HYPERLINK("http://www.lingerieopt.ru/item/7795-kombinezon-setochka-v-polosku/","7795")</f>
      </c>
      <c r="B2916" s="8" t="s">
        <v>2910</v>
      </c>
      <c r="C2916" s="9">
        <v>721</v>
      </c>
      <c r="D2916" s="0">
        <v>15</v>
      </c>
      <c r="E2916" s="10">
        <f>HYPERLINK("http://www.lingerieopt.ru/images/original/8db9f404-5e95-447a-8226-37756b164471.jpg","Фото")</f>
      </c>
    </row>
    <row r="2917">
      <c r="A2917" s="7">
        <f>HYPERLINK("http://www.lingerieopt.ru/item/7803-kombinezon-setochka-s-bantom/","7803")</f>
      </c>
      <c r="B2917" s="8" t="s">
        <v>2911</v>
      </c>
      <c r="C2917" s="9">
        <v>1002</v>
      </c>
      <c r="D2917" s="0">
        <v>16</v>
      </c>
      <c r="E2917" s="10">
        <f>HYPERLINK("http://www.lingerieopt.ru/images/original/1cecb739-3260-4883-8893-dea8622a2dbe.jpg","Фото")</f>
      </c>
    </row>
    <row r="2918">
      <c r="A2918" s="7">
        <f>HYPERLINK("http://www.lingerieopt.ru/item/7805-igrivji-kombinezon-s-krupnjm-cvetochnjm-printom/","7805")</f>
      </c>
      <c r="B2918" s="8" t="s">
        <v>2912</v>
      </c>
      <c r="C2918" s="9">
        <v>661</v>
      </c>
      <c r="D2918" s="0">
        <v>3</v>
      </c>
      <c r="E2918" s="10">
        <f>HYPERLINK("http://www.lingerieopt.ru/images/original/cb4b44a8-feeb-4692-9562-9e9150c40456.jpg","Фото")</f>
      </c>
    </row>
    <row r="2919">
      <c r="A2919" s="7">
        <f>HYPERLINK("http://www.lingerieopt.ru/item/7806-bodi-kombinezon-s-chulkami/","7806")</f>
      </c>
      <c r="B2919" s="8" t="s">
        <v>301</v>
      </c>
      <c r="C2919" s="9">
        <v>1164</v>
      </c>
      <c r="D2919" s="0">
        <v>3</v>
      </c>
      <c r="E2919" s="10">
        <f>HYPERLINK("http://www.lingerieopt.ru/images/original/82cf34a1-1fc0-478d-9ba7-4751dd50de11.jpg","Фото")</f>
      </c>
    </row>
    <row r="2920">
      <c r="A2920" s="7">
        <f>HYPERLINK("http://www.lingerieopt.ru/item/7813-ketsyuit-s-glubokim-dekolte/","7813")</f>
      </c>
      <c r="B2920" s="8" t="s">
        <v>2913</v>
      </c>
      <c r="C2920" s="9">
        <v>642</v>
      </c>
      <c r="D2920" s="0">
        <v>13</v>
      </c>
      <c r="E2920" s="10">
        <f>HYPERLINK("http://www.lingerieopt.ru/images/original/b2a27d55-3401-4a64-b48b-8a12d0a7d89d.jpg","Фото")</f>
      </c>
    </row>
    <row r="2921">
      <c r="A2921" s="7">
        <f>HYPERLINK("http://www.lingerieopt.ru/item/7814-kombinezon-s-neskolkimi-vidami-uzorov/","7814")</f>
      </c>
      <c r="B2921" s="8" t="s">
        <v>2914</v>
      </c>
      <c r="C2921" s="9">
        <v>642</v>
      </c>
      <c r="D2921" s="0">
        <v>14</v>
      </c>
      <c r="E2921" s="10">
        <f>HYPERLINK("http://www.lingerieopt.ru/images/original/f943887e-4458-488d-8104-f70250512b32.jpg","Фото")</f>
      </c>
    </row>
    <row r="2922">
      <c r="A2922" s="7">
        <f>HYPERLINK("http://www.lingerieopt.ru/item/7815-klassicheskii-kombinezon-setka/","7815")</f>
      </c>
      <c r="B2922" s="8" t="s">
        <v>2915</v>
      </c>
      <c r="C2922" s="9">
        <v>642</v>
      </c>
      <c r="D2922" s="0">
        <v>5</v>
      </c>
      <c r="E2922" s="10">
        <f>HYPERLINK("http://www.lingerieopt.ru/images/original/59046774-6ad3-41a0-b0d3-db332beb8bf5.jpg","Фото")</f>
      </c>
    </row>
    <row r="2923">
      <c r="A2923" s="7">
        <f>HYPERLINK("http://www.lingerieopt.ru/item/7818-kombinezon-iz-setki-s-krupnjmi-azhurnjmi-zavitkami/","7818")</f>
      </c>
      <c r="B2923" s="8" t="s">
        <v>2916</v>
      </c>
      <c r="C2923" s="9">
        <v>862</v>
      </c>
      <c r="D2923" s="0">
        <v>7</v>
      </c>
      <c r="E2923" s="10">
        <f>HYPERLINK("http://www.lingerieopt.ru/images/original/0c590dc8-2445-4808-9d24-0c41c5226c8d.jpg","Фото")</f>
      </c>
    </row>
    <row r="2924">
      <c r="A2924" s="7">
        <f>HYPERLINK("http://www.lingerieopt.ru/item/7819-kombinezon-s-printom-imitaciei-chulok-i-korseta/","7819")</f>
      </c>
      <c r="B2924" s="8" t="s">
        <v>2917</v>
      </c>
      <c r="C2924" s="9">
        <v>702</v>
      </c>
      <c r="D2924" s="0">
        <v>17</v>
      </c>
      <c r="E2924" s="10">
        <f>HYPERLINK("http://www.lingerieopt.ru/images/original/5ce4bbca-ff04-44e7-a691-b9dc9891d177.jpg","Фото")</f>
      </c>
    </row>
    <row r="2925">
      <c r="A2925" s="7">
        <f>HYPERLINK("http://www.lingerieopt.ru/item/7823-bodi-kombinezon-s-chulochkami/","7823")</f>
      </c>
      <c r="B2925" s="8" t="s">
        <v>302</v>
      </c>
      <c r="C2925" s="9">
        <v>661</v>
      </c>
      <c r="D2925" s="0">
        <v>10</v>
      </c>
      <c r="E2925" s="10">
        <f>HYPERLINK("http://www.lingerieopt.ru/images/original/bbe1485c-7006-448e-a6d4-71453ddc6582.jpg","Фото")</f>
      </c>
    </row>
    <row r="2926">
      <c r="A2926" s="7">
        <f>HYPERLINK("http://www.lingerieopt.ru/item/8296-kombinezon-na-tonkih-lyamochkah-s-imitaciei-chulok/","8296")</f>
      </c>
      <c r="B2926" s="8" t="s">
        <v>2918</v>
      </c>
      <c r="C2926" s="9">
        <v>1252</v>
      </c>
      <c r="D2926" s="0">
        <v>1</v>
      </c>
      <c r="E2926" s="10">
        <f>HYPERLINK("http://www.lingerieopt.ru/images/original/fa68e7c5-78d7-4067-bdae-f97f3780c95e.jpg","Фото")</f>
      </c>
    </row>
    <row r="2927">
      <c r="A2927" s="7">
        <f>HYPERLINK("http://www.lingerieopt.ru/item/8296-kombinezon-na-tonkih-lyamochkah-s-imitaciei-chulok/","8296")</f>
      </c>
      <c r="B2927" s="8" t="s">
        <v>2919</v>
      </c>
      <c r="C2927" s="9">
        <v>1252</v>
      </c>
      <c r="D2927" s="0">
        <v>5</v>
      </c>
      <c r="E2927" s="10">
        <f>HYPERLINK("http://www.lingerieopt.ru/images/original/fa68e7c5-78d7-4067-bdae-f97f3780c95e.jpg","Фото")</f>
      </c>
    </row>
    <row r="2928">
      <c r="A2928" s="7">
        <f>HYPERLINK("http://www.lingerieopt.ru/item/8296-kombinezon-na-tonkih-lyamochkah-s-imitaciei-chulok/","8296")</f>
      </c>
      <c r="B2928" s="8" t="s">
        <v>2920</v>
      </c>
      <c r="C2928" s="9">
        <v>1252</v>
      </c>
      <c r="D2928" s="0">
        <v>5</v>
      </c>
      <c r="E2928" s="10">
        <f>HYPERLINK("http://www.lingerieopt.ru/images/original/fa68e7c5-78d7-4067-bdae-f97f3780c95e.jpg","Фото")</f>
      </c>
    </row>
    <row r="2929">
      <c r="A2929" s="7">
        <f>HYPERLINK("http://www.lingerieopt.ru/item/8390-ketsyuit-setka-s-imitaciei-shnurovki-otkrjtoi-spinoi-i-dostupom/","8390")</f>
      </c>
      <c r="B2929" s="8" t="s">
        <v>2921</v>
      </c>
      <c r="C2929" s="9">
        <v>627</v>
      </c>
      <c r="D2929" s="0">
        <v>11</v>
      </c>
      <c r="E2929" s="10">
        <f>HYPERLINK("http://www.lingerieopt.ru/images/original/0685a07f-1e98-48f2-8414-895e0225d8fd.jpg","Фото")</f>
      </c>
    </row>
    <row r="2930">
      <c r="A2930" s="7">
        <f>HYPERLINK("http://www.lingerieopt.ru/item/8399-ketsyuit-setka-s-otkrjtjmi-bedrami-i-krupnjm-cvetochnjm-uzorom-na-zhivotike/","8399")</f>
      </c>
      <c r="B2930" s="8" t="s">
        <v>2922</v>
      </c>
      <c r="C2930" s="9">
        <v>634</v>
      </c>
      <c r="D2930" s="0">
        <v>2</v>
      </c>
      <c r="E2930" s="10">
        <f>HYPERLINK("http://www.lingerieopt.ru/images/original/944bcd15-48a2-451f-8287-7e8768049574.jpg","Фото")</f>
      </c>
    </row>
    <row r="2931">
      <c r="A2931" s="7">
        <f>HYPERLINK("http://www.lingerieopt.ru/item/8400-originalnji-ketsyuit-setka-s-siluetnjmi-liniyami/","8400")</f>
      </c>
      <c r="B2931" s="8" t="s">
        <v>2923</v>
      </c>
      <c r="C2931" s="9">
        <v>634</v>
      </c>
      <c r="D2931" s="0">
        <v>3</v>
      </c>
      <c r="E2931" s="10">
        <f>HYPERLINK("http://www.lingerieopt.ru/images/original/9caaac1d-2add-44da-b696-6db7e91d2b1e.jpg","Фото")</f>
      </c>
    </row>
    <row r="2932">
      <c r="A2932" s="7">
        <f>HYPERLINK("http://www.lingerieopt.ru/item/8460-soblaznitelnji-kombinezon-so-shnurovkoi/","8460")</f>
      </c>
      <c r="B2932" s="8" t="s">
        <v>2924</v>
      </c>
      <c r="C2932" s="9">
        <v>802</v>
      </c>
      <c r="D2932" s="0">
        <v>46</v>
      </c>
      <c r="E2932" s="10">
        <f>HYPERLINK("http://www.lingerieopt.ru/images/original/b7306b67-82fe-455b-bb0b-4696daef43b9.jpg","Фото")</f>
      </c>
    </row>
    <row r="2933">
      <c r="A2933" s="7">
        <f>HYPERLINK("http://www.lingerieopt.ru/item/8508-elastichnji-kostyum-setka-v-tonkuyu-polosku/","8508")</f>
      </c>
      <c r="B2933" s="8" t="s">
        <v>2925</v>
      </c>
      <c r="C2933" s="9">
        <v>636</v>
      </c>
      <c r="D2933" s="0">
        <v>14</v>
      </c>
      <c r="E2933" s="10">
        <f>HYPERLINK("http://www.lingerieopt.ru/images/original/28fb7764-d075-4ab1-a829-7f8516c7beca.jpg","Фото")</f>
      </c>
    </row>
    <row r="2934">
      <c r="A2934" s="7">
        <f>HYPERLINK("http://www.lingerieopt.ru/item/8508-elastichnji-kostyum-setka-v-tonkuyu-polosku/","8508")</f>
      </c>
      <c r="B2934" s="8" t="s">
        <v>2926</v>
      </c>
      <c r="C2934" s="9">
        <v>636</v>
      </c>
      <c r="D2934" s="0">
        <v>14</v>
      </c>
      <c r="E2934" s="10">
        <f>HYPERLINK("http://www.lingerieopt.ru/images/original/28fb7764-d075-4ab1-a829-7f8516c7beca.jpg","Фото")</f>
      </c>
    </row>
    <row r="2935">
      <c r="A2935" s="7">
        <f>HYPERLINK("http://www.lingerieopt.ru/item/8510-kostyum-setka-s-vjrezom-na-zhivotike/","8510")</f>
      </c>
      <c r="B2935" s="8" t="s">
        <v>2927</v>
      </c>
      <c r="C2935" s="9">
        <v>636</v>
      </c>
      <c r="D2935" s="0">
        <v>0</v>
      </c>
      <c r="E2935" s="10">
        <f>HYPERLINK("http://www.lingerieopt.ru/images/original/c930b6a7-3efe-4535-8fcf-31df03761b46.jpg","Фото")</f>
      </c>
    </row>
    <row r="2936">
      <c r="A2936" s="7">
        <f>HYPERLINK("http://www.lingerieopt.ru/item/8510-kostyum-setka-s-vjrezom-na-zhivotike/","8510")</f>
      </c>
      <c r="B2936" s="8" t="s">
        <v>2928</v>
      </c>
      <c r="C2936" s="9">
        <v>636</v>
      </c>
      <c r="D2936" s="0">
        <v>12</v>
      </c>
      <c r="E2936" s="10">
        <f>HYPERLINK("http://www.lingerieopt.ru/images/original/c930b6a7-3efe-4535-8fcf-31df03761b46.jpg","Фото")</f>
      </c>
    </row>
    <row r="2937">
      <c r="A2937" s="7">
        <f>HYPERLINK("http://www.lingerieopt.ru/item/8511-kostyum-setka-s-otkrjtoi-zonoi-dekolte/","8511")</f>
      </c>
      <c r="B2937" s="8" t="s">
        <v>2929</v>
      </c>
      <c r="C2937" s="9">
        <v>636</v>
      </c>
      <c r="D2937" s="0">
        <v>14</v>
      </c>
      <c r="E2937" s="10">
        <f>HYPERLINK("http://www.lingerieopt.ru/images/original/6d4fb10c-6831-43ca-bc60-1b422ace313b.jpg","Фото")</f>
      </c>
    </row>
    <row r="2938">
      <c r="A2938" s="7">
        <f>HYPERLINK("http://www.lingerieopt.ru/item/8511-kostyum-setka-s-otkrjtoi-zonoi-dekolte/","8511")</f>
      </c>
      <c r="B2938" s="8" t="s">
        <v>2930</v>
      </c>
      <c r="C2938" s="9">
        <v>636</v>
      </c>
      <c r="D2938" s="0">
        <v>3</v>
      </c>
      <c r="E2938" s="10">
        <f>HYPERLINK("http://www.lingerieopt.ru/images/original/6d4fb10c-6831-43ca-bc60-1b422ace313b.jpg","Фото")</f>
      </c>
    </row>
    <row r="2939">
      <c r="A2939" s="7">
        <f>HYPERLINK("http://www.lingerieopt.ru/item/8511-kostyum-setka-s-otkrjtoi-zonoi-dekolte/","8511")</f>
      </c>
      <c r="B2939" s="8" t="s">
        <v>2931</v>
      </c>
      <c r="C2939" s="9">
        <v>636</v>
      </c>
      <c r="D2939" s="0">
        <v>11</v>
      </c>
      <c r="E2939" s="10">
        <f>HYPERLINK("http://www.lingerieopt.ru/images/original/6d4fb10c-6831-43ca-bc60-1b422ace313b.jpg","Фото")</f>
      </c>
    </row>
    <row r="2940">
      <c r="A2940" s="7">
        <f>HYPERLINK("http://www.lingerieopt.ru/item/8512-kostyum-setka-s-okoshkami-po-bokam/","8512")</f>
      </c>
      <c r="B2940" s="8" t="s">
        <v>2932</v>
      </c>
      <c r="C2940" s="9">
        <v>636</v>
      </c>
      <c r="D2940" s="0">
        <v>11</v>
      </c>
      <c r="E2940" s="10">
        <f>HYPERLINK("http://www.lingerieopt.ru/images/original/cee88398-549b-49d5-b525-231e1a01f931.jpg","Фото")</f>
      </c>
    </row>
    <row r="2941">
      <c r="A2941" s="7">
        <f>HYPERLINK("http://www.lingerieopt.ru/item/8512-kostyum-setka-s-okoshkami-po-bokam/","8512")</f>
      </c>
      <c r="B2941" s="8" t="s">
        <v>2933</v>
      </c>
      <c r="C2941" s="9">
        <v>636</v>
      </c>
      <c r="D2941" s="0">
        <v>11</v>
      </c>
      <c r="E2941" s="10">
        <f>HYPERLINK("http://www.lingerieopt.ru/images/original/cee88398-549b-49d5-b525-231e1a01f931.jpg","Фото")</f>
      </c>
    </row>
    <row r="2942">
      <c r="A2942" s="7">
        <f>HYPERLINK("http://www.lingerieopt.ru/item/8513-kostyum-setka-s-krasivjm-dekolte-i-otkrjtjmi-bedrami/","8513")</f>
      </c>
      <c r="B2942" s="8" t="s">
        <v>2934</v>
      </c>
      <c r="C2942" s="9">
        <v>636</v>
      </c>
      <c r="D2942" s="0">
        <v>10</v>
      </c>
      <c r="E2942" s="10">
        <f>HYPERLINK("http://www.lingerieopt.ru/images/original/d0feb024-07ba-4fae-9f8c-ba5eec01786c.jpg","Фото")</f>
      </c>
    </row>
    <row r="2943">
      <c r="A2943" s="7">
        <f>HYPERLINK("http://www.lingerieopt.ru/item/8513-kostyum-setka-s-krasivjm-dekolte-i-otkrjtjmi-bedrami/","8513")</f>
      </c>
      <c r="B2943" s="8" t="s">
        <v>2935</v>
      </c>
      <c r="C2943" s="9">
        <v>636</v>
      </c>
      <c r="D2943" s="0">
        <v>9</v>
      </c>
      <c r="E2943" s="10">
        <f>HYPERLINK("http://www.lingerieopt.ru/images/original/d0feb024-07ba-4fae-9f8c-ba5eec01786c.jpg","Фото")</f>
      </c>
    </row>
    <row r="2944">
      <c r="A2944" s="7">
        <f>HYPERLINK("http://www.lingerieopt.ru/item/8514-kostyum-setka-bez-bretelei/","8514")</f>
      </c>
      <c r="B2944" s="8" t="s">
        <v>2936</v>
      </c>
      <c r="C2944" s="9">
        <v>636</v>
      </c>
      <c r="D2944" s="0">
        <v>0</v>
      </c>
      <c r="E2944" s="10">
        <f>HYPERLINK("http://www.lingerieopt.ru/images/original/74261a6a-2512-45fd-a6ee-d236bba7c70b.jpg","Фото")</f>
      </c>
    </row>
    <row r="2945">
      <c r="A2945" s="7">
        <f>HYPERLINK("http://www.lingerieopt.ru/item/8514-kostyum-setka-bez-bretelei/","8514")</f>
      </c>
      <c r="B2945" s="8" t="s">
        <v>2937</v>
      </c>
      <c r="C2945" s="9">
        <v>636</v>
      </c>
      <c r="D2945" s="0">
        <v>15</v>
      </c>
      <c r="E2945" s="10">
        <f>HYPERLINK("http://www.lingerieopt.ru/images/original/74261a6a-2512-45fd-a6ee-d236bba7c70b.jpg","Фото")</f>
      </c>
    </row>
    <row r="2946">
      <c r="A2946" s="7">
        <f>HYPERLINK("http://www.lingerieopt.ru/item/8531-izjskannji-kostyum-setka-s-imitaciei-komplekta-nizhnego-belya/","8531")</f>
      </c>
      <c r="B2946" s="8" t="s">
        <v>2938</v>
      </c>
      <c r="C2946" s="9">
        <v>636</v>
      </c>
      <c r="D2946" s="0">
        <v>15</v>
      </c>
      <c r="E2946" s="10">
        <f>HYPERLINK("http://www.lingerieopt.ru/images/original/6ebd1978-73ef-417e-a83d-0e6c208c1624.jpg","Фото")</f>
      </c>
    </row>
    <row r="2947">
      <c r="A2947" s="7">
        <f>HYPERLINK("http://www.lingerieopt.ru/item/8531-izjskannji-kostyum-setka-s-imitaciei-komplekta-nizhnego-belya/","8531")</f>
      </c>
      <c r="B2947" s="8" t="s">
        <v>2939</v>
      </c>
      <c r="C2947" s="9">
        <v>636</v>
      </c>
      <c r="D2947" s="0">
        <v>10</v>
      </c>
      <c r="E2947" s="10">
        <f>HYPERLINK("http://www.lingerieopt.ru/images/original/6ebd1978-73ef-417e-a83d-0e6c208c1624.jpg","Фото")</f>
      </c>
    </row>
    <row r="2948">
      <c r="A2948" s="7">
        <f>HYPERLINK("http://www.lingerieopt.ru/item/8532-kostyum-setka-s-krasivjm-perepleteniem-bretelei/","8532")</f>
      </c>
      <c r="B2948" s="8" t="s">
        <v>2940</v>
      </c>
      <c r="C2948" s="9">
        <v>636</v>
      </c>
      <c r="D2948" s="0">
        <v>0</v>
      </c>
      <c r="E2948" s="10">
        <f>HYPERLINK("http://www.lingerieopt.ru/images/original/5baf1215-9c80-4789-8269-02919a9e43e5.jpg","Фото")</f>
      </c>
    </row>
    <row r="2949">
      <c r="A2949" s="7">
        <f>HYPERLINK("http://www.lingerieopt.ru/item/8532-kostyum-setka-s-krasivjm-perepleteniem-bretelei/","8532")</f>
      </c>
      <c r="B2949" s="8" t="s">
        <v>2941</v>
      </c>
      <c r="C2949" s="9">
        <v>636</v>
      </c>
      <c r="D2949" s="0">
        <v>9</v>
      </c>
      <c r="E2949" s="10">
        <f>HYPERLINK("http://www.lingerieopt.ru/images/original/5baf1215-9c80-4789-8269-02919a9e43e5.jpg","Фото")</f>
      </c>
    </row>
    <row r="2950">
      <c r="A2950" s="7">
        <f>HYPERLINK("http://www.lingerieopt.ru/item/8533-ocharovatelnji-kostyum-setka-s-otkrjtjmi-bedrami/","8533")</f>
      </c>
      <c r="B2950" s="8" t="s">
        <v>2942</v>
      </c>
      <c r="C2950" s="9">
        <v>636</v>
      </c>
      <c r="D2950" s="0">
        <v>16</v>
      </c>
      <c r="E2950" s="10">
        <f>HYPERLINK("http://www.lingerieopt.ru/images/original/6d299864-817b-4166-98a8-6e2924a0967e.jpg","Фото")</f>
      </c>
    </row>
    <row r="2951">
      <c r="A2951" s="7">
        <f>HYPERLINK("http://www.lingerieopt.ru/item/8533-ocharovatelnji-kostyum-setka-s-otkrjtjmi-bedrami/","8533")</f>
      </c>
      <c r="B2951" s="8" t="s">
        <v>2943</v>
      </c>
      <c r="C2951" s="9">
        <v>636</v>
      </c>
      <c r="D2951" s="0">
        <v>9</v>
      </c>
      <c r="E2951" s="10">
        <f>HYPERLINK("http://www.lingerieopt.ru/images/original/6d299864-817b-4166-98a8-6e2924a0967e.jpg","Фото")</f>
      </c>
    </row>
    <row r="2952">
      <c r="A2952" s="7">
        <f>HYPERLINK("http://www.lingerieopt.ru/item/8534-originalnji-kostyum-setka-s-otkrjtoi-grudyu/","8534")</f>
      </c>
      <c r="B2952" s="8" t="s">
        <v>2944</v>
      </c>
      <c r="C2952" s="9">
        <v>636</v>
      </c>
      <c r="D2952" s="0">
        <v>9</v>
      </c>
      <c r="E2952" s="10">
        <f>HYPERLINK("http://www.lingerieopt.ru/images/original/145431f6-14d5-4fd4-b1b4-ebed90a05636.jpg","Фото")</f>
      </c>
    </row>
    <row r="2953">
      <c r="A2953" s="7">
        <f>HYPERLINK("http://www.lingerieopt.ru/item/8534-originalnji-kostyum-setka-s-otkrjtoi-grudyu/","8534")</f>
      </c>
      <c r="B2953" s="8" t="s">
        <v>2945</v>
      </c>
      <c r="C2953" s="9">
        <v>636</v>
      </c>
      <c r="D2953" s="0">
        <v>2</v>
      </c>
      <c r="E2953" s="10">
        <f>HYPERLINK("http://www.lingerieopt.ru/images/original/145431f6-14d5-4fd4-b1b4-ebed90a05636.jpg","Фото")</f>
      </c>
    </row>
    <row r="2954">
      <c r="A2954" s="7">
        <f>HYPERLINK("http://www.lingerieopt.ru/item/8534-originalnji-kostyum-setka-s-otkrjtoi-grudyu/","8534")</f>
      </c>
      <c r="B2954" s="8" t="s">
        <v>2946</v>
      </c>
      <c r="C2954" s="9">
        <v>636</v>
      </c>
      <c r="D2954" s="0">
        <v>11</v>
      </c>
      <c r="E2954" s="10">
        <f>HYPERLINK("http://www.lingerieopt.ru/images/original/145431f6-14d5-4fd4-b1b4-ebed90a05636.jpg","Фото")</f>
      </c>
    </row>
    <row r="2955">
      <c r="A2955" s="7">
        <f>HYPERLINK("http://www.lingerieopt.ru/item/8535-provokacionnji-kostyum-setka-s-uzorom-v-vide-zavitkov/","8535")</f>
      </c>
      <c r="B2955" s="8" t="s">
        <v>2947</v>
      </c>
      <c r="C2955" s="9">
        <v>636</v>
      </c>
      <c r="D2955" s="0">
        <v>7</v>
      </c>
      <c r="E2955" s="10">
        <f>HYPERLINK("http://www.lingerieopt.ru/images/original/3ba824d2-73e7-4bce-bd25-8a5f4f1e973b.jpg","Фото")</f>
      </c>
    </row>
    <row r="2956">
      <c r="A2956" s="7">
        <f>HYPERLINK("http://www.lingerieopt.ru/item/8535-provokacionnji-kostyum-setka-s-uzorom-v-vide-zavitkov/","8535")</f>
      </c>
      <c r="B2956" s="8" t="s">
        <v>2948</v>
      </c>
      <c r="C2956" s="9">
        <v>636</v>
      </c>
      <c r="D2956" s="0">
        <v>12</v>
      </c>
      <c r="E2956" s="10">
        <f>HYPERLINK("http://www.lingerieopt.ru/images/original/3ba824d2-73e7-4bce-bd25-8a5f4f1e973b.jpg","Фото")</f>
      </c>
    </row>
    <row r="2957">
      <c r="A2957" s="7">
        <f>HYPERLINK("http://www.lingerieopt.ru/item/8535-provokacionnji-kostyum-setka-s-uzorom-v-vide-zavitkov/","8535")</f>
      </c>
      <c r="B2957" s="8" t="s">
        <v>2949</v>
      </c>
      <c r="C2957" s="9">
        <v>636</v>
      </c>
      <c r="D2957" s="0">
        <v>10</v>
      </c>
      <c r="E2957" s="10">
        <f>HYPERLINK("http://www.lingerieopt.ru/images/original/3ba824d2-73e7-4bce-bd25-8a5f4f1e973b.jpg","Фото")</f>
      </c>
    </row>
    <row r="2958">
      <c r="A2958" s="7">
        <f>HYPERLINK("http://www.lingerieopt.ru/item/8740-kombinezon-pautinka-s-otkrjtjmi-rukami/","8740")</f>
      </c>
      <c r="B2958" s="8" t="s">
        <v>2950</v>
      </c>
      <c r="C2958" s="9">
        <v>636</v>
      </c>
      <c r="D2958" s="0">
        <v>1</v>
      </c>
      <c r="E2958" s="10">
        <f>HYPERLINK("http://www.lingerieopt.ru/images/original/3c9dfbea-cfb2-43d0-ac91-5f8b33234f79.jpg","Фото")</f>
      </c>
    </row>
    <row r="2959">
      <c r="A2959" s="7">
        <f>HYPERLINK("http://www.lingerieopt.ru/item/8740-kombinezon-pautinka-s-otkrjtjmi-rukami/","8740")</f>
      </c>
      <c r="B2959" s="8" t="s">
        <v>2951</v>
      </c>
      <c r="C2959" s="9">
        <v>636</v>
      </c>
      <c r="D2959" s="0">
        <v>13</v>
      </c>
      <c r="E2959" s="10">
        <f>HYPERLINK("http://www.lingerieopt.ru/images/original/3c9dfbea-cfb2-43d0-ac91-5f8b33234f79.jpg","Фото")</f>
      </c>
    </row>
    <row r="2960">
      <c r="A2960" s="7">
        <f>HYPERLINK("http://www.lingerieopt.ru/item/8788-krasivji-ketsyuit-plus-size-s-azhurnjm-uzorom/","8788")</f>
      </c>
      <c r="B2960" s="8" t="s">
        <v>2952</v>
      </c>
      <c r="C2960" s="9">
        <v>1374</v>
      </c>
      <c r="D2960" s="0">
        <v>9</v>
      </c>
      <c r="E2960" s="10">
        <f>HYPERLINK("http://www.lingerieopt.ru/images/original/31aeec4a-6343-467f-ac2a-0655bc687f33.jpg","Фото")</f>
      </c>
    </row>
    <row r="2961">
      <c r="A2961" s="7">
        <f>HYPERLINK("http://www.lingerieopt.ru/item/8798-ultra-soblaznitelnji-kombinezon-iz-setki/","8798")</f>
      </c>
      <c r="B2961" s="8" t="s">
        <v>2953</v>
      </c>
      <c r="C2961" s="9">
        <v>1334</v>
      </c>
      <c r="D2961" s="0">
        <v>10</v>
      </c>
      <c r="E2961" s="10">
        <f>HYPERLINK("http://www.lingerieopt.ru/images/original/bc8165c0-3519-442d-bb2f-8e84e0341553.jpg","Фото")</f>
      </c>
    </row>
    <row r="2962">
      <c r="A2962" s="7">
        <f>HYPERLINK("http://www.lingerieopt.ru/item/8814-chuvstvennji-kombinezon-v-setku/","8814")</f>
      </c>
      <c r="B2962" s="8" t="s">
        <v>2954</v>
      </c>
      <c r="C2962" s="9">
        <v>1183</v>
      </c>
      <c r="D2962" s="0">
        <v>4</v>
      </c>
      <c r="E2962" s="10">
        <f>HYPERLINK("http://www.lingerieopt.ru/images/original/d95eebea-b6ef-406f-8584-9a1ed8717192.jpg","Фото")</f>
      </c>
    </row>
    <row r="2963">
      <c r="A2963" s="7">
        <f>HYPERLINK("http://www.lingerieopt.ru/item/8838-effektnji-kombinezon-plus-size-s-otkrjtjmi-bedrami-i-uzorom-v-krupnji-goroshek/","8838")</f>
      </c>
      <c r="B2963" s="8" t="s">
        <v>2955</v>
      </c>
      <c r="C2963" s="9">
        <v>1430</v>
      </c>
      <c r="D2963" s="0">
        <v>6</v>
      </c>
      <c r="E2963" s="10">
        <f>HYPERLINK("http://www.lingerieopt.ru/images/original/6b8d52d0-75fd-4cd2-b07c-9218cea2b6f3.jpg","Фото")</f>
      </c>
    </row>
    <row r="2964">
      <c r="A2964" s="7">
        <f>HYPERLINK("http://www.lingerieopt.ru/item/8910-bezhevji-azhurnji-kombinezon-s-razrezami-na-bedrah/","8910")</f>
      </c>
      <c r="B2964" s="8" t="s">
        <v>2956</v>
      </c>
      <c r="C2964" s="9">
        <v>516</v>
      </c>
      <c r="D2964" s="0">
        <v>1</v>
      </c>
      <c r="E2964" s="10">
        <f>HYPERLINK("http://www.lingerieopt.ru/images/original/53607b13-1c02-4d1b-9ab5-48c07c63318a.jpg","Фото")</f>
      </c>
    </row>
    <row r="2965">
      <c r="A2965" s="7">
        <f>HYPERLINK("http://www.lingerieopt.ru/item/8911-bezhevji-kombinezon-s-zamjslovatjm-uzorom-i-korotkimi-rukavami/","8911")</f>
      </c>
      <c r="B2965" s="8" t="s">
        <v>2957</v>
      </c>
      <c r="C2965" s="9">
        <v>610</v>
      </c>
      <c r="D2965" s="0">
        <v>20</v>
      </c>
      <c r="E2965" s="10">
        <f>HYPERLINK("http://www.lingerieopt.ru/images/original/cd5048b5-850b-40b2-9e09-6012738c67d8.jpg","Фото")</f>
      </c>
    </row>
    <row r="2966">
      <c r="A2966" s="7">
        <f>HYPERLINK("http://www.lingerieopt.ru/item/8912-belji-kombinezon-c-korotkimi-rukavami-i-imitaciei-shnurovki-na-grudi/","8912")</f>
      </c>
      <c r="B2966" s="8" t="s">
        <v>2958</v>
      </c>
      <c r="C2966" s="9">
        <v>494</v>
      </c>
      <c r="D2966" s="0">
        <v>7</v>
      </c>
      <c r="E2966" s="10">
        <f>HYPERLINK("http://www.lingerieopt.ru/images/original/558dd5c1-10b2-4ae6-aeb0-3bbec3448644.jpg","Фото")</f>
      </c>
    </row>
    <row r="2967">
      <c r="A2967" s="7">
        <f>HYPERLINK("http://www.lingerieopt.ru/item/8913-belji-azhurnji-kombinezon-s-intimnjm-dostupom/","8913")</f>
      </c>
      <c r="B2967" s="8" t="s">
        <v>2959</v>
      </c>
      <c r="C2967" s="9">
        <v>601</v>
      </c>
      <c r="D2967" s="0">
        <v>20</v>
      </c>
      <c r="E2967" s="10">
        <f>HYPERLINK("http://www.lingerieopt.ru/images/original/878bba79-fa97-49c9-a6fb-4c913c7a1d1a.jpg","Фото")</f>
      </c>
    </row>
    <row r="2968">
      <c r="A2968" s="7">
        <f>HYPERLINK("http://www.lingerieopt.ru/item/8914-azhurnji-kombinezon-s-cvetochnjm-risunkom/","8914")</f>
      </c>
      <c r="B2968" s="8" t="s">
        <v>2960</v>
      </c>
      <c r="C2968" s="9">
        <v>481</v>
      </c>
      <c r="D2968" s="0">
        <v>20</v>
      </c>
      <c r="E2968" s="10">
        <f>HYPERLINK("http://www.lingerieopt.ru/images/original/10cc286d-bedb-443a-9ad9-3372c806b458.jpg","Фото")</f>
      </c>
    </row>
    <row r="2969">
      <c r="A2969" s="7">
        <f>HYPERLINK("http://www.lingerieopt.ru/item/8915-krasnji-kombinezon-v-krupnuyu-vertikalnuyu-polosku/","8915")</f>
      </c>
      <c r="B2969" s="8" t="s">
        <v>2961</v>
      </c>
      <c r="C2969" s="9">
        <v>566</v>
      </c>
      <c r="D2969" s="0">
        <v>18</v>
      </c>
      <c r="E2969" s="10">
        <f>HYPERLINK("http://www.lingerieopt.ru/images/original/54e4cd19-973c-485f-82c3-e9f60b5aa33f.jpg","Фото")</f>
      </c>
    </row>
    <row r="2970">
      <c r="A2970" s="7">
        <f>HYPERLINK("http://www.lingerieopt.ru/item/8916-krasnji-kombinezon-so-slozhnjm-risunkom-i-intimnjm-dostupom/","8916")</f>
      </c>
      <c r="B2970" s="8" t="s">
        <v>2962</v>
      </c>
      <c r="C2970" s="9">
        <v>601</v>
      </c>
      <c r="D2970" s="0">
        <v>20</v>
      </c>
      <c r="E2970" s="10">
        <f>HYPERLINK("http://www.lingerieopt.ru/images/original/6ddbabed-d16d-42e5-9089-2b1ef89fd772.jpg","Фото")</f>
      </c>
    </row>
    <row r="2971">
      <c r="A2971" s="7">
        <f>HYPERLINK("http://www.lingerieopt.ru/item/8917-krasnji-azhurnji-kombinezon-s-imitaciei-shnurovki-na-grudi/","8917")</f>
      </c>
      <c r="B2971" s="8" t="s">
        <v>2963</v>
      </c>
      <c r="C2971" s="9">
        <v>607</v>
      </c>
      <c r="D2971" s="0">
        <v>8</v>
      </c>
      <c r="E2971" s="10">
        <f>HYPERLINK("http://www.lingerieopt.ru/images/original/f1d92197-a63b-4d0c-8b2f-e0380bb2375e.jpg","Фото")</f>
      </c>
    </row>
    <row r="2972">
      <c r="A2972" s="7">
        <f>HYPERLINK("http://www.lingerieopt.ru/item/8918-krasnji-azhurnji-kombinezon-s-vjrezom-kapelkoi-pod-grudyu/","8918")</f>
      </c>
      <c r="B2972" s="8" t="s">
        <v>2964</v>
      </c>
      <c r="C2972" s="9">
        <v>582</v>
      </c>
      <c r="D2972" s="0">
        <v>13</v>
      </c>
      <c r="E2972" s="10">
        <f>HYPERLINK("http://www.lingerieopt.ru/images/original/b2cab2c8-0b70-4ac2-90f4-64500ab38ada.jpg","Фото")</f>
      </c>
    </row>
    <row r="2973">
      <c r="A2973" s="7">
        <f>HYPERLINK("http://www.lingerieopt.ru/item/8919-effektnji-azhurnji-kombinezon-s-chulkami/","8919")</f>
      </c>
      <c r="B2973" s="8" t="s">
        <v>2965</v>
      </c>
      <c r="C2973" s="9">
        <v>580</v>
      </c>
      <c r="D2973" s="0">
        <v>20</v>
      </c>
      <c r="E2973" s="10">
        <f>HYPERLINK("http://www.lingerieopt.ru/images/original/8bce6ae8-dc6f-4c9b-9a66-79e3de4209fa.jpg","Фото")</f>
      </c>
    </row>
    <row r="2974">
      <c r="A2974" s="7">
        <f>HYPERLINK("http://www.lingerieopt.ru/item/8920-chernji-kombinezon-s-azhurnoi-verhnei-chastyu/","8920")</f>
      </c>
      <c r="B2974" s="8" t="s">
        <v>2966</v>
      </c>
      <c r="C2974" s="9">
        <v>582</v>
      </c>
      <c r="D2974" s="0">
        <v>5</v>
      </c>
      <c r="E2974" s="10">
        <f>HYPERLINK("http://www.lingerieopt.ru/images/original/fce185dd-c247-4b5f-91cf-0db24e8e8484.jpg","Фото")</f>
      </c>
    </row>
    <row r="2975">
      <c r="A2975" s="7">
        <f>HYPERLINK("http://www.lingerieopt.ru/item/8921-chernji-kombinezon-s-krasivjm-cvetochnjm-ornamentom/","8921")</f>
      </c>
      <c r="B2975" s="8" t="s">
        <v>2967</v>
      </c>
      <c r="C2975" s="9">
        <v>494</v>
      </c>
      <c r="D2975" s="0">
        <v>7</v>
      </c>
      <c r="E2975" s="10">
        <f>HYPERLINK("http://www.lingerieopt.ru/images/original/7faf3fe5-849e-4ce0-9fd5-686b235f23f8.jpg","Фото")</f>
      </c>
    </row>
    <row r="2976">
      <c r="A2976" s="7">
        <f>HYPERLINK("http://www.lingerieopt.ru/item/8922-chernji-kombinezon-v-gorizontalnuyu-polosku/","8922")</f>
      </c>
      <c r="B2976" s="8" t="s">
        <v>2968</v>
      </c>
      <c r="C2976" s="9">
        <v>389</v>
      </c>
      <c r="D2976" s="0">
        <v>20</v>
      </c>
      <c r="E2976" s="10">
        <f>HYPERLINK("http://www.lingerieopt.ru/images/original/f4514c83-9ad0-44cc-af59-f914ad98446e.jpg","Фото")</f>
      </c>
    </row>
    <row r="2977">
      <c r="A2977" s="7">
        <f>HYPERLINK("http://www.lingerieopt.ru/item/8923-kombinezon-v-krupnuyu-vertikalnuyu-polosku/","8923")</f>
      </c>
      <c r="B2977" s="8" t="s">
        <v>2969</v>
      </c>
      <c r="C2977" s="9">
        <v>566</v>
      </c>
      <c r="D2977" s="0">
        <v>1</v>
      </c>
      <c r="E2977" s="10">
        <f>HYPERLINK("http://www.lingerieopt.ru/images/original/35cb75f9-a560-4af5-9216-0e62625667bb.jpg","Фото")</f>
      </c>
    </row>
    <row r="2978">
      <c r="A2978" s="7">
        <f>HYPERLINK("http://www.lingerieopt.ru/item/8924-azhurnji-kombinezon-s-tonkimi-vertikalnjmi-poloskami/","8924")</f>
      </c>
      <c r="B2978" s="8" t="s">
        <v>2970</v>
      </c>
      <c r="C2978" s="9">
        <v>601</v>
      </c>
      <c r="D2978" s="0">
        <v>5</v>
      </c>
      <c r="E2978" s="10">
        <f>HYPERLINK("http://www.lingerieopt.ru/images/original/d5afec89-3424-4fb3-8390-eda4b8a3be65.jpg","Фото")</f>
      </c>
    </row>
    <row r="2979">
      <c r="A2979" s="7">
        <f>HYPERLINK("http://www.lingerieopt.ru/item/8925-chernji-kombinezon-v-setku-s-azhurnjm-risunkom/","8925")</f>
      </c>
      <c r="B2979" s="8" t="s">
        <v>2971</v>
      </c>
      <c r="C2979" s="9">
        <v>540</v>
      </c>
      <c r="D2979" s="0">
        <v>4</v>
      </c>
      <c r="E2979" s="10">
        <f>HYPERLINK("http://www.lingerieopt.ru/images/original/fc6403c4-3e1c-4165-b13c-0da7dce1ee61.jpg","Фото")</f>
      </c>
    </row>
    <row r="2980">
      <c r="A2980" s="7">
        <f>HYPERLINK("http://www.lingerieopt.ru/item/8926-chernji-kombinezon-so-slozhnjm-geometricheskim-uzorom/","8926")</f>
      </c>
      <c r="B2980" s="8" t="s">
        <v>2972</v>
      </c>
      <c r="C2980" s="9">
        <v>601</v>
      </c>
      <c r="D2980" s="0">
        <v>20</v>
      </c>
      <c r="E2980" s="10">
        <f>HYPERLINK("http://www.lingerieopt.ru/images/original/9e9ebcd1-96c5-49ce-bc39-4f67a81afa31.jpg","Фото")</f>
      </c>
    </row>
    <row r="2981">
      <c r="A2981" s="7">
        <f>HYPERLINK("http://www.lingerieopt.ru/item/8927-azhurnji-kombinezon-s-uzorom-napominayuschim-cheshuiki/","8927")</f>
      </c>
      <c r="B2981" s="8" t="s">
        <v>2973</v>
      </c>
      <c r="C2981" s="9">
        <v>309</v>
      </c>
      <c r="D2981" s="0">
        <v>5</v>
      </c>
      <c r="E2981" s="10">
        <f>HYPERLINK("http://www.lingerieopt.ru/images/original/1d52e214-041d-44f5-a999-c204aade1199.jpg","Фото")</f>
      </c>
    </row>
    <row r="2982">
      <c r="A2982" s="7">
        <f>HYPERLINK("http://www.lingerieopt.ru/item/8928-kombinezon-s-shirokoi-bretelyu-na-odno-plecho/","8928")</f>
      </c>
      <c r="B2982" s="8" t="s">
        <v>2974</v>
      </c>
      <c r="C2982" s="9">
        <v>517</v>
      </c>
      <c r="D2982" s="0">
        <v>6</v>
      </c>
      <c r="E2982" s="10">
        <f>HYPERLINK("http://www.lingerieopt.ru/images/original/682747e6-86ca-4757-88ff-fc6e9961c300.jpg","Фото")</f>
      </c>
    </row>
    <row r="2983">
      <c r="A2983" s="7">
        <f>HYPERLINK("http://www.lingerieopt.ru/item/8930-kombinezon-s-cvetochnjm-risunkom-i-malenkimi-vjrezami-na-grudi/","8930")</f>
      </c>
      <c r="B2983" s="8" t="s">
        <v>2975</v>
      </c>
      <c r="C2983" s="9">
        <v>540</v>
      </c>
      <c r="D2983" s="0">
        <v>11</v>
      </c>
      <c r="E2983" s="10">
        <f>HYPERLINK("http://www.lingerieopt.ru/images/original/fe088247-fcd5-41d2-a0dd-7f4678b0d95b.jpg","Фото")</f>
      </c>
    </row>
    <row r="2984">
      <c r="A2984" s="7">
        <f>HYPERLINK("http://www.lingerieopt.ru/item/8931-azhurnji-kombinezon-s-malenkim-vjrezom-setkoi-na-grudi/","8931")</f>
      </c>
      <c r="B2984" s="8" t="s">
        <v>2976</v>
      </c>
      <c r="C2984" s="9">
        <v>607</v>
      </c>
      <c r="D2984" s="0">
        <v>6</v>
      </c>
      <c r="E2984" s="10">
        <f>HYPERLINK("http://www.lingerieopt.ru/images/original/067b8205-c599-44b3-aaf6-45711c3a4490.jpg","Фото")</f>
      </c>
    </row>
    <row r="2985">
      <c r="A2985" s="7">
        <f>HYPERLINK("http://www.lingerieopt.ru/item/8932-kombinezon-s-dlinnjmi-rukavami-i-uzorom-napominayuschim-lentj/","8932")</f>
      </c>
      <c r="B2985" s="8" t="s">
        <v>2977</v>
      </c>
      <c r="C2985" s="9">
        <v>607</v>
      </c>
      <c r="D2985" s="0">
        <v>7</v>
      </c>
      <c r="E2985" s="10">
        <f>HYPERLINK("http://www.lingerieopt.ru/images/original/6e4d1784-e0fd-4ad0-b445-7029dd10185f.jpg","Фото")</f>
      </c>
    </row>
    <row r="2986">
      <c r="A2986" s="7">
        <f>HYPERLINK("http://www.lingerieopt.ru/item/8933-kombinezon-s-cvetochnjm-uzorom-s-imitaciei-korsazha-i-chulok/","8933")</f>
      </c>
      <c r="B2986" s="8" t="s">
        <v>2978</v>
      </c>
      <c r="C2986" s="9">
        <v>460</v>
      </c>
      <c r="D2986" s="0">
        <v>10</v>
      </c>
      <c r="E2986" s="10">
        <f>HYPERLINK("http://www.lingerieopt.ru/images/original/252540b1-d9dc-4dd0-bc23-01059d0c6634.jpg","Фото")</f>
      </c>
    </row>
    <row r="2987">
      <c r="A2987" s="7">
        <f>HYPERLINK("http://www.lingerieopt.ru/item/8934-chernji-kombinezon-na-tonkih-bretelyah-s-uzorom-zavitkami-v-verhnei-chasti/","8934")</f>
      </c>
      <c r="B2987" s="8" t="s">
        <v>2979</v>
      </c>
      <c r="C2987" s="9">
        <v>582</v>
      </c>
      <c r="D2987" s="0">
        <v>6</v>
      </c>
      <c r="E2987" s="10">
        <f>HYPERLINK("http://www.lingerieopt.ru/images/original/561ba0df-54fa-4616-adde-703522f183b7.jpg","Фото")</f>
      </c>
    </row>
    <row r="2988">
      <c r="A2988" s="7">
        <f>HYPERLINK("http://www.lingerieopt.ru/item/8935-chernji-kombinezon-s-rvanjmi-razrezami-na-bedrah/","8935")</f>
      </c>
      <c r="B2988" s="8" t="s">
        <v>2980</v>
      </c>
      <c r="C2988" s="9">
        <v>541</v>
      </c>
      <c r="D2988" s="0">
        <v>20</v>
      </c>
      <c r="E2988" s="10">
        <f>HYPERLINK("http://www.lingerieopt.ru/images/original/64c5dd4f-8d4a-4c9a-a157-0b5916904c5a.jpg","Фото")</f>
      </c>
    </row>
    <row r="2989">
      <c r="A2989" s="7">
        <f>HYPERLINK("http://www.lingerieopt.ru/item/8936-azhurnji-kombinezon-s-dlinnjmi-rukavami/","8936")</f>
      </c>
      <c r="B2989" s="8" t="s">
        <v>2981</v>
      </c>
      <c r="C2989" s="9">
        <v>582</v>
      </c>
      <c r="D2989" s="0">
        <v>11</v>
      </c>
      <c r="E2989" s="10">
        <f>HYPERLINK("http://www.lingerieopt.ru/images/original/4d402c97-9a24-436f-873a-99b512c170af.jpg","Фото")</f>
      </c>
    </row>
    <row r="2990">
      <c r="A2990" s="7">
        <f>HYPERLINK("http://www.lingerieopt.ru/item/8937-azhurnji-kombinezon-s-krupnjm-cvetochnjm-risunkom/","8937")</f>
      </c>
      <c r="B2990" s="8" t="s">
        <v>2982</v>
      </c>
      <c r="C2990" s="9">
        <v>540</v>
      </c>
      <c r="D2990" s="0">
        <v>1</v>
      </c>
      <c r="E2990" s="10">
        <f>HYPERLINK("http://www.lingerieopt.ru/images/original/c42d426e-0258-4bde-ba20-e650e99315f0.jpg","Фото")</f>
      </c>
    </row>
    <row r="2991">
      <c r="A2991" s="7">
        <f>HYPERLINK("http://www.lingerieopt.ru/item/8938-chernji-kombinezon-s-azhurnoi-verhnei-chastyu-i-imitaciei-krupnoi-setki-snizu/","8938")</f>
      </c>
      <c r="B2991" s="8" t="s">
        <v>2983</v>
      </c>
      <c r="C2991" s="9">
        <v>607</v>
      </c>
      <c r="D2991" s="0">
        <v>8</v>
      </c>
      <c r="E2991" s="10">
        <f>HYPERLINK("http://www.lingerieopt.ru/images/original/30731895-e4aa-4fd9-9b80-812b891802fc.jpg","Фото")</f>
      </c>
    </row>
    <row r="2992">
      <c r="A2992" s="7">
        <f>HYPERLINK("http://www.lingerieopt.ru/item/8990-kostyum-setka-crazy-iz-cvetochnogo-kruzheva/","8990")</f>
      </c>
      <c r="B2992" s="8" t="s">
        <v>2984</v>
      </c>
      <c r="C2992" s="9">
        <v>1749</v>
      </c>
      <c r="D2992" s="0">
        <v>4</v>
      </c>
      <c r="E2992" s="10">
        <f>HYPERLINK("http://www.lingerieopt.ru/images/original/069671a1-c3a0-43ab-a2a0-d4c8dbdd2a53.jpg","Фото")</f>
      </c>
    </row>
    <row r="2993">
      <c r="A2993" s="7">
        <f>HYPERLINK("http://www.lingerieopt.ru/item/8991-kostyum-setka-ligia-s-otkrjtoi-spinoi/","8991")</f>
      </c>
      <c r="B2993" s="8" t="s">
        <v>2985</v>
      </c>
      <c r="C2993" s="9">
        <v>1099</v>
      </c>
      <c r="D2993" s="0">
        <v>7</v>
      </c>
      <c r="E2993" s="10">
        <f>HYPERLINK("http://www.lingerieopt.ru/images/original/634bb43c-975c-473d-af4d-c41c1d87379e.jpg","Фото")</f>
      </c>
    </row>
    <row r="2994">
      <c r="A2994" s="7">
        <f>HYPERLINK("http://www.lingerieopt.ru/item/9025-effektnji-kombinezon-setka-bez-rukavov-s-intimnjm-dostupom/","9025")</f>
      </c>
      <c r="B2994" s="8" t="s">
        <v>2986</v>
      </c>
      <c r="C2994" s="9">
        <v>636</v>
      </c>
      <c r="D2994" s="0">
        <v>6</v>
      </c>
      <c r="E2994" s="10">
        <f>HYPERLINK("http://www.lingerieopt.ru/images/original/c3921f18-484d-4cbe-9950-089feee6beb9.jpg","Фото")</f>
      </c>
    </row>
    <row r="2995">
      <c r="A2995" s="7">
        <f>HYPERLINK("http://www.lingerieopt.ru/item/9025-effektnji-kombinezon-setka-bez-rukavov-s-intimnjm-dostupom/","9025")</f>
      </c>
      <c r="B2995" s="8" t="s">
        <v>2987</v>
      </c>
      <c r="C2995" s="9">
        <v>636</v>
      </c>
      <c r="D2995" s="0">
        <v>11</v>
      </c>
      <c r="E2995" s="10">
        <f>HYPERLINK("http://www.lingerieopt.ru/images/original/c3921f18-484d-4cbe-9950-089feee6beb9.jpg","Фото")</f>
      </c>
    </row>
    <row r="2996">
      <c r="A2996" s="7">
        <f>HYPERLINK("http://www.lingerieopt.ru/item/9025-effektnji-kombinezon-setka-bez-rukavov-s-intimnjm-dostupom/","9025")</f>
      </c>
      <c r="B2996" s="8" t="s">
        <v>2988</v>
      </c>
      <c r="C2996" s="9">
        <v>636</v>
      </c>
      <c r="D2996" s="0">
        <v>13</v>
      </c>
      <c r="E2996" s="10">
        <f>HYPERLINK("http://www.lingerieopt.ru/images/original/c3921f18-484d-4cbe-9950-089feee6beb9.jpg","Фото")</f>
      </c>
    </row>
    <row r="2997">
      <c r="A2997" s="7">
        <f>HYPERLINK("http://www.lingerieopt.ru/item/9026-originalnji-kombinezon-na-shirokih-bretelyah/","9026")</f>
      </c>
      <c r="B2997" s="8" t="s">
        <v>2989</v>
      </c>
      <c r="C2997" s="9">
        <v>636</v>
      </c>
      <c r="D2997" s="0">
        <v>10</v>
      </c>
      <c r="E2997" s="10">
        <f>HYPERLINK("http://www.lingerieopt.ru/images/original/dc8d16ce-894c-4f3a-9be8-c7cbbacaa0a3.jpg","Фото")</f>
      </c>
    </row>
    <row r="2998">
      <c r="A2998" s="7">
        <f>HYPERLINK("http://www.lingerieopt.ru/item/9026-originalnji-kombinezon-na-shirokih-bretelyah/","9026")</f>
      </c>
      <c r="B2998" s="8" t="s">
        <v>2990</v>
      </c>
      <c r="C2998" s="9">
        <v>636</v>
      </c>
      <c r="D2998" s="0">
        <v>9</v>
      </c>
      <c r="E2998" s="10">
        <f>HYPERLINK("http://www.lingerieopt.ru/images/original/dc8d16ce-894c-4f3a-9be8-c7cbbacaa0a3.jpg","Фото")</f>
      </c>
    </row>
    <row r="2999">
      <c r="A2999" s="7">
        <f>HYPERLINK("http://www.lingerieopt.ru/item/9026-originalnji-kombinezon-na-shirokih-bretelyah/","9026")</f>
      </c>
      <c r="B2999" s="8" t="s">
        <v>2991</v>
      </c>
      <c r="C2999" s="9">
        <v>636</v>
      </c>
      <c r="D2999" s="0">
        <v>12</v>
      </c>
      <c r="E2999" s="10">
        <f>HYPERLINK("http://www.lingerieopt.ru/images/original/dc8d16ce-894c-4f3a-9be8-c7cbbacaa0a3.jpg","Фото")</f>
      </c>
    </row>
    <row r="3000">
      <c r="A3000" s="7">
        <f>HYPERLINK("http://www.lingerieopt.ru/item/9027-pikantnji-kombinezon-s-krasivoi-gorlovinoi/","9027")</f>
      </c>
      <c r="B3000" s="8" t="s">
        <v>2992</v>
      </c>
      <c r="C3000" s="9">
        <v>636</v>
      </c>
      <c r="D3000" s="0">
        <v>8</v>
      </c>
      <c r="E3000" s="10">
        <f>HYPERLINK("http://www.lingerieopt.ru/images/original/02ced2ba-db46-4f0c-ae34-244592e8ae2a.jpg","Фото")</f>
      </c>
    </row>
    <row r="3001">
      <c r="A3001" s="7">
        <f>HYPERLINK("http://www.lingerieopt.ru/item/9027-pikantnji-kombinezon-s-krasivoi-gorlovinoi/","9027")</f>
      </c>
      <c r="B3001" s="8" t="s">
        <v>2993</v>
      </c>
      <c r="C3001" s="9">
        <v>636</v>
      </c>
      <c r="D3001" s="0">
        <v>10</v>
      </c>
      <c r="E3001" s="10">
        <f>HYPERLINK("http://www.lingerieopt.ru/images/original/02ced2ba-db46-4f0c-ae34-244592e8ae2a.jpg","Фото")</f>
      </c>
    </row>
    <row r="3002">
      <c r="A3002" s="7">
        <f>HYPERLINK("http://www.lingerieopt.ru/item/9027-pikantnji-kombinezon-s-krasivoi-gorlovinoi/","9027")</f>
      </c>
      <c r="B3002" s="8" t="s">
        <v>2994</v>
      </c>
      <c r="C3002" s="9">
        <v>636</v>
      </c>
      <c r="D3002" s="0">
        <v>8</v>
      </c>
      <c r="E3002" s="10">
        <f>HYPERLINK("http://www.lingerieopt.ru/images/original/02ced2ba-db46-4f0c-ae34-244592e8ae2a.jpg","Фото")</f>
      </c>
    </row>
    <row r="3003">
      <c r="A3003" s="7">
        <f>HYPERLINK("http://www.lingerieopt.ru/item/9028-krasivji-kombinezon-setka-s-rvanjm-zhivotikom/","9028")</f>
      </c>
      <c r="B3003" s="8" t="s">
        <v>2995</v>
      </c>
      <c r="C3003" s="9">
        <v>636</v>
      </c>
      <c r="D3003" s="0">
        <v>9</v>
      </c>
      <c r="E3003" s="10">
        <f>HYPERLINK("http://www.lingerieopt.ru/images/original/4dfef2b0-845a-4199-8075-dd04e496f1c8.jpg","Фото")</f>
      </c>
    </row>
    <row r="3004">
      <c r="A3004" s="7">
        <f>HYPERLINK("http://www.lingerieopt.ru/item/9028-krasivji-kombinezon-setka-s-rvanjm-zhivotikom/","9028")</f>
      </c>
      <c r="B3004" s="8" t="s">
        <v>2996</v>
      </c>
      <c r="C3004" s="9">
        <v>636</v>
      </c>
      <c r="D3004" s="0">
        <v>10</v>
      </c>
      <c r="E3004" s="10">
        <f>HYPERLINK("http://www.lingerieopt.ru/images/original/4dfef2b0-845a-4199-8075-dd04e496f1c8.jpg","Фото")</f>
      </c>
    </row>
    <row r="3005">
      <c r="A3005" s="7">
        <f>HYPERLINK("http://www.lingerieopt.ru/item/9028-krasivji-kombinezon-setka-s-rvanjm-zhivotikom/","9028")</f>
      </c>
      <c r="B3005" s="8" t="s">
        <v>2997</v>
      </c>
      <c r="C3005" s="9">
        <v>636</v>
      </c>
      <c r="D3005" s="0">
        <v>2</v>
      </c>
      <c r="E3005" s="10">
        <f>HYPERLINK("http://www.lingerieopt.ru/images/original/4dfef2b0-845a-4199-8075-dd04e496f1c8.jpg","Фото")</f>
      </c>
    </row>
    <row r="3006">
      <c r="A3006" s="7">
        <f>HYPERLINK("http://www.lingerieopt.ru/item/9029-pikantnji-kombinezon-s-vjrezami-i-geometricheskim-risunkom/","9029")</f>
      </c>
      <c r="B3006" s="8" t="s">
        <v>2998</v>
      </c>
      <c r="C3006" s="9">
        <v>636</v>
      </c>
      <c r="D3006" s="0">
        <v>5</v>
      </c>
      <c r="E3006" s="10">
        <f>HYPERLINK("http://www.lingerieopt.ru/images/original/e03874cf-b666-49b3-bf07-70ab35080ada.jpg","Фото")</f>
      </c>
    </row>
    <row r="3007">
      <c r="A3007" s="7">
        <f>HYPERLINK("http://www.lingerieopt.ru/item/9029-pikantnji-kombinezon-s-vjrezami-i-geometricheskim-risunkom/","9029")</f>
      </c>
      <c r="B3007" s="8" t="s">
        <v>2999</v>
      </c>
      <c r="C3007" s="9">
        <v>636</v>
      </c>
      <c r="D3007" s="0">
        <v>6</v>
      </c>
      <c r="E3007" s="10">
        <f>HYPERLINK("http://www.lingerieopt.ru/images/original/e03874cf-b666-49b3-bf07-70ab35080ada.jpg","Фото")</f>
      </c>
    </row>
    <row r="3008">
      <c r="A3008" s="7">
        <f>HYPERLINK("http://www.lingerieopt.ru/item/9029-pikantnji-kombinezon-s-vjrezami-i-geometricheskim-risunkom/","9029")</f>
      </c>
      <c r="B3008" s="8" t="s">
        <v>3000</v>
      </c>
      <c r="C3008" s="9">
        <v>636</v>
      </c>
      <c r="D3008" s="0">
        <v>8</v>
      </c>
      <c r="E3008" s="10">
        <f>HYPERLINK("http://www.lingerieopt.ru/images/original/e03874cf-b666-49b3-bf07-70ab35080ada.jpg","Фото")</f>
      </c>
    </row>
    <row r="3009">
      <c r="A3009" s="7">
        <f>HYPERLINK("http://www.lingerieopt.ru/item/9030-kombinezon-s-dlinnjmi-rukavami-i-intimnjm-dostupom/","9030")</f>
      </c>
      <c r="B3009" s="8" t="s">
        <v>3001</v>
      </c>
      <c r="C3009" s="9">
        <v>636</v>
      </c>
      <c r="D3009" s="0">
        <v>1</v>
      </c>
      <c r="E3009" s="10">
        <f>HYPERLINK("http://www.lingerieopt.ru/images/original/597b44a7-c7d8-4317-a102-bff5ad8f1d4a.jpg","Фото")</f>
      </c>
    </row>
    <row r="3010">
      <c r="A3010" s="7">
        <f>HYPERLINK("http://www.lingerieopt.ru/item/9030-kombinezon-s-dlinnjmi-rukavami-i-intimnjm-dostupom/","9030")</f>
      </c>
      <c r="B3010" s="8" t="s">
        <v>3002</v>
      </c>
      <c r="C3010" s="9">
        <v>636</v>
      </c>
      <c r="D3010" s="0">
        <v>12</v>
      </c>
      <c r="E3010" s="10">
        <f>HYPERLINK("http://www.lingerieopt.ru/images/original/597b44a7-c7d8-4317-a102-bff5ad8f1d4a.jpg","Фото")</f>
      </c>
    </row>
    <row r="3011">
      <c r="A3011" s="7">
        <f>HYPERLINK("http://www.lingerieopt.ru/item/9030-kombinezon-s-dlinnjmi-rukavami-i-intimnjm-dostupom/","9030")</f>
      </c>
      <c r="B3011" s="8" t="s">
        <v>3003</v>
      </c>
      <c r="C3011" s="9">
        <v>636</v>
      </c>
      <c r="D3011" s="0">
        <v>4</v>
      </c>
      <c r="E3011" s="10">
        <f>HYPERLINK("http://www.lingerieopt.ru/images/original/597b44a7-c7d8-4317-a102-bff5ad8f1d4a.jpg","Фото")</f>
      </c>
    </row>
    <row r="3012">
      <c r="A3012" s="7">
        <f>HYPERLINK("http://www.lingerieopt.ru/item/9031-kombinezon-s-imitaciei-komplekta-belya/","9031")</f>
      </c>
      <c r="B3012" s="8" t="s">
        <v>3004</v>
      </c>
      <c r="C3012" s="9">
        <v>636</v>
      </c>
      <c r="D3012" s="0">
        <v>9</v>
      </c>
      <c r="E3012" s="10">
        <f>HYPERLINK("http://www.lingerieopt.ru/images/original/5749aac6-ecfb-4626-86b6-5b370d4ad0a6.jpg","Фото")</f>
      </c>
    </row>
    <row r="3013">
      <c r="A3013" s="7">
        <f>HYPERLINK("http://www.lingerieopt.ru/item/9031-kombinezon-s-imitaciei-komplekta-belya/","9031")</f>
      </c>
      <c r="B3013" s="8" t="s">
        <v>3005</v>
      </c>
      <c r="C3013" s="9">
        <v>636</v>
      </c>
      <c r="D3013" s="0">
        <v>9</v>
      </c>
      <c r="E3013" s="10">
        <f>HYPERLINK("http://www.lingerieopt.ru/images/original/5749aac6-ecfb-4626-86b6-5b370d4ad0a6.jpg","Фото")</f>
      </c>
    </row>
    <row r="3014">
      <c r="A3014" s="7">
        <f>HYPERLINK("http://www.lingerieopt.ru/item/9031-kombinezon-s-imitaciei-komplekta-belya/","9031")</f>
      </c>
      <c r="B3014" s="8" t="s">
        <v>3006</v>
      </c>
      <c r="C3014" s="9">
        <v>636</v>
      </c>
      <c r="D3014" s="0">
        <v>8</v>
      </c>
      <c r="E3014" s="10">
        <f>HYPERLINK("http://www.lingerieopt.ru/images/original/5749aac6-ecfb-4626-86b6-5b370d4ad0a6.jpg","Фото")</f>
      </c>
    </row>
    <row r="3015">
      <c r="A3015" s="7">
        <f>HYPERLINK("http://www.lingerieopt.ru/item/9032-elastichnji-kombinezon-s-perekrestnjm-risunkom/","9032")</f>
      </c>
      <c r="B3015" s="8" t="s">
        <v>3007</v>
      </c>
      <c r="C3015" s="9">
        <v>636</v>
      </c>
      <c r="D3015" s="0">
        <v>8</v>
      </c>
      <c r="E3015" s="10">
        <f>HYPERLINK("http://www.lingerieopt.ru/images/original/f761590e-06c8-43bf-b32e-208df43a6748.jpg","Фото")</f>
      </c>
    </row>
    <row r="3016">
      <c r="A3016" s="7">
        <f>HYPERLINK("http://www.lingerieopt.ru/item/9032-elastichnji-kombinezon-s-perekrestnjm-risunkom/","9032")</f>
      </c>
      <c r="B3016" s="8" t="s">
        <v>3008</v>
      </c>
      <c r="C3016" s="9">
        <v>636</v>
      </c>
      <c r="D3016" s="0">
        <v>13</v>
      </c>
      <c r="E3016" s="10">
        <f>HYPERLINK("http://www.lingerieopt.ru/images/original/f761590e-06c8-43bf-b32e-208df43a6748.jpg","Фото")</f>
      </c>
    </row>
    <row r="3017">
      <c r="A3017" s="7">
        <f>HYPERLINK("http://www.lingerieopt.ru/item/9032-elastichnji-kombinezon-s-perekrestnjm-risunkom/","9032")</f>
      </c>
      <c r="B3017" s="8" t="s">
        <v>3009</v>
      </c>
      <c r="C3017" s="9">
        <v>636</v>
      </c>
      <c r="D3017" s="0">
        <v>7</v>
      </c>
      <c r="E3017" s="10">
        <f>HYPERLINK("http://www.lingerieopt.ru/images/original/f761590e-06c8-43bf-b32e-208df43a6748.jpg","Фото")</f>
      </c>
    </row>
    <row r="3018">
      <c r="A3018" s="7">
        <f>HYPERLINK("http://www.lingerieopt.ru/item/9033-kombinezon-setka-s-cvetochnjm-ornamentom/","9033")</f>
      </c>
      <c r="B3018" s="8" t="s">
        <v>3010</v>
      </c>
      <c r="C3018" s="9">
        <v>636</v>
      </c>
      <c r="D3018" s="0">
        <v>10</v>
      </c>
      <c r="E3018" s="10">
        <f>HYPERLINK("http://www.lingerieopt.ru/images/original/95fd7fc0-5253-4166-8ead-504a0dff38e4.jpg","Фото")</f>
      </c>
    </row>
    <row r="3019">
      <c r="A3019" s="7">
        <f>HYPERLINK("http://www.lingerieopt.ru/item/9033-kombinezon-setka-s-cvetochnjm-ornamentom/","9033")</f>
      </c>
      <c r="B3019" s="8" t="s">
        <v>3011</v>
      </c>
      <c r="C3019" s="9">
        <v>636</v>
      </c>
      <c r="D3019" s="0">
        <v>7</v>
      </c>
      <c r="E3019" s="10">
        <f>HYPERLINK("http://www.lingerieopt.ru/images/original/95fd7fc0-5253-4166-8ead-504a0dff38e4.jpg","Фото")</f>
      </c>
    </row>
    <row r="3020">
      <c r="A3020" s="7">
        <f>HYPERLINK("http://www.lingerieopt.ru/item/9033-kombinezon-setka-s-cvetochnjm-ornamentom/","9033")</f>
      </c>
      <c r="B3020" s="8" t="s">
        <v>3012</v>
      </c>
      <c r="C3020" s="9">
        <v>636</v>
      </c>
      <c r="D3020" s="0">
        <v>7</v>
      </c>
      <c r="E3020" s="10">
        <f>HYPERLINK("http://www.lingerieopt.ru/images/original/95fd7fc0-5253-4166-8ead-504a0dff38e4.jpg","Фото")</f>
      </c>
    </row>
    <row r="3021">
      <c r="A3021" s="7">
        <f>HYPERLINK("http://www.lingerieopt.ru/item/9034-kombinezon-s-imitaciei-shnurovki-i-petlyami-vokrug-shei/","9034")</f>
      </c>
      <c r="B3021" s="8" t="s">
        <v>3013</v>
      </c>
      <c r="C3021" s="9">
        <v>636</v>
      </c>
      <c r="D3021" s="0">
        <v>14</v>
      </c>
      <c r="E3021" s="10">
        <f>HYPERLINK("http://www.lingerieopt.ru/images/original/c68407c6-9c5a-4ae0-8252-815785594b87.jpg","Фото")</f>
      </c>
    </row>
    <row r="3022">
      <c r="A3022" s="7">
        <f>HYPERLINK("http://www.lingerieopt.ru/item/9034-kombinezon-s-imitaciei-shnurovki-i-petlyami-vokrug-shei/","9034")</f>
      </c>
      <c r="B3022" s="8" t="s">
        <v>3014</v>
      </c>
      <c r="C3022" s="9">
        <v>636</v>
      </c>
      <c r="D3022" s="0">
        <v>9</v>
      </c>
      <c r="E3022" s="10">
        <f>HYPERLINK("http://www.lingerieopt.ru/images/original/c68407c6-9c5a-4ae0-8252-815785594b87.jpg","Фото")</f>
      </c>
    </row>
    <row r="3023">
      <c r="A3023" s="7">
        <f>HYPERLINK("http://www.lingerieopt.ru/item/9034-kombinezon-s-imitaciei-shnurovki-i-petlyami-vokrug-shei/","9034")</f>
      </c>
      <c r="B3023" s="8" t="s">
        <v>3015</v>
      </c>
      <c r="C3023" s="9">
        <v>636</v>
      </c>
      <c r="D3023" s="0">
        <v>7</v>
      </c>
      <c r="E3023" s="10">
        <f>HYPERLINK("http://www.lingerieopt.ru/images/original/c68407c6-9c5a-4ae0-8252-815785594b87.jpg","Фото")</f>
      </c>
    </row>
    <row r="3024">
      <c r="A3024" s="7">
        <f>HYPERLINK("http://www.lingerieopt.ru/item/9035-originalnoe-bodi-so-slitnjmi-chulkami-i-ornamentom-v-vide-vetochek/","9035")</f>
      </c>
      <c r="B3024" s="8" t="s">
        <v>3016</v>
      </c>
      <c r="C3024" s="9">
        <v>636</v>
      </c>
      <c r="D3024" s="0">
        <v>11</v>
      </c>
      <c r="E3024" s="10">
        <f>HYPERLINK("http://www.lingerieopt.ru/images/original/eb690420-2269-4697-b749-2705bfdffaf4.jpg","Фото")</f>
      </c>
    </row>
    <row r="3025">
      <c r="A3025" s="7">
        <f>HYPERLINK("http://www.lingerieopt.ru/item/9035-originalnoe-bodi-so-slitnjmi-chulkami-i-ornamentom-v-vide-vetochek/","9035")</f>
      </c>
      <c r="B3025" s="8" t="s">
        <v>3017</v>
      </c>
      <c r="C3025" s="9">
        <v>636</v>
      </c>
      <c r="D3025" s="0">
        <v>16</v>
      </c>
      <c r="E3025" s="10">
        <f>HYPERLINK("http://www.lingerieopt.ru/images/original/eb690420-2269-4697-b749-2705bfdffaf4.jpg","Фото")</f>
      </c>
    </row>
    <row r="3026">
      <c r="A3026" s="7">
        <f>HYPERLINK("http://www.lingerieopt.ru/item/9035-originalnoe-bodi-so-slitnjmi-chulkami-i-ornamentom-v-vide-vetochek/","9035")</f>
      </c>
      <c r="B3026" s="8" t="s">
        <v>3018</v>
      </c>
      <c r="C3026" s="9">
        <v>636</v>
      </c>
      <c r="D3026" s="0">
        <v>10</v>
      </c>
      <c r="E3026" s="10">
        <f>HYPERLINK("http://www.lingerieopt.ru/images/original/eb690420-2269-4697-b749-2705bfdffaf4.jpg","Фото")</f>
      </c>
    </row>
    <row r="3027">
      <c r="A3027" s="7">
        <f>HYPERLINK("http://www.lingerieopt.ru/item/9050-snogsshibatelnji-kombinezon-s-vjrezami-po-linii-talii/","9050")</f>
      </c>
      <c r="B3027" s="8" t="s">
        <v>3019</v>
      </c>
      <c r="C3027" s="9">
        <v>636</v>
      </c>
      <c r="D3027" s="0">
        <v>10</v>
      </c>
      <c r="E3027" s="10">
        <f>HYPERLINK("http://www.lingerieopt.ru/images/original/7524c777-c248-421a-82c6-ecd9555c1992.jpg","Фото")</f>
      </c>
    </row>
    <row r="3028">
      <c r="A3028" s="7">
        <f>HYPERLINK("http://www.lingerieopt.ru/item/9092-kombinezon-s-krupnjm-cvetochnjm-risunkom/","9092")</f>
      </c>
      <c r="B3028" s="8" t="s">
        <v>3020</v>
      </c>
      <c r="C3028" s="9">
        <v>1425</v>
      </c>
      <c r="D3028" s="0">
        <v>3</v>
      </c>
      <c r="E3028" s="10">
        <f>HYPERLINK("http://www.lingerieopt.ru/images/original/f10183fc-28eb-417f-900d-d9ed7dedad7c.jpg","Фото")</f>
      </c>
    </row>
    <row r="3029">
      <c r="A3029" s="7">
        <f>HYPERLINK("http://www.lingerieopt.ru/item/9093-azhurnji-kombinezon-s-intimnjm-dostupom-i-otkrjtoi-spinkoi/","9093")</f>
      </c>
      <c r="B3029" s="8" t="s">
        <v>3021</v>
      </c>
      <c r="C3029" s="9">
        <v>1182</v>
      </c>
      <c r="D3029" s="0">
        <v>7</v>
      </c>
      <c r="E3029" s="10">
        <f>HYPERLINK("http://www.lingerieopt.ru/images/original/700330f8-9e59-4bb0-ad00-910bde03fe92.jpg","Фото")</f>
      </c>
    </row>
    <row r="3030">
      <c r="A3030" s="7">
        <f>HYPERLINK("http://www.lingerieopt.ru/item/9094-azhurnji-kombinezon-s-otkrjtjmi-plechami-i-spinoi/","9094")</f>
      </c>
      <c r="B3030" s="8" t="s">
        <v>3022</v>
      </c>
      <c r="C3030" s="9">
        <v>1182</v>
      </c>
      <c r="D3030" s="0">
        <v>5</v>
      </c>
      <c r="E3030" s="10">
        <f>HYPERLINK("http://www.lingerieopt.ru/images/original/7a414e8e-8ca5-40c1-98eb-6c3e14dba4b2.jpg","Фото")</f>
      </c>
    </row>
    <row r="3031">
      <c r="A3031" s="7">
        <f>HYPERLINK("http://www.lingerieopt.ru/item/9095-ketsyuit-s-otkrjtoi-spinoi/","9095")</f>
      </c>
      <c r="B3031" s="8" t="s">
        <v>3023</v>
      </c>
      <c r="C3031" s="9">
        <v>1182</v>
      </c>
      <c r="D3031" s="0">
        <v>2</v>
      </c>
      <c r="E3031" s="10">
        <f>HYPERLINK("http://www.lingerieopt.ru/images/original/8a76107b-c23c-46fc-8bac-7816941d2185.jpg","Фото")</f>
      </c>
    </row>
    <row r="3032">
      <c r="A3032" s="7">
        <f>HYPERLINK("http://www.lingerieopt.ru/item/9096-kombinezon-s-mnogochislennjmi-vjrezami-i-dostupom/","9096")</f>
      </c>
      <c r="B3032" s="8" t="s">
        <v>3024</v>
      </c>
      <c r="C3032" s="9">
        <v>1278</v>
      </c>
      <c r="D3032" s="0">
        <v>10</v>
      </c>
      <c r="E3032" s="10">
        <f>HYPERLINK("http://www.lingerieopt.ru/images/original/f0a76613-a3ad-42a1-8c6e-6294dd2bf7a7.jpg","Фото")</f>
      </c>
    </row>
    <row r="3033">
      <c r="A3033" s="7">
        <f>HYPERLINK("http://www.lingerieopt.ru/item/9115-setchatji-kombinezon-s-otkrjtoi-grudyu/","9115")</f>
      </c>
      <c r="B3033" s="8" t="s">
        <v>3025</v>
      </c>
      <c r="C3033" s="9">
        <v>1147</v>
      </c>
      <c r="D3033" s="0">
        <v>10</v>
      </c>
      <c r="E3033" s="10">
        <f>HYPERLINK("http://www.lingerieopt.ru/images/original/9f88fb76-535c-4b15-9ce3-ad7aab1c5e17.jpg","Фото")</f>
      </c>
    </row>
    <row r="3034">
      <c r="A3034" s="7">
        <f>HYPERLINK("http://www.lingerieopt.ru/item/9583-kombinezon-yoko-bez-bretelei-s-vjrezami-v-nizhnei-chasti/","9583")</f>
      </c>
      <c r="B3034" s="8" t="s">
        <v>3026</v>
      </c>
      <c r="C3034" s="9">
        <v>1016</v>
      </c>
      <c r="D3034" s="0">
        <v>0</v>
      </c>
      <c r="E3034" s="10">
        <f>HYPERLINK("http://www.lingerieopt.ru/images/original/802e43f2-d2c8-4325-b54e-a816f3d831be.jpg","Фото")</f>
      </c>
    </row>
    <row r="3035">
      <c r="A3035" s="7">
        <f>HYPERLINK("http://www.lingerieopt.ru/item/9583-kombinezon-yoko-bez-bretelei-s-vjrezami-v-nizhnei-chasti/","9583")</f>
      </c>
      <c r="B3035" s="8" t="s">
        <v>3027</v>
      </c>
      <c r="C3035" s="9">
        <v>1016</v>
      </c>
      <c r="D3035" s="0">
        <v>0</v>
      </c>
      <c r="E3035" s="10">
        <f>HYPERLINK("http://www.lingerieopt.ru/images/original/802e43f2-d2c8-4325-b54e-a816f3d831be.jpg","Фото")</f>
      </c>
    </row>
    <row r="3036">
      <c r="A3036" s="7">
        <f>HYPERLINK("http://www.lingerieopt.ru/item/9583-kombinezon-yoko-bez-bretelei-s-vjrezami-v-nizhnei-chasti/","9583")</f>
      </c>
      <c r="B3036" s="8" t="s">
        <v>3028</v>
      </c>
      <c r="C3036" s="9">
        <v>1016</v>
      </c>
      <c r="D3036" s="0">
        <v>5</v>
      </c>
      <c r="E3036" s="10">
        <f>HYPERLINK("http://www.lingerieopt.ru/images/original/802e43f2-d2c8-4325-b54e-a816f3d831be.jpg","Фото")</f>
      </c>
    </row>
    <row r="3037">
      <c r="A3037" s="7">
        <f>HYPERLINK("http://www.lingerieopt.ru/item/9584-kombinezon-joyce-v-tonkuyu-polosku-i-s-intimnjm-dostupom/","9584")</f>
      </c>
      <c r="B3037" s="8" t="s">
        <v>3029</v>
      </c>
      <c r="C3037" s="9">
        <v>649</v>
      </c>
      <c r="D3037" s="0">
        <v>0</v>
      </c>
      <c r="E3037" s="10">
        <f>HYPERLINK("http://www.lingerieopt.ru/images/original/9b910b2b-9787-46d2-b315-ead38ebad1c0.jpg","Фото")</f>
      </c>
    </row>
    <row r="3038">
      <c r="A3038" s="7">
        <f>HYPERLINK("http://www.lingerieopt.ru/item/9584-kombinezon-joyce-v-tonkuyu-polosku-i-s-intimnjm-dostupom/","9584")</f>
      </c>
      <c r="B3038" s="8" t="s">
        <v>3030</v>
      </c>
      <c r="C3038" s="9">
        <v>649</v>
      </c>
      <c r="D3038" s="0">
        <v>3</v>
      </c>
      <c r="E3038" s="10">
        <f>HYPERLINK("http://www.lingerieopt.ru/images/original/9b910b2b-9787-46d2-b315-ead38ebad1c0.jpg","Фото")</f>
      </c>
    </row>
    <row r="3039">
      <c r="A3039" s="7">
        <f>HYPERLINK("http://www.lingerieopt.ru/item/9584-kombinezon-joyce-v-tonkuyu-polosku-i-s-intimnjm-dostupom/","9584")</f>
      </c>
      <c r="B3039" s="8" t="s">
        <v>3031</v>
      </c>
      <c r="C3039" s="9">
        <v>649</v>
      </c>
      <c r="D3039" s="0">
        <v>0</v>
      </c>
      <c r="E3039" s="10">
        <f>HYPERLINK("http://www.lingerieopt.ru/images/original/9b910b2b-9787-46d2-b315-ead38ebad1c0.jpg","Фото")</f>
      </c>
    </row>
    <row r="3040">
      <c r="A3040" s="7">
        <f>HYPERLINK("http://www.lingerieopt.ru/item/9584-kombinezon-joyce-v-tonkuyu-polosku-i-s-intimnjm-dostupom/","9584")</f>
      </c>
      <c r="B3040" s="8" t="s">
        <v>3032</v>
      </c>
      <c r="C3040" s="9">
        <v>649</v>
      </c>
      <c r="D3040" s="0">
        <v>9</v>
      </c>
      <c r="E3040" s="10">
        <f>HYPERLINK("http://www.lingerieopt.ru/images/original/9b910b2b-9787-46d2-b315-ead38ebad1c0.jpg","Фото")</f>
      </c>
    </row>
    <row r="3041">
      <c r="A3041" s="7">
        <f>HYPERLINK("http://www.lingerieopt.ru/item/9765-kombinezon-iz-eko-kozhi-debby-short/","9765")</f>
      </c>
      <c r="B3041" s="8" t="s">
        <v>3033</v>
      </c>
      <c r="C3041" s="9">
        <v>2450</v>
      </c>
      <c r="D3041" s="0">
        <v>0</v>
      </c>
      <c r="E3041" s="10">
        <f>HYPERLINK("http://www.lingerieopt.ru/images/original/d2c4db86-5f98-4221-a279-06b29e5995e0.jpg","Фото")</f>
      </c>
    </row>
    <row r="3042">
      <c r="A3042" s="7">
        <f>HYPERLINK("http://www.lingerieopt.ru/item/9765-kombinezon-iz-eko-kozhi-debby-short/","9765")</f>
      </c>
      <c r="B3042" s="8" t="s">
        <v>3034</v>
      </c>
      <c r="C3042" s="9">
        <v>2450</v>
      </c>
      <c r="D3042" s="0">
        <v>7</v>
      </c>
      <c r="E3042" s="10">
        <f>HYPERLINK("http://www.lingerieopt.ru/images/original/d2c4db86-5f98-4221-a279-06b29e5995e0.jpg","Фото")</f>
      </c>
    </row>
    <row r="3043">
      <c r="A3043" s="7">
        <f>HYPERLINK("http://www.lingerieopt.ru/item/9766-oblegayuschii-kombinezon-demi-short-s-prozrachnoi-verhnei-chastyu/","9766")</f>
      </c>
      <c r="B3043" s="8" t="s">
        <v>3035</v>
      </c>
      <c r="C3043" s="9">
        <v>2231</v>
      </c>
      <c r="D3043" s="0">
        <v>4</v>
      </c>
      <c r="E3043" s="10">
        <f>HYPERLINK("http://www.lingerieopt.ru/images/original/a2eb064c-b9f7-4977-b0ee-f88875eb3a27.jpg","Фото")</f>
      </c>
    </row>
    <row r="3044">
      <c r="A3044" s="7">
        <f>HYPERLINK("http://www.lingerieopt.ru/item/9766-oblegayuschii-kombinezon-demi-short-s-prozrachnoi-verhnei-chastyu/","9766")</f>
      </c>
      <c r="B3044" s="8" t="s">
        <v>3036</v>
      </c>
      <c r="C3044" s="9">
        <v>2231</v>
      </c>
      <c r="D3044" s="0">
        <v>2</v>
      </c>
      <c r="E3044" s="10">
        <f>HYPERLINK("http://www.lingerieopt.ru/images/original/a2eb064c-b9f7-4977-b0ee-f88875eb3a27.jpg","Фото")</f>
      </c>
    </row>
    <row r="3045">
      <c r="A3045" s="7">
        <f>HYPERLINK("http://www.lingerieopt.ru/item/9767-prozrachnji-ketsyuit-donna-na-molnii/","9767")</f>
      </c>
      <c r="B3045" s="8" t="s">
        <v>3037</v>
      </c>
      <c r="C3045" s="9">
        <v>1909</v>
      </c>
      <c r="D3045" s="0">
        <v>5</v>
      </c>
      <c r="E3045" s="10">
        <f>HYPERLINK("http://www.lingerieopt.ru/images/original/4a50cee5-c0bc-4ce5-abbf-0a481b4dfebe.jpg","Фото")</f>
      </c>
    </row>
    <row r="3046">
      <c r="A3046" s="7">
        <f>HYPERLINK("http://www.lingerieopt.ru/item/9767-prozrachnji-ketsyuit-donna-na-molnii/","9767")</f>
      </c>
      <c r="B3046" s="8" t="s">
        <v>3038</v>
      </c>
      <c r="C3046" s="9">
        <v>1909</v>
      </c>
      <c r="D3046" s="0">
        <v>5</v>
      </c>
      <c r="E3046" s="10">
        <f>HYPERLINK("http://www.lingerieopt.ru/images/original/4a50cee5-c0bc-4ce5-abbf-0a481b4dfebe.jpg","Фото")</f>
      </c>
    </row>
    <row r="3047">
      <c r="A3047" s="7">
        <f>HYPERLINK("http://www.lingerieopt.ru/item/9772-korotkii-kombinezon-sinoe-plus-size-iz-tyulya-i-kruzhev/","9772")</f>
      </c>
      <c r="B3047" s="8" t="s">
        <v>3039</v>
      </c>
      <c r="C3047" s="9">
        <v>1371</v>
      </c>
      <c r="D3047" s="0">
        <v>2</v>
      </c>
      <c r="E3047" s="10">
        <f>HYPERLINK("http://www.lingerieopt.ru/images/original/d9d57914-8f0d-430b-a1c8-57877ba7b0dc.jpg","Фото")</f>
      </c>
    </row>
    <row r="3048">
      <c r="A3048" s="7">
        <f>HYPERLINK("http://www.lingerieopt.ru/item/9772-korotkii-kombinezon-sinoe-plus-size-iz-tyulya-i-kruzhev/","9772")</f>
      </c>
      <c r="B3048" s="8" t="s">
        <v>3040</v>
      </c>
      <c r="C3048" s="9">
        <v>1371</v>
      </c>
      <c r="D3048" s="0">
        <v>2</v>
      </c>
      <c r="E3048" s="10">
        <f>HYPERLINK("http://www.lingerieopt.ru/images/original/d9d57914-8f0d-430b-a1c8-57877ba7b0dc.jpg","Фото")</f>
      </c>
    </row>
    <row r="3049">
      <c r="A3049" s="7">
        <f>HYPERLINK("http://www.lingerieopt.ru/item/9773-korotkii-kombinezon-sinoe-iz-kruzhev-i-tyulya/","9773")</f>
      </c>
      <c r="B3049" s="8" t="s">
        <v>3041</v>
      </c>
      <c r="C3049" s="9">
        <v>1371</v>
      </c>
      <c r="D3049" s="0">
        <v>3</v>
      </c>
      <c r="E3049" s="10">
        <f>HYPERLINK("http://www.lingerieopt.ru/images/original/a9be42bb-a7b2-43de-9f29-454677632bb3.jpg","Фото")</f>
      </c>
    </row>
    <row r="3050">
      <c r="A3050" s="7">
        <f>HYPERLINK("http://www.lingerieopt.ru/item/9773-korotkii-kombinezon-sinoe-iz-kruzhev-i-tyulya/","9773")</f>
      </c>
      <c r="B3050" s="8" t="s">
        <v>3042</v>
      </c>
      <c r="C3050" s="9">
        <v>1371</v>
      </c>
      <c r="D3050" s="0">
        <v>6</v>
      </c>
      <c r="E3050" s="10">
        <f>HYPERLINK("http://www.lingerieopt.ru/images/original/a9be42bb-a7b2-43de-9f29-454677632bb3.jpg","Фото")</f>
      </c>
    </row>
    <row r="3051">
      <c r="A3051" s="7">
        <f>HYPERLINK("http://www.lingerieopt.ru/item/9773-korotkii-kombinezon-sinoe-iz-kruzhev-i-tyulya/","9773")</f>
      </c>
      <c r="B3051" s="8" t="s">
        <v>3043</v>
      </c>
      <c r="C3051" s="9">
        <v>1371</v>
      </c>
      <c r="D3051" s="0">
        <v>6</v>
      </c>
      <c r="E3051" s="10">
        <f>HYPERLINK("http://www.lingerieopt.ru/images/original/a9be42bb-a7b2-43de-9f29-454677632bb3.jpg","Фото")</f>
      </c>
    </row>
    <row r="3052">
      <c r="A3052" s="7">
        <f>HYPERLINK("http://www.lingerieopt.ru/item/9773-korotkii-kombinezon-sinoe-iz-kruzhev-i-tyulya/","9773")</f>
      </c>
      <c r="B3052" s="8" t="s">
        <v>3044</v>
      </c>
      <c r="C3052" s="9">
        <v>1371</v>
      </c>
      <c r="D3052" s="0">
        <v>4</v>
      </c>
      <c r="E3052" s="10">
        <f>HYPERLINK("http://www.lingerieopt.ru/images/original/a9be42bb-a7b2-43de-9f29-454677632bb3.jpg","Фото")</f>
      </c>
    </row>
    <row r="3053">
      <c r="A3053" s="7">
        <f>HYPERLINK("http://www.lingerieopt.ru/item/10230-oblegayuschii-kombinezon-doris-so-shnurovkoi-na-spinke/","10230")</f>
      </c>
      <c r="B3053" s="8" t="s">
        <v>3045</v>
      </c>
      <c r="C3053" s="9">
        <v>2553</v>
      </c>
      <c r="D3053" s="0">
        <v>5</v>
      </c>
      <c r="E3053" s="10">
        <f>HYPERLINK("http://www.lingerieopt.ru/images/original/433983f6-5f63-43b7-9a80-5509af8d0f4f.jpg","Фото")</f>
      </c>
    </row>
    <row r="3054">
      <c r="A3054" s="7">
        <f>HYPERLINK("http://www.lingerieopt.ru/item/10230-oblegayuschii-kombinezon-doris-so-shnurovkoi-na-spinke/","10230")</f>
      </c>
      <c r="B3054" s="8" t="s">
        <v>3046</v>
      </c>
      <c r="C3054" s="9">
        <v>2553</v>
      </c>
      <c r="D3054" s="0">
        <v>4</v>
      </c>
      <c r="E3054" s="10">
        <f>HYPERLINK("http://www.lingerieopt.ru/images/original/433983f6-5f63-43b7-9a80-5509af8d0f4f.jpg","Фото")</f>
      </c>
    </row>
    <row r="3055">
      <c r="A3055" s="7">
        <f>HYPERLINK("http://www.lingerieopt.ru/item/10231-oblegayuschii-kombinezon-doris-plus-size-so-shnurovkoi-na-spine/","10231")</f>
      </c>
      <c r="B3055" s="8" t="s">
        <v>3047</v>
      </c>
      <c r="C3055" s="9">
        <v>2553</v>
      </c>
      <c r="D3055" s="0">
        <v>5</v>
      </c>
      <c r="E3055" s="10">
        <f>HYPERLINK("http://www.lingerieopt.ru/images/original/85d7b0cb-4047-4698-8168-0b6164518e9a.jpg","Фото")</f>
      </c>
    </row>
    <row r="3056">
      <c r="A3056" s="7">
        <f>HYPERLINK("http://www.lingerieopt.ru/item/10341-ketsyuit-setka-s-rombovidnjm-uzorom-razmerom-plus-size/","10341")</f>
      </c>
      <c r="B3056" s="8" t="s">
        <v>3048</v>
      </c>
      <c r="C3056" s="9">
        <v>739</v>
      </c>
      <c r="D3056" s="0">
        <v>0</v>
      </c>
      <c r="E3056" s="10">
        <f>HYPERLINK("http://www.lingerieopt.ru/images/original/c8656483-bf64-4835-8d3b-8cb4937aacfb.jpg","Фото")</f>
      </c>
    </row>
    <row r="3057">
      <c r="A3057" s="7">
        <f>HYPERLINK("http://www.lingerieopt.ru/item/10341-ketsyuit-setka-s-rombovidnjm-uzorom-razmerom-plus-size/","10341")</f>
      </c>
      <c r="B3057" s="8" t="s">
        <v>3049</v>
      </c>
      <c r="C3057" s="9">
        <v>739</v>
      </c>
      <c r="D3057" s="0">
        <v>12</v>
      </c>
      <c r="E3057" s="10">
        <f>HYPERLINK("http://www.lingerieopt.ru/images/original/c8656483-bf64-4835-8d3b-8cb4937aacfb.jpg","Фото")</f>
      </c>
    </row>
    <row r="3058">
      <c r="A3058" s="7">
        <f>HYPERLINK("http://www.lingerieopt.ru/item/10712-kombinezon-debby-short-plus-size-iz-eko-kozhi/","10712")</f>
      </c>
      <c r="B3058" s="8" t="s">
        <v>3050</v>
      </c>
      <c r="C3058" s="9">
        <v>2450</v>
      </c>
      <c r="D3058" s="0">
        <v>1</v>
      </c>
      <c r="E3058" s="10">
        <f>HYPERLINK("http://www.lingerieopt.ru/images/original/84752247-c2fc-4f41-9587-08a089f37b62.jpg","Фото")</f>
      </c>
    </row>
    <row r="3059">
      <c r="A3059" s="7">
        <f>HYPERLINK("http://www.lingerieopt.ru/item/10713-oblegayuschii-kombinezon-demi-short-plus-size-s-prozrachnoi-verhnei-chastyu/","10713")</f>
      </c>
      <c r="B3059" s="8" t="s">
        <v>3051</v>
      </c>
      <c r="C3059" s="9">
        <v>2231</v>
      </c>
      <c r="D3059" s="0">
        <v>4</v>
      </c>
      <c r="E3059" s="10">
        <f>HYPERLINK("http://www.lingerieopt.ru/images/original/f1d493f2-c444-40b5-9129-30fe07a2a8e1.jpg","Фото")</f>
      </c>
    </row>
    <row r="3060">
      <c r="A3060" s="7">
        <f>HYPERLINK("http://www.lingerieopt.ru/item/10817-besshovnji-kostyum-iz-topa-s-matovjm-risunkom-i-chulok-iz-krupnoi-setki/","10817")</f>
      </c>
      <c r="B3060" s="8" t="s">
        <v>3052</v>
      </c>
      <c r="C3060" s="9">
        <v>661</v>
      </c>
      <c r="D3060" s="0">
        <v>19</v>
      </c>
      <c r="E3060" s="10">
        <f>HYPERLINK("http://www.lingerieopt.ru/images/original/669a423a-d729-4e37-8818-2c10fdaf3d53.jpg","Фото")</f>
      </c>
    </row>
    <row r="3061">
      <c r="A3061" s="7">
        <f>HYPERLINK("http://www.lingerieopt.ru/item/11092-originalnji-kombinezon-shaquila-s-aksessuarami/","11092")</f>
      </c>
      <c r="B3061" s="8" t="s">
        <v>3053</v>
      </c>
      <c r="C3061" s="9">
        <v>2518</v>
      </c>
      <c r="D3061" s="0">
        <v>6</v>
      </c>
      <c r="E3061" s="10">
        <f>HYPERLINK("http://www.lingerieopt.ru/images/original/275ab490-2360-4318-8e85-45e45008318d.jpg","Фото")</f>
      </c>
    </row>
    <row r="3062">
      <c r="A3062" s="7">
        <f>HYPERLINK("http://www.lingerieopt.ru/item/11092-originalnji-kombinezon-shaquila-s-aksessuarami/","11092")</f>
      </c>
      <c r="B3062" s="8" t="s">
        <v>3054</v>
      </c>
      <c r="C3062" s="9">
        <v>2518</v>
      </c>
      <c r="D3062" s="0">
        <v>5</v>
      </c>
      <c r="E3062" s="10">
        <f>HYPERLINK("http://www.lingerieopt.ru/images/original/275ab490-2360-4318-8e85-45e45008318d.jpg","Фото")</f>
      </c>
    </row>
    <row r="3063">
      <c r="A3063" s="7">
        <f>HYPERLINK("http://www.lingerieopt.ru/item/11215-kombinezon-s-poluotkrjtoi-spinoi/","11215")</f>
      </c>
      <c r="B3063" s="8" t="s">
        <v>3055</v>
      </c>
      <c r="C3063" s="9">
        <v>1379</v>
      </c>
      <c r="D3063" s="0">
        <v>10</v>
      </c>
      <c r="E3063" s="10">
        <f>HYPERLINK("http://www.lingerieopt.ru/images/original/843b63a7-593f-4e8c-93b5-f1450028ada3.jpg","Фото")</f>
      </c>
    </row>
    <row r="3064">
      <c r="A3064" s="7">
        <f>HYPERLINK("http://www.lingerieopt.ru/item/11216-originalnji-ketsyuit-s-imitaciei-shnurovki-na-spine/","11216")</f>
      </c>
      <c r="B3064" s="8" t="s">
        <v>3056</v>
      </c>
      <c r="C3064" s="9">
        <v>1196</v>
      </c>
      <c r="D3064" s="0">
        <v>10</v>
      </c>
      <c r="E3064" s="10">
        <f>HYPERLINK("http://www.lingerieopt.ru/images/original/ae82d07f-e604-4a49-9e71-2c2a5abe1e4a.jpg","Фото")</f>
      </c>
    </row>
    <row r="3065">
      <c r="A3065" s="7">
        <f>HYPERLINK("http://www.lingerieopt.ru/item/11217-azhurnji-kombinezon-s-krasivoi-zonoi-dekolte-i-intimnjm-dostupom/","11217")</f>
      </c>
      <c r="B3065" s="8" t="s">
        <v>3057</v>
      </c>
      <c r="C3065" s="9">
        <v>1196</v>
      </c>
      <c r="D3065" s="0">
        <v>10</v>
      </c>
      <c r="E3065" s="10">
        <f>HYPERLINK("http://www.lingerieopt.ru/images/original/fbd7182d-386e-42e5-be9a-94a4f32e3c3e.jpg","Фото")</f>
      </c>
    </row>
    <row r="3066">
      <c r="A3066" s="7">
        <f>HYPERLINK("http://www.lingerieopt.ru/item/11326-bodi-kombinezon-s-intimnjm-dostupom/","11326")</f>
      </c>
      <c r="B3066" s="8" t="s">
        <v>3058</v>
      </c>
      <c r="C3066" s="9">
        <v>1344</v>
      </c>
      <c r="D3066" s="0">
        <v>10</v>
      </c>
      <c r="E3066" s="10">
        <f>HYPERLINK("http://www.lingerieopt.ru/images/original/6cc7a51a-7299-43de-a4be-7e9857023454.jpg","Фото")</f>
      </c>
    </row>
    <row r="3067">
      <c r="A3067" s="7">
        <f>HYPERLINK("http://www.lingerieopt.ru/item/11327-soblaznitelnji-ketsyuit-iz-setki-s-uzorom/","11327")</f>
      </c>
      <c r="B3067" s="8" t="s">
        <v>3059</v>
      </c>
      <c r="C3067" s="9">
        <v>1379</v>
      </c>
      <c r="D3067" s="0">
        <v>10</v>
      </c>
      <c r="E3067" s="10">
        <f>HYPERLINK("http://www.lingerieopt.ru/images/original/392bb2d1-be47-4f0a-bb33-66cfec9a4a85.jpg","Фото")</f>
      </c>
    </row>
    <row r="3068">
      <c r="A3068" s="5"/>
      <c r="B3068" s="6" t="s">
        <v>3060</v>
      </c>
      <c r="C3068" s="5"/>
      <c r="D3068" s="5"/>
      <c r="E3068" s="5"/>
    </row>
    <row r="3069">
      <c r="A3069" s="7">
        <f>HYPERLINK("http://www.lingerieopt.ru/item/358-korset-v-melkuyu-setku-i-trusiki-string-alessa/","358")</f>
      </c>
      <c r="B3069" s="8" t="s">
        <v>3061</v>
      </c>
      <c r="C3069" s="9">
        <v>1678</v>
      </c>
      <c r="D3069" s="0">
        <v>0</v>
      </c>
      <c r="E3069" s="10">
        <f>HYPERLINK("http://www.lingerieopt.ru/images/original/be548d1c-9d1c-41ae-b791-428469394d4e.jpg","Фото")</f>
      </c>
    </row>
    <row r="3070">
      <c r="A3070" s="7">
        <f>HYPERLINK("http://www.lingerieopt.ru/item/358-korset-v-melkuyu-setku-i-trusiki-string-alessa/","358")</f>
      </c>
      <c r="B3070" s="8" t="s">
        <v>3062</v>
      </c>
      <c r="C3070" s="9">
        <v>1678</v>
      </c>
      <c r="D3070" s="0">
        <v>2</v>
      </c>
      <c r="E3070" s="10">
        <f>HYPERLINK("http://www.lingerieopt.ru/images/original/be548d1c-9d1c-41ae-b791-428469394d4e.jpg","Фото")</f>
      </c>
    </row>
    <row r="3071">
      <c r="A3071" s="7">
        <f>HYPERLINK("http://www.lingerieopt.ru/item/361-kruzhevnoi-korsazh-bez-bretelek-valerie/","361")</f>
      </c>
      <c r="B3071" s="8" t="s">
        <v>3063</v>
      </c>
      <c r="C3071" s="9">
        <v>1995</v>
      </c>
      <c r="D3071" s="0">
        <v>0</v>
      </c>
      <c r="E3071" s="10">
        <f>HYPERLINK("http://www.lingerieopt.ru/images/original/c1990003-2b55-4c8f-9eb9-397ca643f7a3.jpg","Фото")</f>
      </c>
    </row>
    <row r="3072">
      <c r="A3072" s="7">
        <f>HYPERLINK("http://www.lingerieopt.ru/item/361-kruzhevnoi-korsazh-bez-bretelek-valerie/","361")</f>
      </c>
      <c r="B3072" s="8" t="s">
        <v>3064</v>
      </c>
      <c r="C3072" s="9">
        <v>1995</v>
      </c>
      <c r="D3072" s="0">
        <v>3</v>
      </c>
      <c r="E3072" s="10">
        <f>HYPERLINK("http://www.lingerieopt.ru/images/original/c1990003-2b55-4c8f-9eb9-397ca643f7a3.jpg","Фото")</f>
      </c>
    </row>
    <row r="3073">
      <c r="A3073" s="7">
        <f>HYPERLINK("http://www.lingerieopt.ru/item/361-kruzhevnoi-korsazh-bez-bretelek-valerie/","361")</f>
      </c>
      <c r="B3073" s="8" t="s">
        <v>3065</v>
      </c>
      <c r="C3073" s="9">
        <v>1995</v>
      </c>
      <c r="D3073" s="0">
        <v>0</v>
      </c>
      <c r="E3073" s="10">
        <f>HYPERLINK("http://www.lingerieopt.ru/images/original/c1990003-2b55-4c8f-9eb9-397ca643f7a3.jpg","Фото")</f>
      </c>
    </row>
    <row r="3074">
      <c r="A3074" s="7">
        <f>HYPERLINK("http://www.lingerieopt.ru/item/361-kruzhevnoi-korsazh-bez-bretelek-valerie/","361")</f>
      </c>
      <c r="B3074" s="8" t="s">
        <v>3066</v>
      </c>
      <c r="C3074" s="9">
        <v>1995</v>
      </c>
      <c r="D3074" s="0">
        <v>0</v>
      </c>
      <c r="E3074" s="10">
        <f>HYPERLINK("http://www.lingerieopt.ru/images/original/c1990003-2b55-4c8f-9eb9-397ca643f7a3.jpg","Фото")</f>
      </c>
    </row>
    <row r="3075">
      <c r="A3075" s="7">
        <f>HYPERLINK("http://www.lingerieopt.ru/item/365-kruzhevnoi-korsazh-elodie/","365")</f>
      </c>
      <c r="B3075" s="8" t="s">
        <v>3067</v>
      </c>
      <c r="C3075" s="9">
        <v>2378</v>
      </c>
      <c r="D3075" s="0">
        <v>0</v>
      </c>
      <c r="E3075" s="10">
        <f>HYPERLINK("http://www.lingerieopt.ru/images/original/3ae55716-8e74-4d68-92a7-898c4c2c9cea.jpg","Фото")</f>
      </c>
    </row>
    <row r="3076">
      <c r="A3076" s="7">
        <f>HYPERLINK("http://www.lingerieopt.ru/item/365-kruzhevnoi-korsazh-elodie/","365")</f>
      </c>
      <c r="B3076" s="8" t="s">
        <v>3068</v>
      </c>
      <c r="C3076" s="9">
        <v>2378</v>
      </c>
      <c r="D3076" s="0">
        <v>0</v>
      </c>
      <c r="E3076" s="10">
        <f>HYPERLINK("http://www.lingerieopt.ru/images/original/3ae55716-8e74-4d68-92a7-898c4c2c9cea.jpg","Фото")</f>
      </c>
    </row>
    <row r="3077">
      <c r="A3077" s="7">
        <f>HYPERLINK("http://www.lingerieopt.ru/item/365-kruzhevnoi-korsazh-elodie/","365")</f>
      </c>
      <c r="B3077" s="8" t="s">
        <v>3069</v>
      </c>
      <c r="C3077" s="9">
        <v>2378</v>
      </c>
      <c r="D3077" s="0">
        <v>0</v>
      </c>
      <c r="E3077" s="10">
        <f>HYPERLINK("http://www.lingerieopt.ru/images/original/3ae55716-8e74-4d68-92a7-898c4c2c9cea.jpg","Фото")</f>
      </c>
    </row>
    <row r="3078">
      <c r="A3078" s="7">
        <f>HYPERLINK("http://www.lingerieopt.ru/item/365-kruzhevnoi-korsazh-elodie/","365")</f>
      </c>
      <c r="B3078" s="8" t="s">
        <v>3070</v>
      </c>
      <c r="C3078" s="9">
        <v>2378</v>
      </c>
      <c r="D3078" s="0">
        <v>0</v>
      </c>
      <c r="E3078" s="10">
        <f>HYPERLINK("http://www.lingerieopt.ru/images/original/3ae55716-8e74-4d68-92a7-898c4c2c9cea.jpg","Фото")</f>
      </c>
    </row>
    <row r="3079">
      <c r="A3079" s="7">
        <f>HYPERLINK("http://www.lingerieopt.ru/item/365-kruzhevnoi-korsazh-elodie/","365")</f>
      </c>
      <c r="B3079" s="8" t="s">
        <v>3071</v>
      </c>
      <c r="C3079" s="9">
        <v>2378</v>
      </c>
      <c r="D3079" s="0">
        <v>8</v>
      </c>
      <c r="E3079" s="10">
        <f>HYPERLINK("http://www.lingerieopt.ru/images/original/3ae55716-8e74-4d68-92a7-898c4c2c9cea.jpg","Фото")</f>
      </c>
    </row>
    <row r="3080">
      <c r="A3080" s="7">
        <f>HYPERLINK("http://www.lingerieopt.ru/item/365-kruzhevnoi-korsazh-elodie/","365")</f>
      </c>
      <c r="B3080" s="8" t="s">
        <v>3072</v>
      </c>
      <c r="C3080" s="9">
        <v>2378</v>
      </c>
      <c r="D3080" s="0">
        <v>0</v>
      </c>
      <c r="E3080" s="10">
        <f>HYPERLINK("http://www.lingerieopt.ru/images/original/3ae55716-8e74-4d68-92a7-898c4c2c9cea.jpg","Фото")</f>
      </c>
    </row>
    <row r="3081">
      <c r="A3081" s="7">
        <f>HYPERLINK("http://www.lingerieopt.ru/item/437-prozrachnji-korset-claire/","437")</f>
      </c>
      <c r="B3081" s="8" t="s">
        <v>3073</v>
      </c>
      <c r="C3081" s="9">
        <v>1935</v>
      </c>
      <c r="D3081" s="0">
        <v>0</v>
      </c>
      <c r="E3081" s="10">
        <f>HYPERLINK("http://www.lingerieopt.ru/images/original/39c2e07d-f0cb-4df8-bb54-39b8f0013201.jpg","Фото")</f>
      </c>
    </row>
    <row r="3082">
      <c r="A3082" s="7">
        <f>HYPERLINK("http://www.lingerieopt.ru/item/437-prozrachnji-korset-claire/","437")</f>
      </c>
      <c r="B3082" s="8" t="s">
        <v>3074</v>
      </c>
      <c r="C3082" s="9">
        <v>1935</v>
      </c>
      <c r="D3082" s="0">
        <v>7</v>
      </c>
      <c r="E3082" s="10">
        <f>HYPERLINK("http://www.lingerieopt.ru/images/original/39c2e07d-f0cb-4df8-bb54-39b8f0013201.jpg","Фото")</f>
      </c>
    </row>
    <row r="3083">
      <c r="A3083" s="7">
        <f>HYPERLINK("http://www.lingerieopt.ru/item/437-prozrachnji-korset-claire/","437")</f>
      </c>
      <c r="B3083" s="8" t="s">
        <v>3075</v>
      </c>
      <c r="C3083" s="9">
        <v>1935</v>
      </c>
      <c r="D3083" s="0">
        <v>0</v>
      </c>
      <c r="E3083" s="10">
        <f>HYPERLINK("http://www.lingerieopt.ru/images/original/39c2e07d-f0cb-4df8-bb54-39b8f0013201.jpg","Фото")</f>
      </c>
    </row>
    <row r="3084">
      <c r="A3084" s="7">
        <f>HYPERLINK("http://www.lingerieopt.ru/item/437-prozrachnji-korset-claire/","437")</f>
      </c>
      <c r="B3084" s="8" t="s">
        <v>3076</v>
      </c>
      <c r="C3084" s="9">
        <v>1935</v>
      </c>
      <c r="D3084" s="0">
        <v>0</v>
      </c>
      <c r="E3084" s="10">
        <f>HYPERLINK("http://www.lingerieopt.ru/images/original/39c2e07d-f0cb-4df8-bb54-39b8f0013201.jpg","Фото")</f>
      </c>
    </row>
    <row r="3085">
      <c r="A3085" s="7">
        <f>HYPERLINK("http://www.lingerieopt.ru/item/437-prozrachnji-korset-claire/","437")</f>
      </c>
      <c r="B3085" s="8" t="s">
        <v>3077</v>
      </c>
      <c r="C3085" s="9">
        <v>1935</v>
      </c>
      <c r="D3085" s="0">
        <v>6</v>
      </c>
      <c r="E3085" s="10">
        <f>HYPERLINK("http://www.lingerieopt.ru/images/original/39c2e07d-f0cb-4df8-bb54-39b8f0013201.jpg","Фото")</f>
      </c>
    </row>
    <row r="3086">
      <c r="A3086" s="7">
        <f>HYPERLINK("http://www.lingerieopt.ru/item/437-prozrachnji-korset-claire/","437")</f>
      </c>
      <c r="B3086" s="8" t="s">
        <v>3078</v>
      </c>
      <c r="C3086" s="9">
        <v>1935</v>
      </c>
      <c r="D3086" s="0">
        <v>0</v>
      </c>
      <c r="E3086" s="10">
        <f>HYPERLINK("http://www.lingerieopt.ru/images/original/39c2e07d-f0cb-4df8-bb54-39b8f0013201.jpg","Фото")</f>
      </c>
    </row>
    <row r="3087">
      <c r="A3087" s="7">
        <f>HYPERLINK("http://www.lingerieopt.ru/item/1056-byuste-s-azhurnjmi-chashechkami-colette/","1056")</f>
      </c>
      <c r="B3087" s="8" t="s">
        <v>3079</v>
      </c>
      <c r="C3087" s="9">
        <v>1935</v>
      </c>
      <c r="D3087" s="0">
        <v>0</v>
      </c>
      <c r="E3087" s="10">
        <f>HYPERLINK("http://www.lingerieopt.ru/images/original/82421ed2-c7ea-4208-86ec-81fb0fe7ca37.jpg","Фото")</f>
      </c>
    </row>
    <row r="3088">
      <c r="A3088" s="7">
        <f>HYPERLINK("http://www.lingerieopt.ru/item/1056-byuste-s-azhurnjmi-chashechkami-colette/","1056")</f>
      </c>
      <c r="B3088" s="8" t="s">
        <v>3080</v>
      </c>
      <c r="C3088" s="9">
        <v>1935</v>
      </c>
      <c r="D3088" s="0">
        <v>6</v>
      </c>
      <c r="E3088" s="10">
        <f>HYPERLINK("http://www.lingerieopt.ru/images/original/82421ed2-c7ea-4208-86ec-81fb0fe7ca37.jpg","Фото")</f>
      </c>
    </row>
    <row r="3089">
      <c r="A3089" s="7">
        <f>HYPERLINK("http://www.lingerieopt.ru/item/1056-byuste-s-azhurnjmi-chashechkami-colette/","1056")</f>
      </c>
      <c r="B3089" s="8" t="s">
        <v>3081</v>
      </c>
      <c r="C3089" s="9">
        <v>1935</v>
      </c>
      <c r="D3089" s="0">
        <v>8</v>
      </c>
      <c r="E3089" s="10">
        <f>HYPERLINK("http://www.lingerieopt.ru/images/original/82421ed2-c7ea-4208-86ec-81fb0fe7ca37.jpg","Фото")</f>
      </c>
    </row>
    <row r="3090">
      <c r="A3090" s="7">
        <f>HYPERLINK("http://www.lingerieopt.ru/item/1056-byuste-s-azhurnjmi-chashechkami-colette/","1056")</f>
      </c>
      <c r="B3090" s="8" t="s">
        <v>3082</v>
      </c>
      <c r="C3090" s="9">
        <v>1935</v>
      </c>
      <c r="D3090" s="0">
        <v>7</v>
      </c>
      <c r="E3090" s="10">
        <f>HYPERLINK("http://www.lingerieopt.ru/images/original/82421ed2-c7ea-4208-86ec-81fb0fe7ca37.jpg","Фото")</f>
      </c>
    </row>
    <row r="3091">
      <c r="A3091" s="7">
        <f>HYPERLINK("http://www.lingerieopt.ru/item/1056-byuste-s-azhurnjmi-chashechkami-colette/","1056")</f>
      </c>
      <c r="B3091" s="8" t="s">
        <v>3083</v>
      </c>
      <c r="C3091" s="9">
        <v>1935</v>
      </c>
      <c r="D3091" s="0">
        <v>0</v>
      </c>
      <c r="E3091" s="10">
        <f>HYPERLINK("http://www.lingerieopt.ru/images/original/82421ed2-c7ea-4208-86ec-81fb0fe7ca37.jpg","Фото")</f>
      </c>
    </row>
    <row r="3092">
      <c r="A3092" s="7">
        <f>HYPERLINK("http://www.lingerieopt.ru/item/1056-byuste-s-azhurnjmi-chashechkami-colette/","1056")</f>
      </c>
      <c r="B3092" s="8" t="s">
        <v>3084</v>
      </c>
      <c r="C3092" s="9">
        <v>1935</v>
      </c>
      <c r="D3092" s="0">
        <v>0</v>
      </c>
      <c r="E3092" s="10">
        <f>HYPERLINK("http://www.lingerieopt.ru/images/original/82421ed2-c7ea-4208-86ec-81fb0fe7ca37.jpg","Фото")</f>
      </c>
    </row>
    <row r="3093">
      <c r="A3093" s="7">
        <f>HYPERLINK("http://www.lingerieopt.ru/item/1072-kruzhevnoe-byuste-s-lifom-na-kostochkah-caroline/","1072")</f>
      </c>
      <c r="B3093" s="8" t="s">
        <v>3085</v>
      </c>
      <c r="C3093" s="9">
        <v>1842</v>
      </c>
      <c r="D3093" s="0">
        <v>6</v>
      </c>
      <c r="E3093" s="10">
        <f>HYPERLINK("http://www.lingerieopt.ru/images/original/f8ea8532-94f7-4eb7-b2cc-fe49cc8ac224.jpg","Фото")</f>
      </c>
    </row>
    <row r="3094">
      <c r="A3094" s="7">
        <f>HYPERLINK("http://www.lingerieopt.ru/item/1072-kruzhevnoe-byuste-s-lifom-na-kostochkah-caroline/","1072")</f>
      </c>
      <c r="B3094" s="8" t="s">
        <v>3086</v>
      </c>
      <c r="C3094" s="9">
        <v>1842</v>
      </c>
      <c r="D3094" s="0">
        <v>14</v>
      </c>
      <c r="E3094" s="10">
        <f>HYPERLINK("http://www.lingerieopt.ru/images/original/f8ea8532-94f7-4eb7-b2cc-fe49cc8ac224.jpg","Фото")</f>
      </c>
    </row>
    <row r="3095">
      <c r="A3095" s="7">
        <f>HYPERLINK("http://www.lingerieopt.ru/item/1072-kruzhevnoe-byuste-s-lifom-na-kostochkah-caroline/","1072")</f>
      </c>
      <c r="B3095" s="8" t="s">
        <v>3087</v>
      </c>
      <c r="C3095" s="9">
        <v>1842</v>
      </c>
      <c r="D3095" s="0">
        <v>5</v>
      </c>
      <c r="E3095" s="10">
        <f>HYPERLINK("http://www.lingerieopt.ru/images/original/f8ea8532-94f7-4eb7-b2cc-fe49cc8ac224.jpg","Фото")</f>
      </c>
    </row>
    <row r="3096">
      <c r="A3096" s="7">
        <f>HYPERLINK("http://www.lingerieopt.ru/item/1072-kruzhevnoe-byuste-s-lifom-na-kostochkah-caroline/","1072")</f>
      </c>
      <c r="B3096" s="8" t="s">
        <v>3088</v>
      </c>
      <c r="C3096" s="9">
        <v>1842</v>
      </c>
      <c r="D3096" s="0">
        <v>8</v>
      </c>
      <c r="E3096" s="10">
        <f>HYPERLINK("http://www.lingerieopt.ru/images/original/f8ea8532-94f7-4eb7-b2cc-fe49cc8ac224.jpg","Фото")</f>
      </c>
    </row>
    <row r="3097">
      <c r="A3097" s="7">
        <f>HYPERLINK("http://www.lingerieopt.ru/item/1072-kruzhevnoe-byuste-s-lifom-na-kostochkah-caroline/","1072")</f>
      </c>
      <c r="B3097" s="8" t="s">
        <v>3089</v>
      </c>
      <c r="C3097" s="9">
        <v>1842</v>
      </c>
      <c r="D3097" s="0">
        <v>15</v>
      </c>
      <c r="E3097" s="10">
        <f>HYPERLINK("http://www.lingerieopt.ru/images/original/f8ea8532-94f7-4eb7-b2cc-fe49cc8ac224.jpg","Фото")</f>
      </c>
    </row>
    <row r="3098">
      <c r="A3098" s="7">
        <f>HYPERLINK("http://www.lingerieopt.ru/item/1072-kruzhevnoe-byuste-s-lifom-na-kostochkah-caroline/","1072")</f>
      </c>
      <c r="B3098" s="8" t="s">
        <v>3090</v>
      </c>
      <c r="C3098" s="9">
        <v>1842</v>
      </c>
      <c r="D3098" s="0">
        <v>5</v>
      </c>
      <c r="E3098" s="10">
        <f>HYPERLINK("http://www.lingerieopt.ru/images/original/f8ea8532-94f7-4eb7-b2cc-fe49cc8ac224.jpg","Фото")</f>
      </c>
    </row>
    <row r="3099">
      <c r="A3099" s="7">
        <f>HYPERLINK("http://www.lingerieopt.ru/item/1072-kruzhevnoe-byuste-s-lifom-na-kostochkah-caroline/","1072")</f>
      </c>
      <c r="B3099" s="8" t="s">
        <v>3091</v>
      </c>
      <c r="C3099" s="9">
        <v>1842</v>
      </c>
      <c r="D3099" s="0">
        <v>0</v>
      </c>
      <c r="E3099" s="10">
        <f>HYPERLINK("http://www.lingerieopt.ru/images/original/f8ea8532-94f7-4eb7-b2cc-fe49cc8ac224.jpg","Фото")</f>
      </c>
    </row>
    <row r="3100">
      <c r="A3100" s="7">
        <f>HYPERLINK("http://www.lingerieopt.ru/item/1072-kruzhevnoe-byuste-s-lifom-na-kostochkah-caroline/","1072")</f>
      </c>
      <c r="B3100" s="8" t="s">
        <v>3092</v>
      </c>
      <c r="C3100" s="9">
        <v>1842</v>
      </c>
      <c r="D3100" s="0">
        <v>14</v>
      </c>
      <c r="E3100" s="10">
        <f>HYPERLINK("http://www.lingerieopt.ru/images/original/f8ea8532-94f7-4eb7-b2cc-fe49cc8ac224.jpg","Фото")</f>
      </c>
    </row>
    <row r="3101">
      <c r="A3101" s="7">
        <f>HYPERLINK("http://www.lingerieopt.ru/item/1072-kruzhevnoe-byuste-s-lifom-na-kostochkah-caroline/","1072")</f>
      </c>
      <c r="B3101" s="8" t="s">
        <v>3093</v>
      </c>
      <c r="C3101" s="9">
        <v>1842</v>
      </c>
      <c r="D3101" s="0">
        <v>0</v>
      </c>
      <c r="E3101" s="10">
        <f>HYPERLINK("http://www.lingerieopt.ru/images/original/f8ea8532-94f7-4eb7-b2cc-fe49cc8ac224.jpg","Фото")</f>
      </c>
    </row>
    <row r="3102">
      <c r="A3102" s="7">
        <f>HYPERLINK("http://www.lingerieopt.ru/item/1224-korsazh-blanchet-s-ozornjmi-oborkami-i-kruzhevami/","1224")</f>
      </c>
      <c r="B3102" s="8" t="s">
        <v>3094</v>
      </c>
      <c r="C3102" s="9">
        <v>1766</v>
      </c>
      <c r="D3102" s="0">
        <v>15</v>
      </c>
      <c r="E3102" s="10">
        <f>HYPERLINK("http://www.lingerieopt.ru/images/original/43c1e10a-333f-4e9c-9a89-e31b5d4fe329.jpg","Фото")</f>
      </c>
    </row>
    <row r="3103">
      <c r="A3103" s="7">
        <f>HYPERLINK("http://www.lingerieopt.ru/item/1224-korsazh-blanchet-s-ozornjmi-oborkami-i-kruzhevami/","1224")</f>
      </c>
      <c r="B3103" s="8" t="s">
        <v>3095</v>
      </c>
      <c r="C3103" s="9">
        <v>1766</v>
      </c>
      <c r="D3103" s="0">
        <v>15</v>
      </c>
      <c r="E3103" s="10">
        <f>HYPERLINK("http://www.lingerieopt.ru/images/original/43c1e10a-333f-4e9c-9a89-e31b5d4fe329.jpg","Фото")</f>
      </c>
    </row>
    <row r="3104">
      <c r="A3104" s="7">
        <f>HYPERLINK("http://www.lingerieopt.ru/item/1224-korsazh-blanchet-s-ozornjmi-oborkami-i-kruzhevami/","1224")</f>
      </c>
      <c r="B3104" s="8" t="s">
        <v>3096</v>
      </c>
      <c r="C3104" s="9">
        <v>1766</v>
      </c>
      <c r="D3104" s="0">
        <v>12</v>
      </c>
      <c r="E3104" s="10">
        <f>HYPERLINK("http://www.lingerieopt.ru/images/original/43c1e10a-333f-4e9c-9a89-e31b5d4fe329.jpg","Фото")</f>
      </c>
    </row>
    <row r="3105">
      <c r="A3105" s="7">
        <f>HYPERLINK("http://www.lingerieopt.ru/item/1224-korsazh-blanchet-s-ozornjmi-oborkami-i-kruzhevami/","1224")</f>
      </c>
      <c r="B3105" s="8" t="s">
        <v>3097</v>
      </c>
      <c r="C3105" s="9">
        <v>1766</v>
      </c>
      <c r="D3105" s="0">
        <v>8</v>
      </c>
      <c r="E3105" s="10">
        <f>HYPERLINK("http://www.lingerieopt.ru/images/original/43c1e10a-333f-4e9c-9a89-e31b5d4fe329.jpg","Фото")</f>
      </c>
    </row>
    <row r="3106">
      <c r="A3106" s="7">
        <f>HYPERLINK("http://www.lingerieopt.ru/item/1224-korsazh-blanchet-s-ozornjmi-oborkami-i-kruzhevami/","1224")</f>
      </c>
      <c r="B3106" s="8" t="s">
        <v>3098</v>
      </c>
      <c r="C3106" s="9">
        <v>1766</v>
      </c>
      <c r="D3106" s="0">
        <v>0</v>
      </c>
      <c r="E3106" s="10">
        <f>HYPERLINK("http://www.lingerieopt.ru/images/original/43c1e10a-333f-4e9c-9a89-e31b5d4fe329.jpg","Фото")</f>
      </c>
    </row>
    <row r="3107">
      <c r="A3107" s="7">
        <f>HYPERLINK("http://www.lingerieopt.ru/item/1224-korsazh-blanchet-s-ozornjmi-oborkami-i-kruzhevami/","1224")</f>
      </c>
      <c r="B3107" s="8" t="s">
        <v>3099</v>
      </c>
      <c r="C3107" s="9">
        <v>1766</v>
      </c>
      <c r="D3107" s="0">
        <v>0</v>
      </c>
      <c r="E3107" s="10">
        <f>HYPERLINK("http://www.lingerieopt.ru/images/original/43c1e10a-333f-4e9c-9a89-e31b5d4fe329.jpg","Фото")</f>
      </c>
    </row>
    <row r="3108">
      <c r="A3108" s="7">
        <f>HYPERLINK("http://www.lingerieopt.ru/item/1225-korsazh-s-prozrachnjmi-vstavkami-carisma/","1225")</f>
      </c>
      <c r="B3108" s="8" t="s">
        <v>3100</v>
      </c>
      <c r="C3108" s="9">
        <v>1925</v>
      </c>
      <c r="D3108" s="0">
        <v>0</v>
      </c>
      <c r="E3108" s="10">
        <f>HYPERLINK("http://www.lingerieopt.ru/images/original/594c8801-42f1-4e3e-8d41-99abdf273665.jpg","Фото")</f>
      </c>
    </row>
    <row r="3109">
      <c r="A3109" s="7">
        <f>HYPERLINK("http://www.lingerieopt.ru/item/1225-korsazh-s-prozrachnjmi-vstavkami-carisma/","1225")</f>
      </c>
      <c r="B3109" s="8" t="s">
        <v>3101</v>
      </c>
      <c r="C3109" s="9">
        <v>1925</v>
      </c>
      <c r="D3109" s="0">
        <v>0</v>
      </c>
      <c r="E3109" s="10">
        <f>HYPERLINK("http://www.lingerieopt.ru/images/original/594c8801-42f1-4e3e-8d41-99abdf273665.jpg","Фото")</f>
      </c>
    </row>
    <row r="3110">
      <c r="A3110" s="7">
        <f>HYPERLINK("http://www.lingerieopt.ru/item/1225-korsazh-s-prozrachnjmi-vstavkami-carisma/","1225")</f>
      </c>
      <c r="B3110" s="8" t="s">
        <v>3102</v>
      </c>
      <c r="C3110" s="9">
        <v>1925</v>
      </c>
      <c r="D3110" s="0">
        <v>13</v>
      </c>
      <c r="E3110" s="10">
        <f>HYPERLINK("http://www.lingerieopt.ru/images/original/594c8801-42f1-4e3e-8d41-99abdf273665.jpg","Фото")</f>
      </c>
    </row>
    <row r="3111">
      <c r="A3111" s="7">
        <f>HYPERLINK("http://www.lingerieopt.ru/item/1226-tyulevji-korsazh-estera-s-diagonalnoi-kruzhevnoi-vstavkoi/","1226")</f>
      </c>
      <c r="B3111" s="8" t="s">
        <v>3103</v>
      </c>
      <c r="C3111" s="9">
        <v>1856</v>
      </c>
      <c r="D3111" s="0">
        <v>1</v>
      </c>
      <c r="E3111" s="10">
        <f>HYPERLINK("http://www.lingerieopt.ru/images/original/d8c891a1-7ce3-4d2b-92e2-d40a1c96ff52.jpg","Фото")</f>
      </c>
    </row>
    <row r="3112">
      <c r="A3112" s="7">
        <f>HYPERLINK("http://www.lingerieopt.ru/item/1226-tyulevji-korsazh-estera-s-diagonalnoi-kruzhevnoi-vstavkoi/","1226")</f>
      </c>
      <c r="B3112" s="8" t="s">
        <v>3104</v>
      </c>
      <c r="C3112" s="9">
        <v>1856</v>
      </c>
      <c r="D3112" s="0">
        <v>2</v>
      </c>
      <c r="E3112" s="10">
        <f>HYPERLINK("http://www.lingerieopt.ru/images/original/d8c891a1-7ce3-4d2b-92e2-d40a1c96ff52.jpg","Фото")</f>
      </c>
    </row>
    <row r="3113">
      <c r="A3113" s="7">
        <f>HYPERLINK("http://www.lingerieopt.ru/item/1226-tyulevji-korsazh-estera-s-diagonalnoi-kruzhevnoi-vstavkoi/","1226")</f>
      </c>
      <c r="B3113" s="8" t="s">
        <v>3105</v>
      </c>
      <c r="C3113" s="9">
        <v>1856</v>
      </c>
      <c r="D3113" s="0">
        <v>0</v>
      </c>
      <c r="E3113" s="10">
        <f>HYPERLINK("http://www.lingerieopt.ru/images/original/d8c891a1-7ce3-4d2b-92e2-d40a1c96ff52.jpg","Фото")</f>
      </c>
    </row>
    <row r="3114">
      <c r="A3114" s="7">
        <f>HYPERLINK("http://www.lingerieopt.ru/item/1226-tyulevji-korsazh-estera-s-diagonalnoi-kruzhevnoi-vstavkoi/","1226")</f>
      </c>
      <c r="B3114" s="8" t="s">
        <v>3106</v>
      </c>
      <c r="C3114" s="9">
        <v>1856</v>
      </c>
      <c r="D3114" s="0">
        <v>0</v>
      </c>
      <c r="E3114" s="10">
        <f>HYPERLINK("http://www.lingerieopt.ru/images/original/d8c891a1-7ce3-4d2b-92e2-d40a1c96ff52.jpg","Фото")</f>
      </c>
    </row>
    <row r="3115">
      <c r="A3115" s="7">
        <f>HYPERLINK("http://www.lingerieopt.ru/item/1226-tyulevji-korsazh-estera-s-diagonalnoi-kruzhevnoi-vstavkoi/","1226")</f>
      </c>
      <c r="B3115" s="8" t="s">
        <v>3107</v>
      </c>
      <c r="C3115" s="9">
        <v>1856</v>
      </c>
      <c r="D3115" s="0">
        <v>0</v>
      </c>
      <c r="E3115" s="10">
        <f>HYPERLINK("http://www.lingerieopt.ru/images/original/d8c891a1-7ce3-4d2b-92e2-d40a1c96ff52.jpg","Фото")</f>
      </c>
    </row>
    <row r="3116">
      <c r="A3116" s="7">
        <f>HYPERLINK("http://www.lingerieopt.ru/item/1227-dvuhcvetnji-korsazh-eternity/","1227")</f>
      </c>
      <c r="B3116" s="8" t="s">
        <v>3108</v>
      </c>
      <c r="C3116" s="9">
        <v>1467</v>
      </c>
      <c r="D3116" s="0">
        <v>4</v>
      </c>
      <c r="E3116" s="10">
        <f>HYPERLINK("http://www.lingerieopt.ru/images/original/906bb07c-ebcd-4c5f-bca1-037addc8911b.jpg","Фото")</f>
      </c>
    </row>
    <row r="3117">
      <c r="A3117" s="7">
        <f>HYPERLINK("http://www.lingerieopt.ru/item/1227-dvuhcvetnji-korsazh-eternity/","1227")</f>
      </c>
      <c r="B3117" s="8" t="s">
        <v>3109</v>
      </c>
      <c r="C3117" s="9">
        <v>1467</v>
      </c>
      <c r="D3117" s="0">
        <v>0</v>
      </c>
      <c r="E3117" s="10">
        <f>HYPERLINK("http://www.lingerieopt.ru/images/original/906bb07c-ebcd-4c5f-bca1-037addc8911b.jpg","Фото")</f>
      </c>
    </row>
    <row r="3118">
      <c r="A3118" s="7">
        <f>HYPERLINK("http://www.lingerieopt.ru/item/1227-dvuhcvetnji-korsazh-eternity/","1227")</f>
      </c>
      <c r="B3118" s="8" t="s">
        <v>3110</v>
      </c>
      <c r="C3118" s="9">
        <v>1467</v>
      </c>
      <c r="D3118" s="0">
        <v>5</v>
      </c>
      <c r="E3118" s="10">
        <f>HYPERLINK("http://www.lingerieopt.ru/images/original/906bb07c-ebcd-4c5f-bca1-037addc8911b.jpg","Фото")</f>
      </c>
    </row>
    <row r="3119">
      <c r="A3119" s="7">
        <f>HYPERLINK("http://www.lingerieopt.ru/item/1228-korsazh-fabio/","1228")</f>
      </c>
      <c r="B3119" s="8" t="s">
        <v>3111</v>
      </c>
      <c r="C3119" s="9">
        <v>1374</v>
      </c>
      <c r="D3119" s="0">
        <v>3</v>
      </c>
      <c r="E3119" s="10">
        <f>HYPERLINK("http://www.lingerieopt.ru/images/original/3f42e48f-6d4c-4aa5-80a6-bdffcd52e331.jpg","Фото")</f>
      </c>
    </row>
    <row r="3120">
      <c r="A3120" s="7">
        <f>HYPERLINK("http://www.lingerieopt.ru/item/1228-korsazh-fabio/","1228")</f>
      </c>
      <c r="B3120" s="8" t="s">
        <v>3112</v>
      </c>
      <c r="C3120" s="9">
        <v>1374</v>
      </c>
      <c r="D3120" s="0">
        <v>4</v>
      </c>
      <c r="E3120" s="10">
        <f>HYPERLINK("http://www.lingerieopt.ru/images/original/3f42e48f-6d4c-4aa5-80a6-bdffcd52e331.jpg","Фото")</f>
      </c>
    </row>
    <row r="3121">
      <c r="A3121" s="7">
        <f>HYPERLINK("http://www.lingerieopt.ru/item/1228-korsazh-fabio/","1228")</f>
      </c>
      <c r="B3121" s="8" t="s">
        <v>3113</v>
      </c>
      <c r="C3121" s="9">
        <v>1374</v>
      </c>
      <c r="D3121" s="0">
        <v>1</v>
      </c>
      <c r="E3121" s="10">
        <f>HYPERLINK("http://www.lingerieopt.ru/images/original/3f42e48f-6d4c-4aa5-80a6-bdffcd52e331.jpg","Фото")</f>
      </c>
    </row>
    <row r="3122">
      <c r="A3122" s="7">
        <f>HYPERLINK("http://www.lingerieopt.ru/item/1229-korsazh-so-shnurovkoi-szadi-ginger/","1229")</f>
      </c>
      <c r="B3122" s="8" t="s">
        <v>3114</v>
      </c>
      <c r="C3122" s="9">
        <v>2123</v>
      </c>
      <c r="D3122" s="0">
        <v>1</v>
      </c>
      <c r="E3122" s="10">
        <f>HYPERLINK("http://www.lingerieopt.ru/images/original/845e78ac-5170-4cd4-823e-1a38dd0af704.jpg","Фото")</f>
      </c>
    </row>
    <row r="3123">
      <c r="A3123" s="7">
        <f>HYPERLINK("http://www.lingerieopt.ru/item/1229-korsazh-so-shnurovkoi-szadi-ginger/","1229")</f>
      </c>
      <c r="B3123" s="8" t="s">
        <v>3115</v>
      </c>
      <c r="C3123" s="9">
        <v>2123</v>
      </c>
      <c r="D3123" s="0">
        <v>0</v>
      </c>
      <c r="E3123" s="10">
        <f>HYPERLINK("http://www.lingerieopt.ru/images/original/845e78ac-5170-4cd4-823e-1a38dd0af704.jpg","Фото")</f>
      </c>
    </row>
    <row r="3124">
      <c r="A3124" s="7">
        <f>HYPERLINK("http://www.lingerieopt.ru/item/1229-korsazh-so-shnurovkoi-szadi-ginger/","1229")</f>
      </c>
      <c r="B3124" s="8" t="s">
        <v>3116</v>
      </c>
      <c r="C3124" s="9">
        <v>2123</v>
      </c>
      <c r="D3124" s="0">
        <v>10</v>
      </c>
      <c r="E3124" s="10">
        <f>HYPERLINK("http://www.lingerieopt.ru/images/original/845e78ac-5170-4cd4-823e-1a38dd0af704.jpg","Фото")</f>
      </c>
    </row>
    <row r="3125">
      <c r="A3125" s="7">
        <f>HYPERLINK("http://www.lingerieopt.ru/item/1231-korsazh-so-shnurovkoi-speredi-marcelle/","1231")</f>
      </c>
      <c r="B3125" s="8" t="s">
        <v>3117</v>
      </c>
      <c r="C3125" s="9">
        <v>1800</v>
      </c>
      <c r="D3125" s="0">
        <v>20</v>
      </c>
      <c r="E3125" s="10">
        <f>HYPERLINK("http://www.lingerieopt.ru/images/original/c0c0357b-8460-4cd6-9bc7-800d2840d9b0.jpg","Фото")</f>
      </c>
    </row>
    <row r="3126">
      <c r="A3126" s="7">
        <f>HYPERLINK("http://www.lingerieopt.ru/item/1231-korsazh-so-shnurovkoi-speredi-marcelle/","1231")</f>
      </c>
      <c r="B3126" s="8" t="s">
        <v>3118</v>
      </c>
      <c r="C3126" s="9">
        <v>1800</v>
      </c>
      <c r="D3126" s="0">
        <v>17</v>
      </c>
      <c r="E3126" s="10">
        <f>HYPERLINK("http://www.lingerieopt.ru/images/original/c0c0357b-8460-4cd6-9bc7-800d2840d9b0.jpg","Фото")</f>
      </c>
    </row>
    <row r="3127">
      <c r="A3127" s="7">
        <f>HYPERLINK("http://www.lingerieopt.ru/item/1231-korsazh-so-shnurovkoi-speredi-marcelle/","1231")</f>
      </c>
      <c r="B3127" s="8" t="s">
        <v>3119</v>
      </c>
      <c r="C3127" s="9">
        <v>1800</v>
      </c>
      <c r="D3127" s="0">
        <v>10</v>
      </c>
      <c r="E3127" s="10">
        <f>HYPERLINK("http://www.lingerieopt.ru/images/original/c0c0357b-8460-4cd6-9bc7-800d2840d9b0.jpg","Фото")</f>
      </c>
    </row>
    <row r="3128">
      <c r="A3128" s="7">
        <f>HYPERLINK("http://www.lingerieopt.ru/item/1231-korsazh-so-shnurovkoi-speredi-marcelle/","1231")</f>
      </c>
      <c r="B3128" s="8" t="s">
        <v>3120</v>
      </c>
      <c r="C3128" s="9">
        <v>1800</v>
      </c>
      <c r="D3128" s="0">
        <v>2</v>
      </c>
      <c r="E3128" s="10">
        <f>HYPERLINK("http://www.lingerieopt.ru/images/original/c0c0357b-8460-4cd6-9bc7-800d2840d9b0.jpg","Фото")</f>
      </c>
    </row>
    <row r="3129">
      <c r="A3129" s="7">
        <f>HYPERLINK("http://www.lingerieopt.ru/item/1235-korsazh-s-otkrjtoi-grudyu-deborah/","1235")</f>
      </c>
      <c r="B3129" s="8" t="s">
        <v>3121</v>
      </c>
      <c r="C3129" s="9">
        <v>1383</v>
      </c>
      <c r="D3129" s="0">
        <v>4</v>
      </c>
      <c r="E3129" s="10">
        <f>HYPERLINK("http://www.lingerieopt.ru/images/original/31542e6d-fe75-4e39-b7f1-c906042678aa.jpg","Фото")</f>
      </c>
    </row>
    <row r="3130">
      <c r="A3130" s="7">
        <f>HYPERLINK("http://www.lingerieopt.ru/item/1235-korsazh-s-otkrjtoi-grudyu-deborah/","1235")</f>
      </c>
      <c r="B3130" s="8" t="s">
        <v>3122</v>
      </c>
      <c r="C3130" s="9">
        <v>1383</v>
      </c>
      <c r="D3130" s="0">
        <v>3</v>
      </c>
      <c r="E3130" s="10">
        <f>HYPERLINK("http://www.lingerieopt.ru/images/original/31542e6d-fe75-4e39-b7f1-c906042678aa.jpg","Фото")</f>
      </c>
    </row>
    <row r="3131">
      <c r="A3131" s="7">
        <f>HYPERLINK("http://www.lingerieopt.ru/item/1235-korsazh-s-otkrjtoi-grudyu-deborah/","1235")</f>
      </c>
      <c r="B3131" s="8" t="s">
        <v>3123</v>
      </c>
      <c r="C3131" s="9">
        <v>1383</v>
      </c>
      <c r="D3131" s="0">
        <v>4</v>
      </c>
      <c r="E3131" s="10">
        <f>HYPERLINK("http://www.lingerieopt.ru/images/original/31542e6d-fe75-4e39-b7f1-c906042678aa.jpg","Фото")</f>
      </c>
    </row>
    <row r="3132">
      <c r="A3132" s="7">
        <f>HYPERLINK("http://www.lingerieopt.ru/item/1237-korsazh-s-perekrestnoi-lentoi-tiffany-corset-black/","1237")</f>
      </c>
      <c r="B3132" s="8" t="s">
        <v>3124</v>
      </c>
      <c r="C3132" s="9">
        <v>1393</v>
      </c>
      <c r="D3132" s="0">
        <v>1</v>
      </c>
      <c r="E3132" s="10">
        <f>HYPERLINK("http://www.lingerieopt.ru/images/original/432d2c21-3df6-45a5-9cd6-7e35b217268a.jpg","Фото")</f>
      </c>
    </row>
    <row r="3133">
      <c r="A3133" s="7">
        <f>HYPERLINK("http://www.lingerieopt.ru/item/1237-korsazh-s-perekrestnoi-lentoi-tiffany-corset-black/","1237")</f>
      </c>
      <c r="B3133" s="8" t="s">
        <v>3125</v>
      </c>
      <c r="C3133" s="9">
        <v>1393</v>
      </c>
      <c r="D3133" s="0">
        <v>5</v>
      </c>
      <c r="E3133" s="10">
        <f>HYPERLINK("http://www.lingerieopt.ru/images/original/432d2c21-3df6-45a5-9cd6-7e35b217268a.jpg","Фото")</f>
      </c>
    </row>
    <row r="3134">
      <c r="A3134" s="7">
        <f>HYPERLINK("http://www.lingerieopt.ru/item/1237-korsazh-s-perekrestnoi-lentoi-tiffany-corset-black/","1237")</f>
      </c>
      <c r="B3134" s="8" t="s">
        <v>3126</v>
      </c>
      <c r="C3134" s="9">
        <v>1393</v>
      </c>
      <c r="D3134" s="0">
        <v>2</v>
      </c>
      <c r="E3134" s="10">
        <f>HYPERLINK("http://www.lingerieopt.ru/images/original/432d2c21-3df6-45a5-9cd6-7e35b217268a.jpg","Фото")</f>
      </c>
    </row>
    <row r="3135">
      <c r="A3135" s="7">
        <f>HYPERLINK("http://www.lingerieopt.ru/item/1237-korsazh-s-perekrestnoi-lentoi-tiffany-corset-black/","1237")</f>
      </c>
      <c r="B3135" s="8" t="s">
        <v>3127</v>
      </c>
      <c r="C3135" s="9">
        <v>1393</v>
      </c>
      <c r="D3135" s="0">
        <v>5</v>
      </c>
      <c r="E3135" s="10">
        <f>HYPERLINK("http://www.lingerieopt.ru/images/original/432d2c21-3df6-45a5-9cd6-7e35b217268a.jpg","Фото")</f>
      </c>
    </row>
    <row r="3136">
      <c r="A3136" s="7">
        <f>HYPERLINK("http://www.lingerieopt.ru/item/1993-nezhnji-korsazh-eden-s-kruzhevami/","1993")</f>
      </c>
      <c r="B3136" s="8" t="s">
        <v>3128</v>
      </c>
      <c r="C3136" s="9">
        <v>1636</v>
      </c>
      <c r="D3136" s="0">
        <v>4</v>
      </c>
      <c r="E3136" s="10">
        <f>HYPERLINK("http://www.lingerieopt.ru/images/original/3f3cd82d-b9fe-41d3-ac00-47b74861e188.jpg","Фото")</f>
      </c>
    </row>
    <row r="3137">
      <c r="A3137" s="7">
        <f>HYPERLINK("http://www.lingerieopt.ru/item/1993-nezhnji-korsazh-eden-s-kruzhevami/","1993")</f>
      </c>
      <c r="B3137" s="8" t="s">
        <v>3129</v>
      </c>
      <c r="C3137" s="9">
        <v>1636</v>
      </c>
      <c r="D3137" s="0">
        <v>2</v>
      </c>
      <c r="E3137" s="10">
        <f>HYPERLINK("http://www.lingerieopt.ru/images/original/3f3cd82d-b9fe-41d3-ac00-47b74861e188.jpg","Фото")</f>
      </c>
    </row>
    <row r="3138">
      <c r="A3138" s="7">
        <f>HYPERLINK("http://www.lingerieopt.ru/item/1993-nezhnji-korsazh-eden-s-kruzhevami/","1993")</f>
      </c>
      <c r="B3138" s="8" t="s">
        <v>3130</v>
      </c>
      <c r="C3138" s="9">
        <v>1636</v>
      </c>
      <c r="D3138" s="0">
        <v>3</v>
      </c>
      <c r="E3138" s="10">
        <f>HYPERLINK("http://www.lingerieopt.ru/images/original/3f3cd82d-b9fe-41d3-ac00-47b74861e188.jpg","Фото")</f>
      </c>
    </row>
    <row r="3139">
      <c r="A3139" s="7">
        <f>HYPERLINK("http://www.lingerieopt.ru/item/1994-udlinennji-korsazh-marylin-so-shnurovkoi-i-oborkami/","1994")</f>
      </c>
      <c r="B3139" s="8" t="s">
        <v>3131</v>
      </c>
      <c r="C3139" s="9">
        <v>1721</v>
      </c>
      <c r="D3139" s="0">
        <v>0</v>
      </c>
      <c r="E3139" s="10">
        <f>HYPERLINK("http://www.lingerieopt.ru/images/original/bb003bc8-ac84-40a1-b57c-4bc11a2c7f0b.jpg","Фото")</f>
      </c>
    </row>
    <row r="3140">
      <c r="A3140" s="7">
        <f>HYPERLINK("http://www.lingerieopt.ru/item/1994-udlinennji-korsazh-marylin-so-shnurovkoi-i-oborkami/","1994")</f>
      </c>
      <c r="B3140" s="8" t="s">
        <v>3132</v>
      </c>
      <c r="C3140" s="9">
        <v>1721</v>
      </c>
      <c r="D3140" s="0">
        <v>1</v>
      </c>
      <c r="E3140" s="10">
        <f>HYPERLINK("http://www.lingerieopt.ru/images/original/bb003bc8-ac84-40a1-b57c-4bc11a2c7f0b.jpg","Фото")</f>
      </c>
    </row>
    <row r="3141">
      <c r="A3141" s="7">
        <f>HYPERLINK("http://www.lingerieopt.ru/item/1994-udlinennji-korsazh-marylin-so-shnurovkoi-i-oborkami/","1994")</f>
      </c>
      <c r="B3141" s="8" t="s">
        <v>3133</v>
      </c>
      <c r="C3141" s="9">
        <v>1721</v>
      </c>
      <c r="D3141" s="0">
        <v>0</v>
      </c>
      <c r="E3141" s="10">
        <f>HYPERLINK("http://www.lingerieopt.ru/images/original/bb003bc8-ac84-40a1-b57c-4bc11a2c7f0b.jpg","Фото")</f>
      </c>
    </row>
    <row r="3142">
      <c r="A3142" s="7">
        <f>HYPERLINK("http://www.lingerieopt.ru/item/2329-korsazh-s-oborochkami-linda/","2329")</f>
      </c>
      <c r="B3142" s="8" t="s">
        <v>3134</v>
      </c>
      <c r="C3142" s="9">
        <v>2142</v>
      </c>
      <c r="D3142" s="0">
        <v>1</v>
      </c>
      <c r="E3142" s="10">
        <f>HYPERLINK("http://www.lingerieopt.ru/images/original/178e9621-cde5-44cd-8a1d-e14a3f76142d.jpg","Фото")</f>
      </c>
    </row>
    <row r="3143">
      <c r="A3143" s="7">
        <f>HYPERLINK("http://www.lingerieopt.ru/item/2329-korsazh-s-oborochkami-linda/","2329")</f>
      </c>
      <c r="B3143" s="8" t="s">
        <v>3135</v>
      </c>
      <c r="C3143" s="9">
        <v>2142</v>
      </c>
      <c r="D3143" s="0">
        <v>0</v>
      </c>
      <c r="E3143" s="10">
        <f>HYPERLINK("http://www.lingerieopt.ru/images/original/178e9621-cde5-44cd-8a1d-e14a3f76142d.jpg","Фото")</f>
      </c>
    </row>
    <row r="3144">
      <c r="A3144" s="7">
        <f>HYPERLINK("http://www.lingerieopt.ru/item/2352-korsazh-s-kruzhevami-corinne/","2352")</f>
      </c>
      <c r="B3144" s="8" t="s">
        <v>3136</v>
      </c>
      <c r="C3144" s="9">
        <v>2412</v>
      </c>
      <c r="D3144" s="0">
        <v>2</v>
      </c>
      <c r="E3144" s="10">
        <f>HYPERLINK("http://www.lingerieopt.ru/images/original/b56f0aef-a2ea-4ef5-bd9d-213ae7c9b886.jpg","Фото")</f>
      </c>
    </row>
    <row r="3145">
      <c r="A3145" s="7">
        <f>HYPERLINK("http://www.lingerieopt.ru/item/2352-korsazh-s-kruzhevami-corinne/","2352")</f>
      </c>
      <c r="B3145" s="8" t="s">
        <v>3137</v>
      </c>
      <c r="C3145" s="9">
        <v>2412</v>
      </c>
      <c r="D3145" s="0">
        <v>0</v>
      </c>
      <c r="E3145" s="10">
        <f>HYPERLINK("http://www.lingerieopt.ru/images/original/b56f0aef-a2ea-4ef5-bd9d-213ae7c9b886.jpg","Фото")</f>
      </c>
    </row>
    <row r="3146">
      <c r="A3146" s="7">
        <f>HYPERLINK("http://www.lingerieopt.ru/item/2779-azhurnji-korsazh-s-poluprozrachnjmi-vstavkami-po-bokam/","2779")</f>
      </c>
      <c r="B3146" s="8" t="s">
        <v>3138</v>
      </c>
      <c r="C3146" s="9">
        <v>1861</v>
      </c>
      <c r="D3146" s="0">
        <v>0</v>
      </c>
      <c r="E3146" s="10">
        <f>HYPERLINK("http://www.lingerieopt.ru/images/original/e52a0249-8463-4661-b9b1-9e09788267a1.jpg","Фото")</f>
      </c>
    </row>
    <row r="3147">
      <c r="A3147" s="7">
        <f>HYPERLINK("http://www.lingerieopt.ru/item/2779-azhurnji-korsazh-s-poluprozrachnjmi-vstavkami-po-bokam/","2779")</f>
      </c>
      <c r="B3147" s="8" t="s">
        <v>3139</v>
      </c>
      <c r="C3147" s="9">
        <v>1861</v>
      </c>
      <c r="D3147" s="0">
        <v>3</v>
      </c>
      <c r="E3147" s="10">
        <f>HYPERLINK("http://www.lingerieopt.ru/images/original/e52a0249-8463-4661-b9b1-9e09788267a1.jpg","Фото")</f>
      </c>
    </row>
    <row r="3148">
      <c r="A3148" s="7">
        <f>HYPERLINK("http://www.lingerieopt.ru/item/2779-azhurnji-korsazh-s-poluprozrachnjmi-vstavkami-po-bokam/","2779")</f>
      </c>
      <c r="B3148" s="8" t="s">
        <v>3140</v>
      </c>
      <c r="C3148" s="9">
        <v>1861</v>
      </c>
      <c r="D3148" s="0">
        <v>3</v>
      </c>
      <c r="E3148" s="10">
        <f>HYPERLINK("http://www.lingerieopt.ru/images/original/e52a0249-8463-4661-b9b1-9e09788267a1.jpg","Фото")</f>
      </c>
    </row>
    <row r="3149">
      <c r="A3149" s="7">
        <f>HYPERLINK("http://www.lingerieopt.ru/item/2779-azhurnji-korsazh-s-poluprozrachnjmi-vstavkami-po-bokam/","2779")</f>
      </c>
      <c r="B3149" s="8" t="s">
        <v>3141</v>
      </c>
      <c r="C3149" s="9">
        <v>1861</v>
      </c>
      <c r="D3149" s="0">
        <v>4</v>
      </c>
      <c r="E3149" s="10">
        <f>HYPERLINK("http://www.lingerieopt.ru/images/original/e52a0249-8463-4661-b9b1-9e09788267a1.jpg","Фото")</f>
      </c>
    </row>
    <row r="3150">
      <c r="A3150" s="7">
        <f>HYPERLINK("http://www.lingerieopt.ru/item/3208-korsazh-elise-s-cvetochnjm-kruzhevom/","3208")</f>
      </c>
      <c r="B3150" s="8" t="s">
        <v>3142</v>
      </c>
      <c r="C3150" s="9">
        <v>2249</v>
      </c>
      <c r="D3150" s="0">
        <v>4</v>
      </c>
      <c r="E3150" s="10">
        <f>HYPERLINK("http://www.lingerieopt.ru/images/original/20c8361d-45a0-4261-9c52-ad641263cfa1.jpg","Фото")</f>
      </c>
    </row>
    <row r="3151">
      <c r="A3151" s="7">
        <f>HYPERLINK("http://www.lingerieopt.ru/item/3672-poyas-korset-so-shnurovkoi/","3672")</f>
      </c>
      <c r="B3151" s="8" t="s">
        <v>3143</v>
      </c>
      <c r="C3151" s="9">
        <v>1426</v>
      </c>
      <c r="D3151" s="0">
        <v>0</v>
      </c>
      <c r="E3151" s="10">
        <f>HYPERLINK("http://www.lingerieopt.ru/images/original/39d57be9-6f41-42c3-8073-831a329e6516.jpg","Фото")</f>
      </c>
    </row>
    <row r="3152">
      <c r="A3152" s="7">
        <f>HYPERLINK("http://www.lingerieopt.ru/item/3672-poyas-korset-so-shnurovkoi/","3672")</f>
      </c>
      <c r="B3152" s="8" t="s">
        <v>3144</v>
      </c>
      <c r="C3152" s="9">
        <v>1426</v>
      </c>
      <c r="D3152" s="0">
        <v>0</v>
      </c>
      <c r="E3152" s="10">
        <f>HYPERLINK("http://www.lingerieopt.ru/images/original/39d57be9-6f41-42c3-8073-831a329e6516.jpg","Фото")</f>
      </c>
    </row>
    <row r="3153">
      <c r="A3153" s="7">
        <f>HYPERLINK("http://www.lingerieopt.ru/item/3672-poyas-korset-so-shnurovkoi/","3672")</f>
      </c>
      <c r="B3153" s="8" t="s">
        <v>3145</v>
      </c>
      <c r="C3153" s="9">
        <v>1426</v>
      </c>
      <c r="D3153" s="0">
        <v>6</v>
      </c>
      <c r="E3153" s="10">
        <f>HYPERLINK("http://www.lingerieopt.ru/images/original/39d57be9-6f41-42c3-8073-831a329e6516.jpg","Фото")</f>
      </c>
    </row>
    <row r="3154">
      <c r="A3154" s="7">
        <f>HYPERLINK("http://www.lingerieopt.ru/item/3672-poyas-korset-so-shnurovkoi/","3672")</f>
      </c>
      <c r="B3154" s="8" t="s">
        <v>3146</v>
      </c>
      <c r="C3154" s="9">
        <v>1426</v>
      </c>
      <c r="D3154" s="0">
        <v>6</v>
      </c>
      <c r="E3154" s="10">
        <f>HYPERLINK("http://www.lingerieopt.ru/images/original/39d57be9-6f41-42c3-8073-831a329e6516.jpg","Фото")</f>
      </c>
    </row>
    <row r="3155">
      <c r="A3155" s="7">
        <f>HYPERLINK("http://www.lingerieopt.ru/item/4006-krasnoe-udlinennoe-byuste-iz-elastichnogo-satina/","4006")</f>
      </c>
      <c r="B3155" s="8" t="s">
        <v>3147</v>
      </c>
      <c r="C3155" s="9">
        <v>1286</v>
      </c>
      <c r="D3155" s="0">
        <v>30</v>
      </c>
      <c r="E3155" s="10">
        <f>HYPERLINK("http://www.lingerieopt.ru/images/original/5356a70f-9974-4ace-b33c-448d70f10674.jpg","Фото")</f>
      </c>
    </row>
    <row r="3156">
      <c r="A3156" s="7">
        <f>HYPERLINK("http://www.lingerieopt.ru/item/4006-krasnoe-udlinennoe-byuste-iz-elastichnogo-satina/","4006")</f>
      </c>
      <c r="B3156" s="8" t="s">
        <v>3148</v>
      </c>
      <c r="C3156" s="9">
        <v>1286</v>
      </c>
      <c r="D3156" s="0">
        <v>30</v>
      </c>
      <c r="E3156" s="10">
        <f>HYPERLINK("http://www.lingerieopt.ru/images/original/5356a70f-9974-4ace-b33c-448d70f10674.jpg","Фото")</f>
      </c>
    </row>
    <row r="3157">
      <c r="A3157" s="7">
        <f>HYPERLINK("http://www.lingerieopt.ru/item/4180-roskoshnji-korset-luxury/","4180")</f>
      </c>
      <c r="B3157" s="8" t="s">
        <v>3149</v>
      </c>
      <c r="C3157" s="9">
        <v>4788</v>
      </c>
      <c r="D3157" s="0">
        <v>0</v>
      </c>
      <c r="E3157" s="10">
        <f>HYPERLINK("http://www.lingerieopt.ru/images/original/16c12482-699a-497f-874c-01ad9454ebd9.jpg","Фото")</f>
      </c>
    </row>
    <row r="3158">
      <c r="A3158" s="7">
        <f>HYPERLINK("http://www.lingerieopt.ru/item/4180-roskoshnji-korset-luxury/","4180")</f>
      </c>
      <c r="B3158" s="8" t="s">
        <v>3150</v>
      </c>
      <c r="C3158" s="9">
        <v>4788</v>
      </c>
      <c r="D3158" s="0">
        <v>0</v>
      </c>
      <c r="E3158" s="10">
        <f>HYPERLINK("http://www.lingerieopt.ru/images/original/16c12482-699a-497f-874c-01ad9454ebd9.jpg","Фото")</f>
      </c>
    </row>
    <row r="3159">
      <c r="A3159" s="7">
        <f>HYPERLINK("http://www.lingerieopt.ru/item/4180-roskoshnji-korset-luxury/","4180")</f>
      </c>
      <c r="B3159" s="8" t="s">
        <v>3151</v>
      </c>
      <c r="C3159" s="9">
        <v>4788</v>
      </c>
      <c r="D3159" s="0">
        <v>0</v>
      </c>
      <c r="E3159" s="10">
        <f>HYPERLINK("http://www.lingerieopt.ru/images/original/16c12482-699a-497f-874c-01ad9454ebd9.jpg","Фото")</f>
      </c>
    </row>
    <row r="3160">
      <c r="A3160" s="7">
        <f>HYPERLINK("http://www.lingerieopt.ru/item/4180-roskoshnji-korset-luxury/","4180")</f>
      </c>
      <c r="B3160" s="8" t="s">
        <v>3152</v>
      </c>
      <c r="C3160" s="9">
        <v>4788</v>
      </c>
      <c r="D3160" s="0">
        <v>6</v>
      </c>
      <c r="E3160" s="10">
        <f>HYPERLINK("http://www.lingerieopt.ru/images/original/16c12482-699a-497f-874c-01ad9454ebd9.jpg","Фото")</f>
      </c>
    </row>
    <row r="3161">
      <c r="A3161" s="7">
        <f>HYPERLINK("http://www.lingerieopt.ru/item/4180-roskoshnji-korset-luxury/","4180")</f>
      </c>
      <c r="B3161" s="8" t="s">
        <v>3153</v>
      </c>
      <c r="C3161" s="9">
        <v>4788</v>
      </c>
      <c r="D3161" s="0">
        <v>0</v>
      </c>
      <c r="E3161" s="10">
        <f>HYPERLINK("http://www.lingerieopt.ru/images/original/16c12482-699a-497f-874c-01ad9454ebd9.jpg","Фото")</f>
      </c>
    </row>
    <row r="3162">
      <c r="A3162" s="7">
        <f>HYPERLINK("http://www.lingerieopt.ru/item/4180-roskoshnji-korset-luxury/","4180")</f>
      </c>
      <c r="B3162" s="8" t="s">
        <v>3154</v>
      </c>
      <c r="C3162" s="9">
        <v>4788</v>
      </c>
      <c r="D3162" s="0">
        <v>0</v>
      </c>
      <c r="E3162" s="10">
        <f>HYPERLINK("http://www.lingerieopt.ru/images/original/16c12482-699a-497f-874c-01ad9454ebd9.jpg","Фото")</f>
      </c>
    </row>
    <row r="3163">
      <c r="A3163" s="7">
        <f>HYPERLINK("http://www.lingerieopt.ru/item/4180-roskoshnji-korset-luxury/","4180")</f>
      </c>
      <c r="B3163" s="8" t="s">
        <v>3155</v>
      </c>
      <c r="C3163" s="9">
        <v>4788</v>
      </c>
      <c r="D3163" s="0">
        <v>6</v>
      </c>
      <c r="E3163" s="10">
        <f>HYPERLINK("http://www.lingerieopt.ru/images/original/16c12482-699a-497f-874c-01ad9454ebd9.jpg","Фото")</f>
      </c>
    </row>
    <row r="3164">
      <c r="A3164" s="7">
        <f>HYPERLINK("http://www.lingerieopt.ru/item/4229-chernji-korset-s-krasnjm-lifom/","4229")</f>
      </c>
      <c r="B3164" s="8" t="s">
        <v>3156</v>
      </c>
      <c r="C3164" s="9">
        <v>4696</v>
      </c>
      <c r="D3164" s="0">
        <v>1</v>
      </c>
      <c r="E3164" s="10">
        <f>HYPERLINK("http://www.lingerieopt.ru/images/original/64e2b15f-3643-4f15-83ea-89d9d1cec68a.jpg","Фото")</f>
      </c>
    </row>
    <row r="3165">
      <c r="A3165" s="7">
        <f>HYPERLINK("http://www.lingerieopt.ru/item/4229-chernji-korset-s-krasnjm-lifom/","4229")</f>
      </c>
      <c r="B3165" s="8" t="s">
        <v>3157</v>
      </c>
      <c r="C3165" s="9">
        <v>4696</v>
      </c>
      <c r="D3165" s="0">
        <v>0</v>
      </c>
      <c r="E3165" s="10">
        <f>HYPERLINK("http://www.lingerieopt.ru/images/original/64e2b15f-3643-4f15-83ea-89d9d1cec68a.jpg","Фото")</f>
      </c>
    </row>
    <row r="3166">
      <c r="A3166" s="7">
        <f>HYPERLINK("http://www.lingerieopt.ru/item/4229-chernji-korset-s-krasnjm-lifom/","4229")</f>
      </c>
      <c r="B3166" s="8" t="s">
        <v>3158</v>
      </c>
      <c r="C3166" s="9">
        <v>4696</v>
      </c>
      <c r="D3166" s="0">
        <v>6</v>
      </c>
      <c r="E3166" s="10">
        <f>HYPERLINK("http://www.lingerieopt.ru/images/original/64e2b15f-3643-4f15-83ea-89d9d1cec68a.jpg","Фото")</f>
      </c>
    </row>
    <row r="3167">
      <c r="A3167" s="7">
        <f>HYPERLINK("http://www.lingerieopt.ru/item/4229-chernji-korset-s-krasnjm-lifom/","4229")</f>
      </c>
      <c r="B3167" s="8" t="s">
        <v>3159</v>
      </c>
      <c r="C3167" s="9">
        <v>4696</v>
      </c>
      <c r="D3167" s="0">
        <v>0</v>
      </c>
      <c r="E3167" s="10">
        <f>HYPERLINK("http://www.lingerieopt.ru/images/original/64e2b15f-3643-4f15-83ea-89d9d1cec68a.jpg","Фото")</f>
      </c>
    </row>
    <row r="3168">
      <c r="A3168" s="7">
        <f>HYPERLINK("http://www.lingerieopt.ru/item/4330-korset-s-kruzhevom-i-rezinkami-dlya-chulok/","4330")</f>
      </c>
      <c r="B3168" s="8" t="s">
        <v>3160</v>
      </c>
      <c r="C3168" s="9">
        <v>5099</v>
      </c>
      <c r="D3168" s="0">
        <v>0</v>
      </c>
      <c r="E3168" s="10">
        <f>HYPERLINK("http://www.lingerieopt.ru/images/original/9c44a130-c240-4420-af8c-1c4d6d86a3a4.jpg","Фото")</f>
      </c>
    </row>
    <row r="3169">
      <c r="A3169" s="7">
        <f>HYPERLINK("http://www.lingerieopt.ru/item/4330-korset-s-kruzhevom-i-rezinkami-dlya-chulok/","4330")</f>
      </c>
      <c r="B3169" s="8" t="s">
        <v>3161</v>
      </c>
      <c r="C3169" s="9">
        <v>5099</v>
      </c>
      <c r="D3169" s="0">
        <v>0</v>
      </c>
      <c r="E3169" s="10">
        <f>HYPERLINK("http://www.lingerieopt.ru/images/original/9c44a130-c240-4420-af8c-1c4d6d86a3a4.jpg","Фото")</f>
      </c>
    </row>
    <row r="3170">
      <c r="A3170" s="7">
        <f>HYPERLINK("http://www.lingerieopt.ru/item/4330-korset-s-kruzhevom-i-rezinkami-dlya-chulok/","4330")</f>
      </c>
      <c r="B3170" s="8" t="s">
        <v>3162</v>
      </c>
      <c r="C3170" s="9">
        <v>5099</v>
      </c>
      <c r="D3170" s="0">
        <v>1</v>
      </c>
      <c r="E3170" s="10">
        <f>HYPERLINK("http://www.lingerieopt.ru/images/original/9c44a130-c240-4420-af8c-1c4d6d86a3a4.jpg","Фото")</f>
      </c>
    </row>
    <row r="3171">
      <c r="A3171" s="7">
        <f>HYPERLINK("http://www.lingerieopt.ru/item/4330-korset-s-kruzhevom-i-rezinkami-dlya-chulok/","4330")</f>
      </c>
      <c r="B3171" s="8" t="s">
        <v>3163</v>
      </c>
      <c r="C3171" s="9">
        <v>5099</v>
      </c>
      <c r="D3171" s="0">
        <v>6</v>
      </c>
      <c r="E3171" s="10">
        <f>HYPERLINK("http://www.lingerieopt.ru/images/original/9c44a130-c240-4420-af8c-1c4d6d86a3a4.jpg","Фото")</f>
      </c>
    </row>
    <row r="3172">
      <c r="A3172" s="7">
        <f>HYPERLINK("http://www.lingerieopt.ru/item/4346-kruzhevnoe-byuste-s-poyasom-i-pazhami/","4346")</f>
      </c>
      <c r="B3172" s="8" t="s">
        <v>3164</v>
      </c>
      <c r="C3172" s="9">
        <v>3511</v>
      </c>
      <c r="D3172" s="0">
        <v>6</v>
      </c>
      <c r="E3172" s="10">
        <f>HYPERLINK("http://www.lingerieopt.ru/images/original/8b93b989-e028-4728-a0d6-c5ac328a59b2.jpg","Фото")</f>
      </c>
    </row>
    <row r="3173">
      <c r="A3173" s="7">
        <f>HYPERLINK("http://www.lingerieopt.ru/item/4346-kruzhevnoe-byuste-s-poyasom-i-pazhami/","4346")</f>
      </c>
      <c r="B3173" s="8" t="s">
        <v>3165</v>
      </c>
      <c r="C3173" s="9">
        <v>3511</v>
      </c>
      <c r="D3173" s="0">
        <v>0</v>
      </c>
      <c r="E3173" s="10">
        <f>HYPERLINK("http://www.lingerieopt.ru/images/original/8b93b989-e028-4728-a0d6-c5ac328a59b2.jpg","Фото")</f>
      </c>
    </row>
    <row r="3174">
      <c r="A3174" s="7">
        <f>HYPERLINK("http://www.lingerieopt.ru/item/4346-kruzhevnoe-byuste-s-poyasom-i-pazhami/","4346")</f>
      </c>
      <c r="B3174" s="8" t="s">
        <v>3166</v>
      </c>
      <c r="C3174" s="9">
        <v>3511</v>
      </c>
      <c r="D3174" s="0">
        <v>1</v>
      </c>
      <c r="E3174" s="10">
        <f>HYPERLINK("http://www.lingerieopt.ru/images/original/8b93b989-e028-4728-a0d6-c5ac328a59b2.jpg","Фото")</f>
      </c>
    </row>
    <row r="3175">
      <c r="A3175" s="7">
        <f>HYPERLINK("http://www.lingerieopt.ru/item/4414-korset-s-cvetochnjm-uzorom-diamond/","4414")</f>
      </c>
      <c r="B3175" s="8" t="s">
        <v>3167</v>
      </c>
      <c r="C3175" s="9">
        <v>2461</v>
      </c>
      <c r="D3175" s="0">
        <v>0</v>
      </c>
      <c r="E3175" s="10">
        <f>HYPERLINK("http://www.lingerieopt.ru/images/original/4010deba-6785-4bcd-b291-e684981b6f54.jpg","Фото")</f>
      </c>
    </row>
    <row r="3176">
      <c r="A3176" s="7">
        <f>HYPERLINK("http://www.lingerieopt.ru/item/4414-korset-s-cvetochnjm-uzorom-diamond/","4414")</f>
      </c>
      <c r="B3176" s="8" t="s">
        <v>3168</v>
      </c>
      <c r="C3176" s="9">
        <v>2461</v>
      </c>
      <c r="D3176" s="0">
        <v>1</v>
      </c>
      <c r="E3176" s="10">
        <f>HYPERLINK("http://www.lingerieopt.ru/images/original/4010deba-6785-4bcd-b291-e684981b6f54.jpg","Фото")</f>
      </c>
    </row>
    <row r="3177">
      <c r="A3177" s="7">
        <f>HYPERLINK("http://www.lingerieopt.ru/item/4414-korset-s-cvetochnjm-uzorom-diamond/","4414")</f>
      </c>
      <c r="B3177" s="8" t="s">
        <v>3169</v>
      </c>
      <c r="C3177" s="9">
        <v>2461</v>
      </c>
      <c r="D3177" s="0">
        <v>0</v>
      </c>
      <c r="E3177" s="10">
        <f>HYPERLINK("http://www.lingerieopt.ru/images/original/4010deba-6785-4bcd-b291-e684981b6f54.jpg","Фото")</f>
      </c>
    </row>
    <row r="3178">
      <c r="A3178" s="7">
        <f>HYPERLINK("http://www.lingerieopt.ru/item/4414-korset-s-cvetochnjm-uzorom-diamond/","4414")</f>
      </c>
      <c r="B3178" s="8" t="s">
        <v>3170</v>
      </c>
      <c r="C3178" s="9">
        <v>2461</v>
      </c>
      <c r="D3178" s="0">
        <v>0</v>
      </c>
      <c r="E3178" s="10">
        <f>HYPERLINK("http://www.lingerieopt.ru/images/original/4010deba-6785-4bcd-b291-e684981b6f54.jpg","Фото")</f>
      </c>
    </row>
    <row r="3179">
      <c r="A3179" s="7">
        <f>HYPERLINK("http://www.lingerieopt.ru/item/4423-atlasnji-korset-secred-s-kruzhevnoi-otdelkoi/","4423")</f>
      </c>
      <c r="B3179" s="8" t="s">
        <v>3171</v>
      </c>
      <c r="C3179" s="9">
        <v>2247</v>
      </c>
      <c r="D3179" s="0">
        <v>4</v>
      </c>
      <c r="E3179" s="10">
        <f>HYPERLINK("http://www.lingerieopt.ru/images/original/b25b9098-7570-40dc-9b31-63f9e67fa05e.jpg","Фото")</f>
      </c>
    </row>
    <row r="3180">
      <c r="A3180" s="7">
        <f>HYPERLINK("http://www.lingerieopt.ru/item/4423-atlasnji-korset-secred-s-kruzhevnoi-otdelkoi/","4423")</f>
      </c>
      <c r="B3180" s="8" t="s">
        <v>3172</v>
      </c>
      <c r="C3180" s="9">
        <v>2247</v>
      </c>
      <c r="D3180" s="0">
        <v>6</v>
      </c>
      <c r="E3180" s="10">
        <f>HYPERLINK("http://www.lingerieopt.ru/images/original/b25b9098-7570-40dc-9b31-63f9e67fa05e.jpg","Фото")</f>
      </c>
    </row>
    <row r="3181">
      <c r="A3181" s="7">
        <f>HYPERLINK("http://www.lingerieopt.ru/item/4428-atlasnji-korset-s-kruzhevom-roseberry/","4428")</f>
      </c>
      <c r="B3181" s="8" t="s">
        <v>3173</v>
      </c>
      <c r="C3181" s="9">
        <v>2758</v>
      </c>
      <c r="D3181" s="0">
        <v>2</v>
      </c>
      <c r="E3181" s="10">
        <f>HYPERLINK("http://www.lingerieopt.ru/images/original/8fd474b5-3bcd-406f-9060-29a4359c9c19.jpg","Фото")</f>
      </c>
    </row>
    <row r="3182">
      <c r="A3182" s="7">
        <f>HYPERLINK("http://www.lingerieopt.ru/item/4428-atlasnji-korset-s-kruzhevom-roseberry/","4428")</f>
      </c>
      <c r="B3182" s="8" t="s">
        <v>3174</v>
      </c>
      <c r="C3182" s="9">
        <v>2758</v>
      </c>
      <c r="D3182" s="0">
        <v>0</v>
      </c>
      <c r="E3182" s="10">
        <f>HYPERLINK("http://www.lingerieopt.ru/images/original/8fd474b5-3bcd-406f-9060-29a4359c9c19.jpg","Фото")</f>
      </c>
    </row>
    <row r="3183">
      <c r="A3183" s="7">
        <f>HYPERLINK("http://www.lingerieopt.ru/item/4606-stilnoe-byuste-s-pazhami-i-trusikami/","4606")</f>
      </c>
      <c r="B3183" s="8" t="s">
        <v>3175</v>
      </c>
      <c r="C3183" s="9">
        <v>2924</v>
      </c>
      <c r="D3183" s="0">
        <v>6</v>
      </c>
      <c r="E3183" s="10">
        <f>HYPERLINK("http://www.lingerieopt.ru/images/original/c76937cc-bd66-4694-bf84-a7618bbfe33a.jpg","Фото")</f>
      </c>
    </row>
    <row r="3184">
      <c r="A3184" s="7">
        <f>HYPERLINK("http://www.lingerieopt.ru/item/4606-stilnoe-byuste-s-pazhami-i-trusikami/","4606")</f>
      </c>
      <c r="B3184" s="8" t="s">
        <v>3176</v>
      </c>
      <c r="C3184" s="9">
        <v>2924</v>
      </c>
      <c r="D3184" s="0">
        <v>6</v>
      </c>
      <c r="E3184" s="10">
        <f>HYPERLINK("http://www.lingerieopt.ru/images/original/c76937cc-bd66-4694-bf84-a7618bbfe33a.jpg","Фото")</f>
      </c>
    </row>
    <row r="3185">
      <c r="A3185" s="7">
        <f>HYPERLINK("http://www.lingerieopt.ru/item/4606-stilnoe-byuste-s-pazhami-i-trusikami/","4606")</f>
      </c>
      <c r="B3185" s="8" t="s">
        <v>3177</v>
      </c>
      <c r="C3185" s="9">
        <v>2924</v>
      </c>
      <c r="D3185" s="0">
        <v>6</v>
      </c>
      <c r="E3185" s="10">
        <f>HYPERLINK("http://www.lingerieopt.ru/images/original/c76937cc-bd66-4694-bf84-a7618bbfe33a.jpg","Фото")</f>
      </c>
    </row>
    <row r="3186">
      <c r="A3186" s="7">
        <f>HYPERLINK("http://www.lingerieopt.ru/item/4711-azhurnji-korsazh-fabra/","4711")</f>
      </c>
      <c r="B3186" s="8" t="s">
        <v>3178</v>
      </c>
      <c r="C3186" s="9">
        <v>1755</v>
      </c>
      <c r="D3186" s="0">
        <v>7</v>
      </c>
      <c r="E3186" s="10">
        <f>HYPERLINK("http://www.lingerieopt.ru/images/original/863ee204-337f-448f-9d57-a6df975e2582.jpg","Фото")</f>
      </c>
    </row>
    <row r="3187">
      <c r="A3187" s="7">
        <f>HYPERLINK("http://www.lingerieopt.ru/item/4711-azhurnji-korsazh-fabra/","4711")</f>
      </c>
      <c r="B3187" s="8" t="s">
        <v>3179</v>
      </c>
      <c r="C3187" s="9">
        <v>1755</v>
      </c>
      <c r="D3187" s="0">
        <v>3</v>
      </c>
      <c r="E3187" s="10">
        <f>HYPERLINK("http://www.lingerieopt.ru/images/original/863ee204-337f-448f-9d57-a6df975e2582.jpg","Фото")</f>
      </c>
    </row>
    <row r="3188">
      <c r="A3188" s="7">
        <f>HYPERLINK("http://www.lingerieopt.ru/item/4714-poluprozrachnji-korsazh-abra-s-bantikami/","4714")</f>
      </c>
      <c r="B3188" s="8" t="s">
        <v>3180</v>
      </c>
      <c r="C3188" s="9">
        <v>1571</v>
      </c>
      <c r="D3188" s="0">
        <v>3</v>
      </c>
      <c r="E3188" s="10">
        <f>HYPERLINK("http://www.lingerieopt.ru/images/original/c2f9c097-468f-4fcf-a27f-02440e735fe2.jpg","Фото")</f>
      </c>
    </row>
    <row r="3189">
      <c r="A3189" s="7">
        <f>HYPERLINK("http://www.lingerieopt.ru/item/4714-poluprozrachnji-korsazh-abra-s-bantikami/","4714")</f>
      </c>
      <c r="B3189" s="8" t="s">
        <v>3181</v>
      </c>
      <c r="C3189" s="9">
        <v>1571</v>
      </c>
      <c r="D3189" s="0">
        <v>0</v>
      </c>
      <c r="E3189" s="10">
        <f>HYPERLINK("http://www.lingerieopt.ru/images/original/c2f9c097-468f-4fcf-a27f-02440e735fe2.jpg","Фото")</f>
      </c>
    </row>
    <row r="3190">
      <c r="A3190" s="7">
        <f>HYPERLINK("http://www.lingerieopt.ru/item/4714-poluprozrachnji-korsazh-abra-s-bantikami/","4714")</f>
      </c>
      <c r="B3190" s="8" t="s">
        <v>3182</v>
      </c>
      <c r="C3190" s="9">
        <v>1571</v>
      </c>
      <c r="D3190" s="0">
        <v>12</v>
      </c>
      <c r="E3190" s="10">
        <f>HYPERLINK("http://www.lingerieopt.ru/images/original/c2f9c097-468f-4fcf-a27f-02440e735fe2.jpg","Фото")</f>
      </c>
    </row>
    <row r="3191">
      <c r="A3191" s="7">
        <f>HYPERLINK("http://www.lingerieopt.ru/item/4714-poluprozrachnji-korsazh-abra-s-bantikami/","4714")</f>
      </c>
      <c r="B3191" s="8" t="s">
        <v>3183</v>
      </c>
      <c r="C3191" s="9">
        <v>1571</v>
      </c>
      <c r="D3191" s="0">
        <v>0</v>
      </c>
      <c r="E3191" s="10">
        <f>HYPERLINK("http://www.lingerieopt.ru/images/original/c2f9c097-468f-4fcf-a27f-02440e735fe2.jpg","Фото")</f>
      </c>
    </row>
    <row r="3192">
      <c r="A3192" s="7">
        <f>HYPERLINK("http://www.lingerieopt.ru/item/4731-serebristji-korset-halla-s-kruzhevnjmi-vstavkami/","4731")</f>
      </c>
      <c r="B3192" s="8" t="s">
        <v>3184</v>
      </c>
      <c r="C3192" s="9">
        <v>1376</v>
      </c>
      <c r="D3192" s="0">
        <v>5</v>
      </c>
      <c r="E3192" s="10">
        <f>HYPERLINK("http://www.lingerieopt.ru/images/original/5927a76a-7510-49b6-878c-7f176ba9c0f1.jpg","Фото")</f>
      </c>
    </row>
    <row r="3193">
      <c r="A3193" s="7">
        <f>HYPERLINK("http://www.lingerieopt.ru/item/4731-serebristji-korset-halla-s-kruzhevnjmi-vstavkami/","4731")</f>
      </c>
      <c r="B3193" s="8" t="s">
        <v>3185</v>
      </c>
      <c r="C3193" s="9">
        <v>1376</v>
      </c>
      <c r="D3193" s="0">
        <v>0</v>
      </c>
      <c r="E3193" s="10">
        <f>HYPERLINK("http://www.lingerieopt.ru/images/original/5927a76a-7510-49b6-878c-7f176ba9c0f1.jpg","Фото")</f>
      </c>
    </row>
    <row r="3194">
      <c r="A3194" s="7">
        <f>HYPERLINK("http://www.lingerieopt.ru/item/4731-serebristji-korset-halla-s-kruzhevnjmi-vstavkami/","4731")</f>
      </c>
      <c r="B3194" s="8" t="s">
        <v>3186</v>
      </c>
      <c r="C3194" s="9">
        <v>1376</v>
      </c>
      <c r="D3194" s="0">
        <v>0</v>
      </c>
      <c r="E3194" s="10">
        <f>HYPERLINK("http://www.lingerieopt.ru/images/original/5927a76a-7510-49b6-878c-7f176ba9c0f1.jpg","Фото")</f>
      </c>
    </row>
    <row r="3195">
      <c r="A3195" s="7">
        <f>HYPERLINK("http://www.lingerieopt.ru/item/4871-zhenstvennji-korset-empressia/","4871")</f>
      </c>
      <c r="B3195" s="8" t="s">
        <v>3187</v>
      </c>
      <c r="C3195" s="9">
        <v>1828</v>
      </c>
      <c r="D3195" s="0">
        <v>5</v>
      </c>
      <c r="E3195" s="10">
        <f>HYPERLINK("http://www.lingerieopt.ru/images/original/e63eafea-5bfe-4b0f-82cc-8791d2d411d4.jpg","Фото")</f>
      </c>
    </row>
    <row r="3196">
      <c r="A3196" s="7">
        <f>HYPERLINK("http://www.lingerieopt.ru/item/4871-zhenstvennji-korset-empressia/","4871")</f>
      </c>
      <c r="B3196" s="8" t="s">
        <v>3188</v>
      </c>
      <c r="C3196" s="9">
        <v>1828</v>
      </c>
      <c r="D3196" s="0">
        <v>2</v>
      </c>
      <c r="E3196" s="10">
        <f>HYPERLINK("http://www.lingerieopt.ru/images/original/e63eafea-5bfe-4b0f-82cc-8791d2d411d4.jpg","Фото")</f>
      </c>
    </row>
    <row r="3197">
      <c r="A3197" s="7">
        <f>HYPERLINK("http://www.lingerieopt.ru/item/4979-elegantnji-korsazh-zahara-s-kruzhevom/","4979")</f>
      </c>
      <c r="B3197" s="8" t="s">
        <v>3189</v>
      </c>
      <c r="C3197" s="9">
        <v>2163</v>
      </c>
      <c r="D3197" s="0">
        <v>1</v>
      </c>
      <c r="E3197" s="10">
        <f>HYPERLINK("http://www.lingerieopt.ru/images/original/53c7cbc3-826f-40ce-b5e3-5ced2dd9bfc7.jpg","Фото")</f>
      </c>
    </row>
    <row r="3198">
      <c r="A3198" s="7">
        <f>HYPERLINK("http://www.lingerieopt.ru/item/4982-korsazh-kalia-s-originalnjm-kruzhevom/","4982")</f>
      </c>
      <c r="B3198" s="8" t="s">
        <v>3190</v>
      </c>
      <c r="C3198" s="9">
        <v>2188</v>
      </c>
      <c r="D3198" s="0">
        <v>5</v>
      </c>
      <c r="E3198" s="10">
        <f>HYPERLINK("http://www.lingerieopt.ru/images/original/b13dfb0f-582d-4d0e-830f-b46b28630219.jpg","Фото")</f>
      </c>
    </row>
    <row r="3199">
      <c r="A3199" s="7">
        <f>HYPERLINK("http://www.lingerieopt.ru/item/5008-korsazh-creda-s-azhurnoi-verhnei-chastyu/","5008")</f>
      </c>
      <c r="B3199" s="8" t="s">
        <v>3191</v>
      </c>
      <c r="C3199" s="9">
        <v>2163</v>
      </c>
      <c r="D3199" s="0">
        <v>5</v>
      </c>
      <c r="E3199" s="10">
        <f>HYPERLINK("http://www.lingerieopt.ru/images/original/bd9e57a9-0ee6-4361-8505-a241c3bf535e.jpg","Фото")</f>
      </c>
    </row>
    <row r="3200">
      <c r="A3200" s="7">
        <f>HYPERLINK("http://www.lingerieopt.ru/item/5151-azhurnji-korsazh-jessie-s-cvetochnjm-uzorom-i-oborkami/","5151")</f>
      </c>
      <c r="B3200" s="8" t="s">
        <v>3192</v>
      </c>
      <c r="C3200" s="9">
        <v>2077</v>
      </c>
      <c r="D3200" s="0">
        <v>2</v>
      </c>
      <c r="E3200" s="10">
        <f>HYPERLINK("http://www.lingerieopt.ru/images/original/ea60b7b1-427c-47f1-bbc9-54381c824421.jpg","Фото")</f>
      </c>
    </row>
    <row r="3201">
      <c r="A3201" s="7">
        <f>HYPERLINK("http://www.lingerieopt.ru/item/5151-azhurnji-korsazh-jessie-s-cvetochnjm-uzorom-i-oborkami/","5151")</f>
      </c>
      <c r="B3201" s="8" t="s">
        <v>3193</v>
      </c>
      <c r="C3201" s="9">
        <v>2077</v>
      </c>
      <c r="D3201" s="0">
        <v>1</v>
      </c>
      <c r="E3201" s="10">
        <f>HYPERLINK("http://www.lingerieopt.ru/images/original/ea60b7b1-427c-47f1-bbc9-54381c824421.jpg","Фото")</f>
      </c>
    </row>
    <row r="3202">
      <c r="A3202" s="7">
        <f>HYPERLINK("http://www.lingerieopt.ru/item/5324-elegantnji-korsazh-gill-so-shnurovkoi/","5324")</f>
      </c>
      <c r="B3202" s="8" t="s">
        <v>3194</v>
      </c>
      <c r="C3202" s="9">
        <v>2022</v>
      </c>
      <c r="D3202" s="0">
        <v>2</v>
      </c>
      <c r="E3202" s="10">
        <f>HYPERLINK("http://www.lingerieopt.ru/images/original/ee40b9ac-9a43-4466-9cb6-e1467d43d762.jpg","Фото")</f>
      </c>
    </row>
    <row r="3203">
      <c r="A3203" s="7">
        <f>HYPERLINK("http://www.lingerieopt.ru/item/5324-elegantnji-korsazh-gill-so-shnurovkoi/","5324")</f>
      </c>
      <c r="B3203" s="8" t="s">
        <v>3195</v>
      </c>
      <c r="C3203" s="9">
        <v>2022</v>
      </c>
      <c r="D3203" s="0">
        <v>2</v>
      </c>
      <c r="E3203" s="10">
        <f>HYPERLINK("http://www.lingerieopt.ru/images/original/ee40b9ac-9a43-4466-9cb6-e1467d43d762.jpg","Фото")</f>
      </c>
    </row>
    <row r="3204">
      <c r="A3204" s="7">
        <f>HYPERLINK("http://www.lingerieopt.ru/item/5324-elegantnji-korsazh-gill-so-shnurovkoi/","5324")</f>
      </c>
      <c r="B3204" s="8" t="s">
        <v>3196</v>
      </c>
      <c r="C3204" s="9">
        <v>2022</v>
      </c>
      <c r="D3204" s="0">
        <v>3</v>
      </c>
      <c r="E3204" s="10">
        <f>HYPERLINK("http://www.lingerieopt.ru/images/original/ee40b9ac-9a43-4466-9cb6-e1467d43d762.jpg","Фото")</f>
      </c>
    </row>
    <row r="3205">
      <c r="A3205" s="7">
        <f>HYPERLINK("http://www.lingerieopt.ru/item/5379-poluprozrachnji-korsazh-daria-s-lifom-na-kostochkah/","5379")</f>
      </c>
      <c r="B3205" s="8" t="s">
        <v>3197</v>
      </c>
      <c r="C3205" s="9">
        <v>2264</v>
      </c>
      <c r="D3205" s="0">
        <v>0</v>
      </c>
      <c r="E3205" s="10">
        <f>HYPERLINK("http://www.lingerieopt.ru/images/original/9f0a2e7a-b600-40b2-b802-7c39e70d362f.jpg","Фото")</f>
      </c>
    </row>
    <row r="3206">
      <c r="A3206" s="7">
        <f>HYPERLINK("http://www.lingerieopt.ru/item/5379-poluprozrachnji-korsazh-daria-s-lifom-na-kostochkah/","5379")</f>
      </c>
      <c r="B3206" s="8" t="s">
        <v>3198</v>
      </c>
      <c r="C3206" s="9">
        <v>2264</v>
      </c>
      <c r="D3206" s="0">
        <v>3</v>
      </c>
      <c r="E3206" s="10">
        <f>HYPERLINK("http://www.lingerieopt.ru/images/original/9f0a2e7a-b600-40b2-b802-7c39e70d362f.jpg","Фото")</f>
      </c>
    </row>
    <row r="3207">
      <c r="A3207" s="7">
        <f>HYPERLINK("http://www.lingerieopt.ru/item/5379-poluprozrachnji-korsazh-daria-s-lifom-na-kostochkah/","5379")</f>
      </c>
      <c r="B3207" s="8" t="s">
        <v>3199</v>
      </c>
      <c r="C3207" s="9">
        <v>2264</v>
      </c>
      <c r="D3207" s="0">
        <v>4</v>
      </c>
      <c r="E3207" s="10">
        <f>HYPERLINK("http://www.lingerieopt.ru/images/original/9f0a2e7a-b600-40b2-b802-7c39e70d362f.jpg","Фото")</f>
      </c>
    </row>
    <row r="3208">
      <c r="A3208" s="7">
        <f>HYPERLINK("http://www.lingerieopt.ru/item/5379-poluprozrachnji-korsazh-daria-s-lifom-na-kostochkah/","5379")</f>
      </c>
      <c r="B3208" s="8" t="s">
        <v>3200</v>
      </c>
      <c r="C3208" s="9">
        <v>2264</v>
      </c>
      <c r="D3208" s="0">
        <v>4</v>
      </c>
      <c r="E3208" s="10">
        <f>HYPERLINK("http://www.lingerieopt.ru/images/original/9f0a2e7a-b600-40b2-b802-7c39e70d362f.jpg","Фото")</f>
      </c>
    </row>
    <row r="3209">
      <c r="A3209" s="7">
        <f>HYPERLINK("http://www.lingerieopt.ru/item/5379-poluprozrachnji-korsazh-daria-s-lifom-na-kostochkah/","5379")</f>
      </c>
      <c r="B3209" s="8" t="s">
        <v>3201</v>
      </c>
      <c r="C3209" s="9">
        <v>2264</v>
      </c>
      <c r="D3209" s="0">
        <v>3</v>
      </c>
      <c r="E3209" s="10">
        <f>HYPERLINK("http://www.lingerieopt.ru/images/original/9f0a2e7a-b600-40b2-b802-7c39e70d362f.jpg","Фото")</f>
      </c>
    </row>
    <row r="3210">
      <c r="A3210" s="7">
        <f>HYPERLINK("http://www.lingerieopt.ru/item/5379-poluprozrachnji-korsazh-daria-s-lifom-na-kostochkah/","5379")</f>
      </c>
      <c r="B3210" s="8" t="s">
        <v>3202</v>
      </c>
      <c r="C3210" s="9">
        <v>2264</v>
      </c>
      <c r="D3210" s="0">
        <v>3</v>
      </c>
      <c r="E3210" s="10">
        <f>HYPERLINK("http://www.lingerieopt.ru/images/original/9f0a2e7a-b600-40b2-b802-7c39e70d362f.jpg","Фото")</f>
      </c>
    </row>
    <row r="3211">
      <c r="A3211" s="7">
        <f>HYPERLINK("http://www.lingerieopt.ru/item/5712-originalnji-korset-s-beljmi-kak-na-podarke-lentami/","5712")</f>
      </c>
      <c r="B3211" s="8" t="s">
        <v>3203</v>
      </c>
      <c r="C3211" s="9">
        <v>1876</v>
      </c>
      <c r="D3211" s="0">
        <v>2</v>
      </c>
      <c r="E3211" s="10">
        <f>HYPERLINK("http://www.lingerieopt.ru/images/original/c7c08509-cfd9-48ae-8327-dcd6f8c03626.jpg","Фото")</f>
      </c>
    </row>
    <row r="3212">
      <c r="A3212" s="7">
        <f>HYPERLINK("http://www.lingerieopt.ru/item/5712-originalnji-korset-s-beljmi-kak-na-podarke-lentami/","5712")</f>
      </c>
      <c r="B3212" s="8" t="s">
        <v>3204</v>
      </c>
      <c r="C3212" s="9">
        <v>1876</v>
      </c>
      <c r="D3212" s="0">
        <v>3</v>
      </c>
      <c r="E3212" s="10">
        <f>HYPERLINK("http://www.lingerieopt.ru/images/original/c7c08509-cfd9-48ae-8327-dcd6f8c03626.jpg","Фото")</f>
      </c>
    </row>
    <row r="3213">
      <c r="A3213" s="7">
        <f>HYPERLINK("http://www.lingerieopt.ru/item/5712-originalnji-korset-s-beljmi-kak-na-podarke-lentami/","5712")</f>
      </c>
      <c r="B3213" s="8" t="s">
        <v>3205</v>
      </c>
      <c r="C3213" s="9">
        <v>1876</v>
      </c>
      <c r="D3213" s="0">
        <v>0</v>
      </c>
      <c r="E3213" s="10">
        <f>HYPERLINK("http://www.lingerieopt.ru/images/original/c7c08509-cfd9-48ae-8327-dcd6f8c03626.jpg","Фото")</f>
      </c>
    </row>
    <row r="3214">
      <c r="A3214" s="7">
        <f>HYPERLINK("http://www.lingerieopt.ru/item/5944-korsazh-chantal-s-otstegivayuschimsya-volanom/","5944")</f>
      </c>
      <c r="B3214" s="8" t="s">
        <v>3206</v>
      </c>
      <c r="C3214" s="9">
        <v>1743</v>
      </c>
      <c r="D3214" s="0">
        <v>6</v>
      </c>
      <c r="E3214" s="10">
        <f>HYPERLINK("http://www.lingerieopt.ru/images/original/a6b67df7-af9e-486c-8af2-7f49480ec626.jpg","Фото")</f>
      </c>
    </row>
    <row r="3215">
      <c r="A3215" s="7">
        <f>HYPERLINK("http://www.lingerieopt.ru/item/5944-korsazh-chantal-s-otstegivayuschimsya-volanom/","5944")</f>
      </c>
      <c r="B3215" s="8" t="s">
        <v>3207</v>
      </c>
      <c r="C3215" s="9">
        <v>1743</v>
      </c>
      <c r="D3215" s="0">
        <v>0</v>
      </c>
      <c r="E3215" s="10">
        <f>HYPERLINK("http://www.lingerieopt.ru/images/original/a6b67df7-af9e-486c-8af2-7f49480ec626.jpg","Фото")</f>
      </c>
    </row>
    <row r="3216">
      <c r="A3216" s="7">
        <f>HYPERLINK("http://www.lingerieopt.ru/item/5944-korsazh-chantal-s-otstegivayuschimsya-volanom/","5944")</f>
      </c>
      <c r="B3216" s="8" t="s">
        <v>3208</v>
      </c>
      <c r="C3216" s="9">
        <v>1743</v>
      </c>
      <c r="D3216" s="0">
        <v>5</v>
      </c>
      <c r="E3216" s="10">
        <f>HYPERLINK("http://www.lingerieopt.ru/images/original/a6b67df7-af9e-486c-8af2-7f49480ec626.jpg","Фото")</f>
      </c>
    </row>
    <row r="3217">
      <c r="A3217" s="7">
        <f>HYPERLINK("http://www.lingerieopt.ru/item/5944-korsazh-chantal-s-otstegivayuschimsya-volanom/","5944")</f>
      </c>
      <c r="B3217" s="8" t="s">
        <v>3209</v>
      </c>
      <c r="C3217" s="9">
        <v>1743</v>
      </c>
      <c r="D3217" s="0">
        <v>7</v>
      </c>
      <c r="E3217" s="10">
        <f>HYPERLINK("http://www.lingerieopt.ru/images/original/a6b67df7-af9e-486c-8af2-7f49480ec626.jpg","Фото")</f>
      </c>
    </row>
    <row r="3218">
      <c r="A3218" s="7">
        <f>HYPERLINK("http://www.lingerieopt.ru/item/5944-korsazh-chantal-s-otstegivayuschimsya-volanom/","5944")</f>
      </c>
      <c r="B3218" s="8" t="s">
        <v>3210</v>
      </c>
      <c r="C3218" s="9">
        <v>1743</v>
      </c>
      <c r="D3218" s="0">
        <v>8</v>
      </c>
      <c r="E3218" s="10">
        <f>HYPERLINK("http://www.lingerieopt.ru/images/original/a6b67df7-af9e-486c-8af2-7f49480ec626.jpg","Фото")</f>
      </c>
    </row>
    <row r="3219">
      <c r="A3219" s="7">
        <f>HYPERLINK("http://www.lingerieopt.ru/item/5944-korsazh-chantal-s-otstegivayuschimsya-volanom/","5944")</f>
      </c>
      <c r="B3219" s="8" t="s">
        <v>3211</v>
      </c>
      <c r="C3219" s="9">
        <v>1743</v>
      </c>
      <c r="D3219" s="0">
        <v>0</v>
      </c>
      <c r="E3219" s="10">
        <f>HYPERLINK("http://www.lingerieopt.ru/images/original/a6b67df7-af9e-486c-8af2-7f49480ec626.jpg","Фото")</f>
      </c>
    </row>
    <row r="3220">
      <c r="A3220" s="7">
        <f>HYPERLINK("http://www.lingerieopt.ru/item/6015-komplekt-iz-kruzhevnogo-korseta-s-trusikami/","6015")</f>
      </c>
      <c r="B3220" s="8" t="s">
        <v>3212</v>
      </c>
      <c r="C3220" s="9">
        <v>1949</v>
      </c>
      <c r="D3220" s="0">
        <v>6</v>
      </c>
      <c r="E3220" s="10">
        <f>HYPERLINK("http://www.lingerieopt.ru/images/original/f6f4928a-9252-4a67-ae04-8f45d0bce4a2.jpg","Фото")</f>
      </c>
    </row>
    <row r="3221">
      <c r="A3221" s="7">
        <f>HYPERLINK("http://www.lingerieopt.ru/item/6113-kruzhevnoe-byuste-s-risunkom-pod-leopard/","6113")</f>
      </c>
      <c r="B3221" s="8" t="s">
        <v>3213</v>
      </c>
      <c r="C3221" s="9">
        <v>3990</v>
      </c>
      <c r="D3221" s="0">
        <v>6</v>
      </c>
      <c r="E3221" s="10">
        <f>HYPERLINK("http://www.lingerieopt.ru/images/original/67e0c895-f1ba-4989-b50c-73bbe9054b69.jpg","Фото")</f>
      </c>
    </row>
    <row r="3222">
      <c r="A3222" s="7">
        <f>HYPERLINK("http://www.lingerieopt.ru/item/6113-kruzhevnoe-byuste-s-risunkom-pod-leopard/","6113")</f>
      </c>
      <c r="B3222" s="8" t="s">
        <v>3214</v>
      </c>
      <c r="C3222" s="9">
        <v>3990</v>
      </c>
      <c r="D3222" s="0">
        <v>6</v>
      </c>
      <c r="E3222" s="10">
        <f>HYPERLINK("http://www.lingerieopt.ru/images/original/67e0c895-f1ba-4989-b50c-73bbe9054b69.jpg","Фото")</f>
      </c>
    </row>
    <row r="3223">
      <c r="A3223" s="7">
        <f>HYPERLINK("http://www.lingerieopt.ru/item/6136-myagkoe-byuste-bez-kostochek/","6136")</f>
      </c>
      <c r="B3223" s="8" t="s">
        <v>3215</v>
      </c>
      <c r="C3223" s="9">
        <v>1949</v>
      </c>
      <c r="D3223" s="0">
        <v>30</v>
      </c>
      <c r="E3223" s="10">
        <f>HYPERLINK("http://www.lingerieopt.ru/images/original/fb213046-fbe3-41ff-b7aa-beb75a76ad0c.jpg","Фото")</f>
      </c>
    </row>
    <row r="3224">
      <c r="A3224" s="7">
        <f>HYPERLINK("http://www.lingerieopt.ru/item/6146-korset-s-blestyaschim-kruzhevom/","6146")</f>
      </c>
      <c r="B3224" s="8" t="s">
        <v>3216</v>
      </c>
      <c r="C3224" s="9">
        <v>4390</v>
      </c>
      <c r="D3224" s="0">
        <v>3</v>
      </c>
      <c r="E3224" s="10">
        <f>HYPERLINK("http://www.lingerieopt.ru/images/original/9362846c-2193-4928-b998-2ce853e723c8.jpg","Фото")</f>
      </c>
    </row>
    <row r="3225">
      <c r="A3225" s="7">
        <f>HYPERLINK("http://www.lingerieopt.ru/item/6146-korset-s-blestyaschim-kruzhevom/","6146")</f>
      </c>
      <c r="B3225" s="8" t="s">
        <v>3217</v>
      </c>
      <c r="C3225" s="9">
        <v>4390</v>
      </c>
      <c r="D3225" s="0">
        <v>1</v>
      </c>
      <c r="E3225" s="10">
        <f>HYPERLINK("http://www.lingerieopt.ru/images/original/9362846c-2193-4928-b998-2ce853e723c8.jpg","Фото")</f>
      </c>
    </row>
    <row r="3226">
      <c r="A3226" s="7">
        <f>HYPERLINK("http://www.lingerieopt.ru/item/6146-korset-s-blestyaschim-kruzhevom/","6146")</f>
      </c>
      <c r="B3226" s="8" t="s">
        <v>3218</v>
      </c>
      <c r="C3226" s="9">
        <v>4390</v>
      </c>
      <c r="D3226" s="0">
        <v>1</v>
      </c>
      <c r="E3226" s="10">
        <f>HYPERLINK("http://www.lingerieopt.ru/images/original/9362846c-2193-4928-b998-2ce853e723c8.jpg","Фото")</f>
      </c>
    </row>
    <row r="3227">
      <c r="A3227" s="7">
        <f>HYPERLINK("http://www.lingerieopt.ru/item/6152-korset-s-glubokim-dekolte-i-shnurovkoi/","6152")</f>
      </c>
      <c r="B3227" s="8" t="s">
        <v>3219</v>
      </c>
      <c r="C3227" s="9">
        <v>1787</v>
      </c>
      <c r="D3227" s="0">
        <v>6</v>
      </c>
      <c r="E3227" s="10">
        <f>HYPERLINK("http://www.lingerieopt.ru/images/original/4955741f-9ea1-4bac-961d-6866ae41de5e.jpg","Фото")</f>
      </c>
    </row>
    <row r="3228">
      <c r="A3228" s="7">
        <f>HYPERLINK("http://www.lingerieopt.ru/item/6156-komplekt-iz-kruzhevnogo-korseta-s-oborkoi-i-trusikov/","6156")</f>
      </c>
      <c r="B3228" s="8" t="s">
        <v>3220</v>
      </c>
      <c r="C3228" s="9">
        <v>1949</v>
      </c>
      <c r="D3228" s="0">
        <v>6</v>
      </c>
      <c r="E3228" s="10">
        <f>HYPERLINK("http://www.lingerieopt.ru/images/original/e1356256-0371-4cb1-ba12-ce54294015d4.jpg","Фото")</f>
      </c>
    </row>
    <row r="3229">
      <c r="A3229" s="7">
        <f>HYPERLINK("http://www.lingerieopt.ru/item/6159-myagkoe-byuste-bez-kostochek/","6159")</f>
      </c>
      <c r="B3229" s="8" t="s">
        <v>3221</v>
      </c>
      <c r="C3229" s="9">
        <v>1949</v>
      </c>
      <c r="D3229" s="0">
        <v>30</v>
      </c>
      <c r="E3229" s="10">
        <f>HYPERLINK("http://www.lingerieopt.ru/images/original/3ba977f9-b1d1-4856-9920-eaecd0fb58a4.jpg","Фото")</f>
      </c>
    </row>
    <row r="3230">
      <c r="A3230" s="7">
        <f>HYPERLINK("http://www.lingerieopt.ru/item/6295-korsazh-victoria-s-kontrastnoi-strochkoi/","6295")</f>
      </c>
      <c r="B3230" s="8" t="s">
        <v>3222</v>
      </c>
      <c r="C3230" s="9">
        <v>1865</v>
      </c>
      <c r="D3230" s="0">
        <v>0</v>
      </c>
      <c r="E3230" s="10">
        <f>HYPERLINK("http://www.lingerieopt.ru/images/original/72a3d579-5177-478d-90f8-21978a73dfea.jpg","Фото")</f>
      </c>
    </row>
    <row r="3231">
      <c r="A3231" s="7">
        <f>HYPERLINK("http://www.lingerieopt.ru/item/6295-korsazh-victoria-s-kontrastnoi-strochkoi/","6295")</f>
      </c>
      <c r="B3231" s="8" t="s">
        <v>3223</v>
      </c>
      <c r="C3231" s="9">
        <v>1865</v>
      </c>
      <c r="D3231" s="0">
        <v>0</v>
      </c>
      <c r="E3231" s="10">
        <f>HYPERLINK("http://www.lingerieopt.ru/images/original/72a3d579-5177-478d-90f8-21978a73dfea.jpg","Фото")</f>
      </c>
    </row>
    <row r="3232">
      <c r="A3232" s="7">
        <f>HYPERLINK("http://www.lingerieopt.ru/item/6295-korsazh-victoria-s-kontrastnoi-strochkoi/","6295")</f>
      </c>
      <c r="B3232" s="8" t="s">
        <v>3224</v>
      </c>
      <c r="C3232" s="9">
        <v>1865</v>
      </c>
      <c r="D3232" s="0">
        <v>0</v>
      </c>
      <c r="E3232" s="10">
        <f>HYPERLINK("http://www.lingerieopt.ru/images/original/72a3d579-5177-478d-90f8-21978a73dfea.jpg","Фото")</f>
      </c>
    </row>
    <row r="3233">
      <c r="A3233" s="7">
        <f>HYPERLINK("http://www.lingerieopt.ru/item/6295-korsazh-victoria-s-kontrastnoi-strochkoi/","6295")</f>
      </c>
      <c r="B3233" s="8" t="s">
        <v>3225</v>
      </c>
      <c r="C3233" s="9">
        <v>1865</v>
      </c>
      <c r="D3233" s="0">
        <v>1</v>
      </c>
      <c r="E3233" s="10">
        <f>HYPERLINK("http://www.lingerieopt.ru/images/original/72a3d579-5177-478d-90f8-21978a73dfea.jpg","Фото")</f>
      </c>
    </row>
    <row r="3234">
      <c r="A3234" s="7">
        <f>HYPERLINK("http://www.lingerieopt.ru/item/6295-korsazh-victoria-s-kontrastnoi-strochkoi/","6295")</f>
      </c>
      <c r="B3234" s="8" t="s">
        <v>3226</v>
      </c>
      <c r="C3234" s="9">
        <v>1865</v>
      </c>
      <c r="D3234" s="0">
        <v>1</v>
      </c>
      <c r="E3234" s="10">
        <f>HYPERLINK("http://www.lingerieopt.ru/images/original/72a3d579-5177-478d-90f8-21978a73dfea.jpg","Фото")</f>
      </c>
    </row>
    <row r="3235">
      <c r="A3235" s="7">
        <f>HYPERLINK("http://www.lingerieopt.ru/item/6296-korsazh-elvire-s-tonkimi-poloskami-setki/","6296")</f>
      </c>
      <c r="B3235" s="8" t="s">
        <v>3227</v>
      </c>
      <c r="C3235" s="9">
        <v>2324</v>
      </c>
      <c r="D3235" s="0">
        <v>20</v>
      </c>
      <c r="E3235" s="10">
        <f>HYPERLINK("http://www.lingerieopt.ru/images/original/211a9dcd-2e28-4f1a-83da-c9de422b1e3a.jpg","Фото")</f>
      </c>
    </row>
    <row r="3236">
      <c r="A3236" s="7">
        <f>HYPERLINK("http://www.lingerieopt.ru/item/6296-korsazh-elvire-s-tonkimi-poloskami-setki/","6296")</f>
      </c>
      <c r="B3236" s="8" t="s">
        <v>3228</v>
      </c>
      <c r="C3236" s="9">
        <v>2324</v>
      </c>
      <c r="D3236" s="0">
        <v>21</v>
      </c>
      <c r="E3236" s="10">
        <f>HYPERLINK("http://www.lingerieopt.ru/images/original/211a9dcd-2e28-4f1a-83da-c9de422b1e3a.jpg","Фото")</f>
      </c>
    </row>
    <row r="3237">
      <c r="A3237" s="7">
        <f>HYPERLINK("http://www.lingerieopt.ru/item/6296-korsazh-elvire-s-tonkimi-poloskami-setki/","6296")</f>
      </c>
      <c r="B3237" s="8" t="s">
        <v>3229</v>
      </c>
      <c r="C3237" s="9">
        <v>2324</v>
      </c>
      <c r="D3237" s="0">
        <v>3</v>
      </c>
      <c r="E3237" s="10">
        <f>HYPERLINK("http://www.lingerieopt.ru/images/original/211a9dcd-2e28-4f1a-83da-c9de422b1e3a.jpg","Фото")</f>
      </c>
    </row>
    <row r="3238">
      <c r="A3238" s="7">
        <f>HYPERLINK("http://www.lingerieopt.ru/item/6296-korsazh-elvire-s-tonkimi-poloskami-setki/","6296")</f>
      </c>
      <c r="B3238" s="8" t="s">
        <v>3230</v>
      </c>
      <c r="C3238" s="9">
        <v>2324</v>
      </c>
      <c r="D3238" s="0">
        <v>9</v>
      </c>
      <c r="E3238" s="10">
        <f>HYPERLINK("http://www.lingerieopt.ru/images/original/211a9dcd-2e28-4f1a-83da-c9de422b1e3a.jpg","Фото")</f>
      </c>
    </row>
    <row r="3239">
      <c r="A3239" s="7">
        <f>HYPERLINK("http://www.lingerieopt.ru/item/6316-korsazh-chloe-s-cvetochnjm-risunkom/","6316")</f>
      </c>
      <c r="B3239" s="8" t="s">
        <v>3231</v>
      </c>
      <c r="C3239" s="9">
        <v>2358</v>
      </c>
      <c r="D3239" s="0">
        <v>1</v>
      </c>
      <c r="E3239" s="10">
        <f>HYPERLINK("http://www.lingerieopt.ru/images/original/2438d78a-dd74-4f00-b406-333f79033db0.jpg","Фото")</f>
      </c>
    </row>
    <row r="3240">
      <c r="A3240" s="7">
        <f>HYPERLINK("http://www.lingerieopt.ru/item/6316-korsazh-chloe-s-cvetochnjm-risunkom/","6316")</f>
      </c>
      <c r="B3240" s="8" t="s">
        <v>3232</v>
      </c>
      <c r="C3240" s="9">
        <v>2358</v>
      </c>
      <c r="D3240" s="0">
        <v>2</v>
      </c>
      <c r="E3240" s="10">
        <f>HYPERLINK("http://www.lingerieopt.ru/images/original/2438d78a-dd74-4f00-b406-333f79033db0.jpg","Фото")</f>
      </c>
    </row>
    <row r="3241">
      <c r="A3241" s="7">
        <f>HYPERLINK("http://www.lingerieopt.ru/item/6316-korsazh-chloe-s-cvetochnjm-risunkom/","6316")</f>
      </c>
      <c r="B3241" s="8" t="s">
        <v>3233</v>
      </c>
      <c r="C3241" s="9">
        <v>2358</v>
      </c>
      <c r="D3241" s="0">
        <v>5</v>
      </c>
      <c r="E3241" s="10">
        <f>HYPERLINK("http://www.lingerieopt.ru/images/original/2438d78a-dd74-4f00-b406-333f79033db0.jpg","Фото")</f>
      </c>
    </row>
    <row r="3242">
      <c r="A3242" s="7">
        <f>HYPERLINK("http://www.lingerieopt.ru/item/6316-korsazh-chloe-s-cvetochnjm-risunkom/","6316")</f>
      </c>
      <c r="B3242" s="8" t="s">
        <v>3234</v>
      </c>
      <c r="C3242" s="9">
        <v>2358</v>
      </c>
      <c r="D3242" s="0">
        <v>0</v>
      </c>
      <c r="E3242" s="10">
        <f>HYPERLINK("http://www.lingerieopt.ru/images/original/2438d78a-dd74-4f00-b406-333f79033db0.jpg","Фото")</f>
      </c>
    </row>
    <row r="3243">
      <c r="A3243" s="7">
        <f>HYPERLINK("http://www.lingerieopt.ru/item/6316-korsazh-chloe-s-cvetochnjm-risunkom/","6316")</f>
      </c>
      <c r="B3243" s="8" t="s">
        <v>3235</v>
      </c>
      <c r="C3243" s="9">
        <v>2358</v>
      </c>
      <c r="D3243" s="0">
        <v>1</v>
      </c>
      <c r="E3243" s="10">
        <f>HYPERLINK("http://www.lingerieopt.ru/images/original/2438d78a-dd74-4f00-b406-333f79033db0.jpg","Фото")</f>
      </c>
    </row>
    <row r="3244">
      <c r="A3244" s="7">
        <f>HYPERLINK("http://www.lingerieopt.ru/item/6316-korsazh-chloe-s-cvetochnjm-risunkom/","6316")</f>
      </c>
      <c r="B3244" s="8" t="s">
        <v>3236</v>
      </c>
      <c r="C3244" s="9">
        <v>2358</v>
      </c>
      <c r="D3244" s="0">
        <v>0</v>
      </c>
      <c r="E3244" s="10">
        <f>HYPERLINK("http://www.lingerieopt.ru/images/original/2438d78a-dd74-4f00-b406-333f79033db0.jpg","Фото")</f>
      </c>
    </row>
    <row r="3245">
      <c r="A3245" s="7">
        <f>HYPERLINK("http://www.lingerieopt.ru/item/6322-roskoshnji-korsazh-fibi-cveta-kofe-s-molokom/","6322")</f>
      </c>
      <c r="B3245" s="8" t="s">
        <v>3237</v>
      </c>
      <c r="C3245" s="9">
        <v>2529</v>
      </c>
      <c r="D3245" s="0">
        <v>2</v>
      </c>
      <c r="E3245" s="10">
        <f>HYPERLINK("http://www.lingerieopt.ru/images/original/bb1e98b1-74db-4007-a724-950277074cf7.jpg","Фото")</f>
      </c>
    </row>
    <row r="3246">
      <c r="A3246" s="7">
        <f>HYPERLINK("http://www.lingerieopt.ru/item/6322-roskoshnji-korsazh-fibi-cveta-kofe-s-molokom/","6322")</f>
      </c>
      <c r="B3246" s="8" t="s">
        <v>3238</v>
      </c>
      <c r="C3246" s="9">
        <v>2529</v>
      </c>
      <c r="D3246" s="0">
        <v>4</v>
      </c>
      <c r="E3246" s="10">
        <f>HYPERLINK("http://www.lingerieopt.ru/images/original/bb1e98b1-74db-4007-a724-950277074cf7.jpg","Фото")</f>
      </c>
    </row>
    <row r="3247">
      <c r="A3247" s="7">
        <f>HYPERLINK("http://www.lingerieopt.ru/item/6323-azhurnoe-byuste-s-pazhami/","6323")</f>
      </c>
      <c r="B3247" s="8" t="s">
        <v>3239</v>
      </c>
      <c r="C3247" s="9">
        <v>2766</v>
      </c>
      <c r="D3247" s="0">
        <v>4</v>
      </c>
      <c r="E3247" s="10">
        <f>HYPERLINK("http://www.lingerieopt.ru/images/original/a15c0889-ed08-464d-ad0c-1eb578f081b3.jpg","Фото")</f>
      </c>
    </row>
    <row r="3248">
      <c r="A3248" s="7">
        <f>HYPERLINK("http://www.lingerieopt.ru/item/6323-azhurnoe-byuste-s-pazhami/","6323")</f>
      </c>
      <c r="B3248" s="8" t="s">
        <v>3240</v>
      </c>
      <c r="C3248" s="9">
        <v>2766</v>
      </c>
      <c r="D3248" s="0">
        <v>8</v>
      </c>
      <c r="E3248" s="10">
        <f>HYPERLINK("http://www.lingerieopt.ru/images/original/a15c0889-ed08-464d-ad0c-1eb578f081b3.jpg","Фото")</f>
      </c>
    </row>
    <row r="3249">
      <c r="A3249" s="7">
        <f>HYPERLINK("http://www.lingerieopt.ru/item/6323-azhurnoe-byuste-s-pazhami/","6323")</f>
      </c>
      <c r="B3249" s="8" t="s">
        <v>3241</v>
      </c>
      <c r="C3249" s="9">
        <v>2766</v>
      </c>
      <c r="D3249" s="0">
        <v>11</v>
      </c>
      <c r="E3249" s="10">
        <f>HYPERLINK("http://www.lingerieopt.ru/images/original/a15c0889-ed08-464d-ad0c-1eb578f081b3.jpg","Фото")</f>
      </c>
    </row>
    <row r="3250">
      <c r="A3250" s="7">
        <f>HYPERLINK("http://www.lingerieopt.ru/item/6323-azhurnoe-byuste-s-pazhami/","6323")</f>
      </c>
      <c r="B3250" s="8" t="s">
        <v>3242</v>
      </c>
      <c r="C3250" s="9">
        <v>2766</v>
      </c>
      <c r="D3250" s="0">
        <v>0</v>
      </c>
      <c r="E3250" s="10">
        <f>HYPERLINK("http://www.lingerieopt.ru/images/original/a15c0889-ed08-464d-ad0c-1eb578f081b3.jpg","Фото")</f>
      </c>
    </row>
    <row r="3251">
      <c r="A3251" s="7">
        <f>HYPERLINK("http://www.lingerieopt.ru/item/6323-azhurnoe-byuste-s-pazhami/","6323")</f>
      </c>
      <c r="B3251" s="8" t="s">
        <v>3243</v>
      </c>
      <c r="C3251" s="9">
        <v>2766</v>
      </c>
      <c r="D3251" s="0">
        <v>3</v>
      </c>
      <c r="E3251" s="10">
        <f>HYPERLINK("http://www.lingerieopt.ru/images/original/a15c0889-ed08-464d-ad0c-1eb578f081b3.jpg","Фото")</f>
      </c>
    </row>
    <row r="3252">
      <c r="A3252" s="7">
        <f>HYPERLINK("http://www.lingerieopt.ru/item/6323-azhurnoe-byuste-s-pazhami/","6323")</f>
      </c>
      <c r="B3252" s="8" t="s">
        <v>3244</v>
      </c>
      <c r="C3252" s="9">
        <v>2766</v>
      </c>
      <c r="D3252" s="0">
        <v>4</v>
      </c>
      <c r="E3252" s="10">
        <f>HYPERLINK("http://www.lingerieopt.ru/images/original/a15c0889-ed08-464d-ad0c-1eb578f081b3.jpg","Фото")</f>
      </c>
    </row>
    <row r="3253">
      <c r="A3253" s="7">
        <f>HYPERLINK("http://www.lingerieopt.ru/item/6396-derzkii-korsazh-agathe-s-effektom-mokroi-tkani/","6396")</f>
      </c>
      <c r="B3253" s="8" t="s">
        <v>3245</v>
      </c>
      <c r="C3253" s="9">
        <v>2183</v>
      </c>
      <c r="D3253" s="0">
        <v>0</v>
      </c>
      <c r="E3253" s="10">
        <f>HYPERLINK("http://www.lingerieopt.ru/images/original/a359dc10-d0c2-4ae7-9b38-7141baf37959.jpg","Фото")</f>
      </c>
    </row>
    <row r="3254">
      <c r="A3254" s="7">
        <f>HYPERLINK("http://www.lingerieopt.ru/item/6396-derzkii-korsazh-agathe-s-effektom-mokroi-tkani/","6396")</f>
      </c>
      <c r="B3254" s="8" t="s">
        <v>3246</v>
      </c>
      <c r="C3254" s="9">
        <v>2183</v>
      </c>
      <c r="D3254" s="0">
        <v>3</v>
      </c>
      <c r="E3254" s="10">
        <f>HYPERLINK("http://www.lingerieopt.ru/images/original/a359dc10-d0c2-4ae7-9b38-7141baf37959.jpg","Фото")</f>
      </c>
    </row>
    <row r="3255">
      <c r="A3255" s="7">
        <f>HYPERLINK("http://www.lingerieopt.ru/item/6397-korsazh-elvire-premium-s-tonkimi-poloskami-setki-i-chulkami-v-komplekte/","6397")</f>
      </c>
      <c r="B3255" s="8" t="s">
        <v>3247</v>
      </c>
      <c r="C3255" s="9">
        <v>2789</v>
      </c>
      <c r="D3255" s="0">
        <v>8</v>
      </c>
      <c r="E3255" s="10">
        <f>HYPERLINK("http://www.lingerieopt.ru/images/original/c8583825-c11c-47b6-8b2f-9d43367f7e06.jpg","Фото")</f>
      </c>
    </row>
    <row r="3256">
      <c r="A3256" s="7">
        <f>HYPERLINK("http://www.lingerieopt.ru/item/6397-korsazh-elvire-premium-s-tonkimi-poloskami-setki-i-chulkami-v-komplekte/","6397")</f>
      </c>
      <c r="B3256" s="8" t="s">
        <v>3248</v>
      </c>
      <c r="C3256" s="9">
        <v>2789</v>
      </c>
      <c r="D3256" s="0">
        <v>19</v>
      </c>
      <c r="E3256" s="10">
        <f>HYPERLINK("http://www.lingerieopt.ru/images/original/c8583825-c11c-47b6-8b2f-9d43367f7e06.jpg","Фото")</f>
      </c>
    </row>
    <row r="3257">
      <c r="A3257" s="7">
        <f>HYPERLINK("http://www.lingerieopt.ru/item/6397-korsazh-elvire-premium-s-tonkimi-poloskami-setki-i-chulkami-v-komplekte/","6397")</f>
      </c>
      <c r="B3257" s="8" t="s">
        <v>3249</v>
      </c>
      <c r="C3257" s="9">
        <v>2789</v>
      </c>
      <c r="D3257" s="0">
        <v>8</v>
      </c>
      <c r="E3257" s="10">
        <f>HYPERLINK("http://www.lingerieopt.ru/images/original/c8583825-c11c-47b6-8b2f-9d43367f7e06.jpg","Фото")</f>
      </c>
    </row>
    <row r="3258">
      <c r="A3258" s="7">
        <f>HYPERLINK("http://www.lingerieopt.ru/item/6397-korsazh-elvire-premium-s-tonkimi-poloskami-setki-i-chulkami-v-komplekte/","6397")</f>
      </c>
      <c r="B3258" s="8" t="s">
        <v>3250</v>
      </c>
      <c r="C3258" s="9">
        <v>2789</v>
      </c>
      <c r="D3258" s="0">
        <v>10</v>
      </c>
      <c r="E3258" s="10">
        <f>HYPERLINK("http://www.lingerieopt.ru/images/original/c8583825-c11c-47b6-8b2f-9d43367f7e06.jpg","Фото")</f>
      </c>
    </row>
    <row r="3259">
      <c r="A3259" s="7">
        <f>HYPERLINK("http://www.lingerieopt.ru/item/6413-korsazh-lasedi-s-vjrezom-serdechkom-na-grudi/","6413")</f>
      </c>
      <c r="B3259" s="8" t="s">
        <v>3251</v>
      </c>
      <c r="C3259" s="9">
        <v>1221</v>
      </c>
      <c r="D3259" s="0">
        <v>2</v>
      </c>
      <c r="E3259" s="10">
        <f>HYPERLINK("http://www.lingerieopt.ru/images/original/c35e703d-ac4b-4737-834e-1b6fd706279d.jpg","Фото")</f>
      </c>
    </row>
    <row r="3260">
      <c r="A3260" s="7">
        <f>HYPERLINK("http://www.lingerieopt.ru/item/6413-korsazh-lasedi-s-vjrezom-serdechkom-na-grudi/","6413")</f>
      </c>
      <c r="B3260" s="8" t="s">
        <v>3252</v>
      </c>
      <c r="C3260" s="9">
        <v>1221</v>
      </c>
      <c r="D3260" s="0">
        <v>2</v>
      </c>
      <c r="E3260" s="10">
        <f>HYPERLINK("http://www.lingerieopt.ru/images/original/c35e703d-ac4b-4737-834e-1b6fd706279d.jpg","Фото")</f>
      </c>
    </row>
    <row r="3261">
      <c r="A3261" s="7">
        <f>HYPERLINK("http://www.lingerieopt.ru/item/6417-korset-irma-s-kruzhevnjmi-vstavkami-i-ryushei-po-nizu/","6417")</f>
      </c>
      <c r="B3261" s="8" t="s">
        <v>3253</v>
      </c>
      <c r="C3261" s="9">
        <v>2129</v>
      </c>
      <c r="D3261" s="0">
        <v>1</v>
      </c>
      <c r="E3261" s="10">
        <f>HYPERLINK("http://www.lingerieopt.ru/images/original/4a1fe8ee-f76e-4445-9ee0-50229e7479af.jpg","Фото")</f>
      </c>
    </row>
    <row r="3262">
      <c r="A3262" s="7">
        <f>HYPERLINK("http://www.lingerieopt.ru/item/6417-korset-irma-s-kruzhevnjmi-vstavkami-i-ryushei-po-nizu/","6417")</f>
      </c>
      <c r="B3262" s="8" t="s">
        <v>3254</v>
      </c>
      <c r="C3262" s="9">
        <v>2129</v>
      </c>
      <c r="D3262" s="0">
        <v>0</v>
      </c>
      <c r="E3262" s="10">
        <f>HYPERLINK("http://www.lingerieopt.ru/images/original/4a1fe8ee-f76e-4445-9ee0-50229e7479af.jpg","Фото")</f>
      </c>
    </row>
    <row r="3263">
      <c r="A3263" s="7">
        <f>HYPERLINK("http://www.lingerieopt.ru/item/6453-korsazh-blanchet-s-oborkami-i-kruzhevami/","6453")</f>
      </c>
      <c r="B3263" s="8" t="s">
        <v>3255</v>
      </c>
      <c r="C3263" s="9">
        <v>1766</v>
      </c>
      <c r="D3263" s="0">
        <v>0</v>
      </c>
      <c r="E3263" s="10">
        <f>HYPERLINK("http://www.lingerieopt.ru/images/original/dc4cb81f-1d8d-4414-aff0-cd3c77f21f94.jpg","Фото")</f>
      </c>
    </row>
    <row r="3264">
      <c r="A3264" s="7">
        <f>HYPERLINK("http://www.lingerieopt.ru/item/6453-korsazh-blanchet-s-oborkami-i-kruzhevami/","6453")</f>
      </c>
      <c r="B3264" s="8" t="s">
        <v>3256</v>
      </c>
      <c r="C3264" s="9">
        <v>1766</v>
      </c>
      <c r="D3264" s="0">
        <v>8</v>
      </c>
      <c r="E3264" s="10">
        <f>HYPERLINK("http://www.lingerieopt.ru/images/original/dc4cb81f-1d8d-4414-aff0-cd3c77f21f94.jpg","Фото")</f>
      </c>
    </row>
    <row r="3265">
      <c r="A3265" s="7">
        <f>HYPERLINK("http://www.lingerieopt.ru/item/6856-korsazh-top-miamor-v-komplekte-s-trusikami/","6856")</f>
      </c>
      <c r="B3265" s="8" t="s">
        <v>3257</v>
      </c>
      <c r="C3265" s="9">
        <v>3002</v>
      </c>
      <c r="D3265" s="0">
        <v>3</v>
      </c>
      <c r="E3265" s="10">
        <f>HYPERLINK("http://www.lingerieopt.ru/images/original/ade6c983-cb4c-4a40-80b1-c44242db132d.jpg","Фото")</f>
      </c>
    </row>
    <row r="3266">
      <c r="A3266" s="7">
        <f>HYPERLINK("http://www.lingerieopt.ru/item/6856-korsazh-top-miamor-v-komplekte-s-trusikami/","6856")</f>
      </c>
      <c r="B3266" s="8" t="s">
        <v>3258</v>
      </c>
      <c r="C3266" s="9">
        <v>3002</v>
      </c>
      <c r="D3266" s="0">
        <v>6</v>
      </c>
      <c r="E3266" s="10">
        <f>HYPERLINK("http://www.lingerieopt.ru/images/original/ade6c983-cb4c-4a40-80b1-c44242db132d.jpg","Фото")</f>
      </c>
    </row>
    <row r="3267">
      <c r="A3267" s="7">
        <f>HYPERLINK("http://www.lingerieopt.ru/item/6862-ocharovatelnji-korsazh-picantina/","6862")</f>
      </c>
      <c r="B3267" s="8" t="s">
        <v>3259</v>
      </c>
      <c r="C3267" s="9">
        <v>1886</v>
      </c>
      <c r="D3267" s="0">
        <v>1</v>
      </c>
      <c r="E3267" s="10">
        <f>HYPERLINK("http://www.lingerieopt.ru/images/original/f0ed3a7c-2d07-44f8-b637-608070e8813d.jpg","Фото")</f>
      </c>
    </row>
    <row r="3268">
      <c r="A3268" s="7">
        <f>HYPERLINK("http://www.lingerieopt.ru/item/6862-ocharovatelnji-korsazh-picantina/","6862")</f>
      </c>
      <c r="B3268" s="8" t="s">
        <v>3260</v>
      </c>
      <c r="C3268" s="9">
        <v>1886</v>
      </c>
      <c r="D3268" s="0">
        <v>0</v>
      </c>
      <c r="E3268" s="10">
        <f>HYPERLINK("http://www.lingerieopt.ru/images/original/f0ed3a7c-2d07-44f8-b637-608070e8813d.jpg","Фото")</f>
      </c>
    </row>
    <row r="3269">
      <c r="A3269" s="7">
        <f>HYPERLINK("http://www.lingerieopt.ru/item/6886-poluprozrachnji-korsazh-musca-s-bordovjm-kruzhevom/","6886")</f>
      </c>
      <c r="B3269" s="8" t="s">
        <v>3261</v>
      </c>
      <c r="C3269" s="9">
        <v>2082</v>
      </c>
      <c r="D3269" s="0">
        <v>1</v>
      </c>
      <c r="E3269" s="10">
        <f>HYPERLINK("http://www.lingerieopt.ru/images/original/19d65913-4b9d-42c6-befe-3c43df442820.jpg","Фото")</f>
      </c>
    </row>
    <row r="3270">
      <c r="A3270" s="7">
        <f>HYPERLINK("http://www.lingerieopt.ru/item/6886-poluprozrachnji-korsazh-musca-s-bordovjm-kruzhevom/","6886")</f>
      </c>
      <c r="B3270" s="8" t="s">
        <v>3262</v>
      </c>
      <c r="C3270" s="9">
        <v>2082</v>
      </c>
      <c r="D3270" s="0">
        <v>4</v>
      </c>
      <c r="E3270" s="10">
        <f>HYPERLINK("http://www.lingerieopt.ru/images/original/19d65913-4b9d-42c6-befe-3c43df442820.jpg","Фото")</f>
      </c>
    </row>
    <row r="3271">
      <c r="A3271" s="7">
        <f>HYPERLINK("http://www.lingerieopt.ru/item/6976-korsazh-emi-s-verevkami-dlya-svyazjvaniya/","6976")</f>
      </c>
      <c r="B3271" s="8" t="s">
        <v>3263</v>
      </c>
      <c r="C3271" s="9">
        <v>3503</v>
      </c>
      <c r="D3271" s="0">
        <v>8</v>
      </c>
      <c r="E3271" s="10">
        <f>HYPERLINK("http://www.lingerieopt.ru/images/original/e61ecb1b-9c04-40f9-b950-42b4716ebb09.jpg","Фото")</f>
      </c>
    </row>
    <row r="3272">
      <c r="A3272" s="7">
        <f>HYPERLINK("http://www.lingerieopt.ru/item/6976-korsazh-emi-s-verevkami-dlya-svyazjvaniya/","6976")</f>
      </c>
      <c r="B3272" s="8" t="s">
        <v>3264</v>
      </c>
      <c r="C3272" s="9">
        <v>3503</v>
      </c>
      <c r="D3272" s="0">
        <v>4</v>
      </c>
      <c r="E3272" s="10">
        <f>HYPERLINK("http://www.lingerieopt.ru/images/original/e61ecb1b-9c04-40f9-b950-42b4716ebb09.jpg","Фото")</f>
      </c>
    </row>
    <row r="3273">
      <c r="A3273" s="7">
        <f>HYPERLINK("http://www.lingerieopt.ru/item/6976-korsazh-emi-s-verevkami-dlya-svyazjvaniya/","6976")</f>
      </c>
      <c r="B3273" s="8" t="s">
        <v>3265</v>
      </c>
      <c r="C3273" s="9">
        <v>3503</v>
      </c>
      <c r="D3273" s="0">
        <v>2</v>
      </c>
      <c r="E3273" s="10">
        <f>HYPERLINK("http://www.lingerieopt.ru/images/original/e61ecb1b-9c04-40f9-b950-42b4716ebb09.jpg","Фото")</f>
      </c>
    </row>
    <row r="3274">
      <c r="A3274" s="7">
        <f>HYPERLINK("http://www.lingerieopt.ru/item/6976-korsazh-emi-s-verevkami-dlya-svyazjvaniya/","6976")</f>
      </c>
      <c r="B3274" s="8" t="s">
        <v>3266</v>
      </c>
      <c r="C3274" s="9">
        <v>3503</v>
      </c>
      <c r="D3274" s="0">
        <v>0</v>
      </c>
      <c r="E3274" s="10">
        <f>HYPERLINK("http://www.lingerieopt.ru/images/original/e61ecb1b-9c04-40f9-b950-42b4716ebb09.jpg","Фото")</f>
      </c>
    </row>
    <row r="3275">
      <c r="A3275" s="7">
        <f>HYPERLINK("http://www.lingerieopt.ru/item/7035-byuste-s-kruzhevnoi-vstavkoi-speredi-i-trusiki/","7035")</f>
      </c>
      <c r="B3275" s="8" t="s">
        <v>3267</v>
      </c>
      <c r="C3275" s="9">
        <v>2024</v>
      </c>
      <c r="D3275" s="0">
        <v>6</v>
      </c>
      <c r="E3275" s="10">
        <f>HYPERLINK("http://www.lingerieopt.ru/images/original/3a92f3d7-452d-42a2-8e36-a56c1ac85099.jpg","Фото")</f>
      </c>
    </row>
    <row r="3276">
      <c r="A3276" s="7">
        <f>HYPERLINK("http://www.lingerieopt.ru/item/7035-byuste-s-kruzhevnoi-vstavkoi-speredi-i-trusiki/","7035")</f>
      </c>
      <c r="B3276" s="8" t="s">
        <v>3268</v>
      </c>
      <c r="C3276" s="9">
        <v>2024</v>
      </c>
      <c r="D3276" s="0">
        <v>6</v>
      </c>
      <c r="E3276" s="10">
        <f>HYPERLINK("http://www.lingerieopt.ru/images/original/3a92f3d7-452d-42a2-8e36-a56c1ac85099.jpg","Фото")</f>
      </c>
    </row>
    <row r="3277">
      <c r="A3277" s="7">
        <f>HYPERLINK("http://www.lingerieopt.ru/item/7035-byuste-s-kruzhevnoi-vstavkoi-speredi-i-trusiki/","7035")</f>
      </c>
      <c r="B3277" s="8" t="s">
        <v>3269</v>
      </c>
      <c r="C3277" s="9">
        <v>2024</v>
      </c>
      <c r="D3277" s="0">
        <v>30</v>
      </c>
      <c r="E3277" s="10">
        <f>HYPERLINK("http://www.lingerieopt.ru/images/original/3a92f3d7-452d-42a2-8e36-a56c1ac85099.jpg","Фото")</f>
      </c>
    </row>
    <row r="3278">
      <c r="A3278" s="7">
        <f>HYPERLINK("http://www.lingerieopt.ru/item/7035-byuste-s-kruzhevnoi-vstavkoi-speredi-i-trusiki/","7035")</f>
      </c>
      <c r="B3278" s="8" t="s">
        <v>3270</v>
      </c>
      <c r="C3278" s="9">
        <v>2024</v>
      </c>
      <c r="D3278" s="0">
        <v>30</v>
      </c>
      <c r="E3278" s="10">
        <f>HYPERLINK("http://www.lingerieopt.ru/images/original/3a92f3d7-452d-42a2-8e36-a56c1ac85099.jpg","Фото")</f>
      </c>
    </row>
    <row r="3279">
      <c r="A3279" s="7">
        <f>HYPERLINK("http://www.lingerieopt.ru/item/7038-byuste-s-poluprozrachnoi-spinkoi-i-lifom-push-ap/","7038")</f>
      </c>
      <c r="B3279" s="8" t="s">
        <v>3271</v>
      </c>
      <c r="C3279" s="9">
        <v>2024</v>
      </c>
      <c r="D3279" s="0">
        <v>6</v>
      </c>
      <c r="E3279" s="10">
        <f>HYPERLINK("http://www.lingerieopt.ru/images/original/3dff204b-acdb-4f59-9d76-ff64b7b93738.jpg","Фото")</f>
      </c>
    </row>
    <row r="3280">
      <c r="A3280" s="7">
        <f>HYPERLINK("http://www.lingerieopt.ru/item/7038-byuste-s-poluprozrachnoi-spinkoi-i-lifom-push-ap/","7038")</f>
      </c>
      <c r="B3280" s="8" t="s">
        <v>3272</v>
      </c>
      <c r="C3280" s="9">
        <v>2024</v>
      </c>
      <c r="D3280" s="0">
        <v>0</v>
      </c>
      <c r="E3280" s="10">
        <f>HYPERLINK("http://www.lingerieopt.ru/images/original/3dff204b-acdb-4f59-9d76-ff64b7b93738.jpg","Фото")</f>
      </c>
    </row>
    <row r="3281">
      <c r="A3281" s="7">
        <f>HYPERLINK("http://www.lingerieopt.ru/item/7038-byuste-s-poluprozrachnoi-spinkoi-i-lifom-push-ap/","7038")</f>
      </c>
      <c r="B3281" s="8" t="s">
        <v>3273</v>
      </c>
      <c r="C3281" s="9">
        <v>2024</v>
      </c>
      <c r="D3281" s="0">
        <v>0</v>
      </c>
      <c r="E3281" s="10">
        <f>HYPERLINK("http://www.lingerieopt.ru/images/original/3dff204b-acdb-4f59-9d76-ff64b7b93738.jpg","Фото")</f>
      </c>
    </row>
    <row r="3282">
      <c r="A3282" s="7">
        <f>HYPERLINK("http://www.lingerieopt.ru/item/7038-byuste-s-poluprozrachnoi-spinkoi-i-lifom-push-ap/","7038")</f>
      </c>
      <c r="B3282" s="8" t="s">
        <v>3274</v>
      </c>
      <c r="C3282" s="9">
        <v>2024</v>
      </c>
      <c r="D3282" s="0">
        <v>0</v>
      </c>
      <c r="E3282" s="10">
        <f>HYPERLINK("http://www.lingerieopt.ru/images/original/3dff204b-acdb-4f59-9d76-ff64b7b93738.jpg","Фото")</f>
      </c>
    </row>
    <row r="3283">
      <c r="A3283" s="7">
        <f>HYPERLINK("http://www.lingerieopt.ru/item/7039-oblegayuschee-byuste-s-cvetochnjm-kruzhevom-i-trusiki-string/","7039")</f>
      </c>
      <c r="B3283" s="8" t="s">
        <v>3275</v>
      </c>
      <c r="C3283" s="9">
        <v>2024</v>
      </c>
      <c r="D3283" s="0">
        <v>4</v>
      </c>
      <c r="E3283" s="10">
        <f>HYPERLINK("http://www.lingerieopt.ru/images/original/e144190c-327f-44a0-a3ec-67f88843d293.jpg","Фото")</f>
      </c>
    </row>
    <row r="3284">
      <c r="A3284" s="7">
        <f>HYPERLINK("http://www.lingerieopt.ru/item/7039-oblegayuschee-byuste-s-cvetochnjm-kruzhevom-i-trusiki-string/","7039")</f>
      </c>
      <c r="B3284" s="8" t="s">
        <v>3276</v>
      </c>
      <c r="C3284" s="9">
        <v>2024</v>
      </c>
      <c r="D3284" s="0">
        <v>6</v>
      </c>
      <c r="E3284" s="10">
        <f>HYPERLINK("http://www.lingerieopt.ru/images/original/e144190c-327f-44a0-a3ec-67f88843d293.jpg","Фото")</f>
      </c>
    </row>
    <row r="3285">
      <c r="A3285" s="7">
        <f>HYPERLINK("http://www.lingerieopt.ru/item/7039-oblegayuschee-byuste-s-cvetochnjm-kruzhevom-i-trusiki-string/","7039")</f>
      </c>
      <c r="B3285" s="8" t="s">
        <v>3277</v>
      </c>
      <c r="C3285" s="9">
        <v>2024</v>
      </c>
      <c r="D3285" s="0">
        <v>1</v>
      </c>
      <c r="E3285" s="10">
        <f>HYPERLINK("http://www.lingerieopt.ru/images/original/e144190c-327f-44a0-a3ec-67f88843d293.jpg","Фото")</f>
      </c>
    </row>
    <row r="3286">
      <c r="A3286" s="7">
        <f>HYPERLINK("http://www.lingerieopt.ru/item/7039-oblegayuschee-byuste-s-cvetochnjm-kruzhevom-i-trusiki-string/","7039")</f>
      </c>
      <c r="B3286" s="8" t="s">
        <v>3278</v>
      </c>
      <c r="C3286" s="9">
        <v>2024</v>
      </c>
      <c r="D3286" s="0">
        <v>6</v>
      </c>
      <c r="E3286" s="10">
        <f>HYPERLINK("http://www.lingerieopt.ru/images/original/e144190c-327f-44a0-a3ec-67f88843d293.jpg","Фото")</f>
      </c>
    </row>
    <row r="3287">
      <c r="A3287" s="7">
        <f>HYPERLINK("http://www.lingerieopt.ru/item/7153-korsazh-adel-s-oborkami-i-kruzhevnoi-vstavkoi-po-centru/","7153")</f>
      </c>
      <c r="B3287" s="8" t="s">
        <v>3279</v>
      </c>
      <c r="C3287" s="9">
        <v>2683</v>
      </c>
      <c r="D3287" s="0">
        <v>4</v>
      </c>
      <c r="E3287" s="10">
        <f>HYPERLINK("http://www.lingerieopt.ru/images/original/71c42264-e429-459a-9be1-f5eb7dc51d5d.jpg","Фото")</f>
      </c>
    </row>
    <row r="3288">
      <c r="A3288" s="7">
        <f>HYPERLINK("http://www.lingerieopt.ru/item/7153-korsazh-adel-s-oborkami-i-kruzhevnoi-vstavkoi-po-centru/","7153")</f>
      </c>
      <c r="B3288" s="8" t="s">
        <v>3280</v>
      </c>
      <c r="C3288" s="9">
        <v>2683</v>
      </c>
      <c r="D3288" s="0">
        <v>2</v>
      </c>
      <c r="E3288" s="10">
        <f>HYPERLINK("http://www.lingerieopt.ru/images/original/71c42264-e429-459a-9be1-f5eb7dc51d5d.jpg","Фото")</f>
      </c>
    </row>
    <row r="3289">
      <c r="A3289" s="7">
        <f>HYPERLINK("http://www.lingerieopt.ru/item/7153-korsazh-adel-s-oborkami-i-kruzhevnoi-vstavkoi-po-centru/","7153")</f>
      </c>
      <c r="B3289" s="8" t="s">
        <v>3281</v>
      </c>
      <c r="C3289" s="9">
        <v>2683</v>
      </c>
      <c r="D3289" s="0">
        <v>6</v>
      </c>
      <c r="E3289" s="10">
        <f>HYPERLINK("http://www.lingerieopt.ru/images/original/71c42264-e429-459a-9be1-f5eb7dc51d5d.jpg","Фото")</f>
      </c>
    </row>
    <row r="3290">
      <c r="A3290" s="7">
        <f>HYPERLINK("http://www.lingerieopt.ru/item/7153-korsazh-adel-s-oborkami-i-kruzhevnoi-vstavkoi-po-centru/","7153")</f>
      </c>
      <c r="B3290" s="8" t="s">
        <v>3282</v>
      </c>
      <c r="C3290" s="9">
        <v>2683</v>
      </c>
      <c r="D3290" s="0">
        <v>2</v>
      </c>
      <c r="E3290" s="10">
        <f>HYPERLINK("http://www.lingerieopt.ru/images/original/71c42264-e429-459a-9be1-f5eb7dc51d5d.jpg","Фото")</f>
      </c>
    </row>
    <row r="3291">
      <c r="A3291" s="7">
        <f>HYPERLINK("http://www.lingerieopt.ru/item/7153-korsazh-adel-s-oborkami-i-kruzhevnoi-vstavkoi-po-centru/","7153")</f>
      </c>
      <c r="B3291" s="8" t="s">
        <v>3283</v>
      </c>
      <c r="C3291" s="9">
        <v>2683</v>
      </c>
      <c r="D3291" s="0">
        <v>4</v>
      </c>
      <c r="E3291" s="10">
        <f>HYPERLINK("http://www.lingerieopt.ru/images/original/71c42264-e429-459a-9be1-f5eb7dc51d5d.jpg","Фото")</f>
      </c>
    </row>
    <row r="3292">
      <c r="A3292" s="7">
        <f>HYPERLINK("http://www.lingerieopt.ru/item/7153-korsazh-adel-s-oborkami-i-kruzhevnoi-vstavkoi-po-centru/","7153")</f>
      </c>
      <c r="B3292" s="8" t="s">
        <v>3284</v>
      </c>
      <c r="C3292" s="9">
        <v>2683</v>
      </c>
      <c r="D3292" s="0">
        <v>3</v>
      </c>
      <c r="E3292" s="10">
        <f>HYPERLINK("http://www.lingerieopt.ru/images/original/71c42264-e429-459a-9be1-f5eb7dc51d5d.jpg","Фото")</f>
      </c>
    </row>
    <row r="3293">
      <c r="A3293" s="7">
        <f>HYPERLINK("http://www.lingerieopt.ru/item/7153-korsazh-adel-s-oborkami-i-kruzhevnoi-vstavkoi-po-centru/","7153")</f>
      </c>
      <c r="B3293" s="8" t="s">
        <v>3285</v>
      </c>
      <c r="C3293" s="9">
        <v>2683</v>
      </c>
      <c r="D3293" s="0">
        <v>2</v>
      </c>
      <c r="E3293" s="10">
        <f>HYPERLINK("http://www.lingerieopt.ru/images/original/71c42264-e429-459a-9be1-f5eb7dc51d5d.jpg","Фото")</f>
      </c>
    </row>
    <row r="3294">
      <c r="A3294" s="7">
        <f>HYPERLINK("http://www.lingerieopt.ru/item/7153-korsazh-adel-s-oborkami-i-kruzhevnoi-vstavkoi-po-centru/","7153")</f>
      </c>
      <c r="B3294" s="8" t="s">
        <v>3286</v>
      </c>
      <c r="C3294" s="9">
        <v>2683</v>
      </c>
      <c r="D3294" s="0">
        <v>4</v>
      </c>
      <c r="E3294" s="10">
        <f>HYPERLINK("http://www.lingerieopt.ru/images/original/71c42264-e429-459a-9be1-f5eb7dc51d5d.jpg","Фото")</f>
      </c>
    </row>
    <row r="3295">
      <c r="A3295" s="7">
        <f>HYPERLINK("http://www.lingerieopt.ru/item/7153-korsazh-adel-s-oborkami-i-kruzhevnoi-vstavkoi-po-centru/","7153")</f>
      </c>
      <c r="B3295" s="8" t="s">
        <v>3287</v>
      </c>
      <c r="C3295" s="9">
        <v>2683</v>
      </c>
      <c r="D3295" s="0">
        <v>5</v>
      </c>
      <c r="E3295" s="10">
        <f>HYPERLINK("http://www.lingerieopt.ru/images/original/71c42264-e429-459a-9be1-f5eb7dc51d5d.jpg","Фото")</f>
      </c>
    </row>
    <row r="3296">
      <c r="A3296" s="7">
        <f>HYPERLINK("http://www.lingerieopt.ru/item/7155-romantichnji-korsazh-dafne-s-pazhami-i-trusikami-stringami/","7155")</f>
      </c>
      <c r="B3296" s="8" t="s">
        <v>3288</v>
      </c>
      <c r="C3296" s="9">
        <v>2811</v>
      </c>
      <c r="D3296" s="0">
        <v>6</v>
      </c>
      <c r="E3296" s="10">
        <f>HYPERLINK("http://www.lingerieopt.ru/images/original/0db75342-5d9f-4965-969d-7531f1e07cf9.jpg","Фото")</f>
      </c>
    </row>
    <row r="3297">
      <c r="A3297" s="7">
        <f>HYPERLINK("http://www.lingerieopt.ru/item/7155-romantichnji-korsazh-dafne-s-pazhami-i-trusikami-stringami/","7155")</f>
      </c>
      <c r="B3297" s="8" t="s">
        <v>3289</v>
      </c>
      <c r="C3297" s="9">
        <v>2811</v>
      </c>
      <c r="D3297" s="0">
        <v>4</v>
      </c>
      <c r="E3297" s="10">
        <f>HYPERLINK("http://www.lingerieopt.ru/images/original/0db75342-5d9f-4965-969d-7531f1e07cf9.jpg","Фото")</f>
      </c>
    </row>
    <row r="3298">
      <c r="A3298" s="7">
        <f>HYPERLINK("http://www.lingerieopt.ru/item/7155-romantichnji-korsazh-dafne-s-pazhami-i-trusikami-stringami/","7155")</f>
      </c>
      <c r="B3298" s="8" t="s">
        <v>3290</v>
      </c>
      <c r="C3298" s="9">
        <v>2811</v>
      </c>
      <c r="D3298" s="0">
        <v>0</v>
      </c>
      <c r="E3298" s="10">
        <f>HYPERLINK("http://www.lingerieopt.ru/images/original/0db75342-5d9f-4965-969d-7531f1e07cf9.jpg","Фото")</f>
      </c>
    </row>
    <row r="3299">
      <c r="A3299" s="7">
        <f>HYPERLINK("http://www.lingerieopt.ru/item/7155-romantichnji-korsazh-dafne-s-pazhami-i-trusikami-stringami/","7155")</f>
      </c>
      <c r="B3299" s="8" t="s">
        <v>3291</v>
      </c>
      <c r="C3299" s="9">
        <v>2811</v>
      </c>
      <c r="D3299" s="0">
        <v>6</v>
      </c>
      <c r="E3299" s="10">
        <f>HYPERLINK("http://www.lingerieopt.ru/images/original/0db75342-5d9f-4965-969d-7531f1e07cf9.jpg","Фото")</f>
      </c>
    </row>
    <row r="3300">
      <c r="A3300" s="7">
        <f>HYPERLINK("http://www.lingerieopt.ru/item/7155-romantichnji-korsazh-dafne-s-pazhami-i-trusikami-stringami/","7155")</f>
      </c>
      <c r="B3300" s="8" t="s">
        <v>3292</v>
      </c>
      <c r="C3300" s="9">
        <v>2811</v>
      </c>
      <c r="D3300" s="0">
        <v>0</v>
      </c>
      <c r="E3300" s="10">
        <f>HYPERLINK("http://www.lingerieopt.ru/images/original/0db75342-5d9f-4965-969d-7531f1e07cf9.jpg","Фото")</f>
      </c>
    </row>
    <row r="3301">
      <c r="A3301" s="7">
        <f>HYPERLINK("http://www.lingerieopt.ru/item/7155-romantichnji-korsazh-dafne-s-pazhami-i-trusikami-stringami/","7155")</f>
      </c>
      <c r="B3301" s="8" t="s">
        <v>3293</v>
      </c>
      <c r="C3301" s="9">
        <v>2811</v>
      </c>
      <c r="D3301" s="0">
        <v>1</v>
      </c>
      <c r="E3301" s="10">
        <f>HYPERLINK("http://www.lingerieopt.ru/images/original/0db75342-5d9f-4965-969d-7531f1e07cf9.jpg","Фото")</f>
      </c>
    </row>
    <row r="3302">
      <c r="A3302" s="7">
        <f>HYPERLINK("http://www.lingerieopt.ru/item/7156-poluprozrachnji-korsazh-emma-s-trusikami-string/","7156")</f>
      </c>
      <c r="B3302" s="8" t="s">
        <v>3294</v>
      </c>
      <c r="C3302" s="9">
        <v>2721</v>
      </c>
      <c r="D3302" s="0">
        <v>4</v>
      </c>
      <c r="E3302" s="10">
        <f>HYPERLINK("http://www.lingerieopt.ru/images/original/a5f13539-d7e6-45a5-8d48-5048abc4319e.jpg","Фото")</f>
      </c>
    </row>
    <row r="3303">
      <c r="A3303" s="7">
        <f>HYPERLINK("http://www.lingerieopt.ru/item/7156-poluprozrachnji-korsazh-emma-s-trusikami-string/","7156")</f>
      </c>
      <c r="B3303" s="8" t="s">
        <v>3295</v>
      </c>
      <c r="C3303" s="9">
        <v>2721</v>
      </c>
      <c r="D3303" s="0">
        <v>0</v>
      </c>
      <c r="E3303" s="10">
        <f>HYPERLINK("http://www.lingerieopt.ru/images/original/a5f13539-d7e6-45a5-8d48-5048abc4319e.jpg","Фото")</f>
      </c>
    </row>
    <row r="3304">
      <c r="A3304" s="7">
        <f>HYPERLINK("http://www.lingerieopt.ru/item/7156-poluprozrachnji-korsazh-emma-s-trusikami-string/","7156")</f>
      </c>
      <c r="B3304" s="8" t="s">
        <v>3296</v>
      </c>
      <c r="C3304" s="9">
        <v>2721</v>
      </c>
      <c r="D3304" s="0">
        <v>4</v>
      </c>
      <c r="E3304" s="10">
        <f>HYPERLINK("http://www.lingerieopt.ru/images/original/a5f13539-d7e6-45a5-8d48-5048abc4319e.jpg","Фото")</f>
      </c>
    </row>
    <row r="3305">
      <c r="A3305" s="7">
        <f>HYPERLINK("http://www.lingerieopt.ru/item/7177-kruzhevnoi-korsazh-lisa-s-pazhami/","7177")</f>
      </c>
      <c r="B3305" s="8" t="s">
        <v>3297</v>
      </c>
      <c r="C3305" s="9">
        <v>2378</v>
      </c>
      <c r="D3305" s="0">
        <v>3</v>
      </c>
      <c r="E3305" s="10">
        <f>HYPERLINK("http://www.lingerieopt.ru/images/original/9d0a15b8-1c4d-49ca-a6ff-6c84f9abbb4c.jpg","Фото")</f>
      </c>
    </row>
    <row r="3306">
      <c r="A3306" s="7">
        <f>HYPERLINK("http://www.lingerieopt.ru/item/7177-kruzhevnoi-korsazh-lisa-s-pazhami/","7177")</f>
      </c>
      <c r="B3306" s="8" t="s">
        <v>3298</v>
      </c>
      <c r="C3306" s="9">
        <v>2378</v>
      </c>
      <c r="D3306" s="0">
        <v>0</v>
      </c>
      <c r="E3306" s="10">
        <f>HYPERLINK("http://www.lingerieopt.ru/images/original/9d0a15b8-1c4d-49ca-a6ff-6c84f9abbb4c.jpg","Фото")</f>
      </c>
    </row>
    <row r="3307">
      <c r="A3307" s="7">
        <f>HYPERLINK("http://www.lingerieopt.ru/item/7177-kruzhevnoi-korsazh-lisa-s-pazhami/","7177")</f>
      </c>
      <c r="B3307" s="8" t="s">
        <v>3299</v>
      </c>
      <c r="C3307" s="9">
        <v>2378</v>
      </c>
      <c r="D3307" s="0">
        <v>0</v>
      </c>
      <c r="E3307" s="10">
        <f>HYPERLINK("http://www.lingerieopt.ru/images/original/9d0a15b8-1c4d-49ca-a6ff-6c84f9abbb4c.jpg","Фото")</f>
      </c>
    </row>
    <row r="3308">
      <c r="A3308" s="7">
        <f>HYPERLINK("http://www.lingerieopt.ru/item/7177-kruzhevnoi-korsazh-lisa-s-pazhami/","7177")</f>
      </c>
      <c r="B3308" s="8" t="s">
        <v>3300</v>
      </c>
      <c r="C3308" s="9">
        <v>2378</v>
      </c>
      <c r="D3308" s="0">
        <v>0</v>
      </c>
      <c r="E3308" s="10">
        <f>HYPERLINK("http://www.lingerieopt.ru/images/original/9d0a15b8-1c4d-49ca-a6ff-6c84f9abbb4c.jpg","Фото")</f>
      </c>
    </row>
    <row r="3309">
      <c r="A3309" s="7">
        <f>HYPERLINK("http://www.lingerieopt.ru/item/7177-kruzhevnoi-korsazh-lisa-s-pazhami/","7177")</f>
      </c>
      <c r="B3309" s="8" t="s">
        <v>3301</v>
      </c>
      <c r="C3309" s="9">
        <v>2378</v>
      </c>
      <c r="D3309" s="0">
        <v>5</v>
      </c>
      <c r="E3309" s="10">
        <f>HYPERLINK("http://www.lingerieopt.ru/images/original/9d0a15b8-1c4d-49ca-a6ff-6c84f9abbb4c.jpg","Фото")</f>
      </c>
    </row>
    <row r="3310">
      <c r="A3310" s="7">
        <f>HYPERLINK("http://www.lingerieopt.ru/item/7177-kruzhevnoi-korsazh-lisa-s-pazhami/","7177")</f>
      </c>
      <c r="B3310" s="8" t="s">
        <v>3302</v>
      </c>
      <c r="C3310" s="9">
        <v>2378</v>
      </c>
      <c r="D3310" s="0">
        <v>0</v>
      </c>
      <c r="E3310" s="10">
        <f>HYPERLINK("http://www.lingerieopt.ru/images/original/9d0a15b8-1c4d-49ca-a6ff-6c84f9abbb4c.jpg","Фото")</f>
      </c>
    </row>
    <row r="3311">
      <c r="A3311" s="7">
        <f>HYPERLINK("http://www.lingerieopt.ru/item/7181-azhurnji-korsazh-elena-s-trusikami-string/","7181")</f>
      </c>
      <c r="B3311" s="8" t="s">
        <v>3303</v>
      </c>
      <c r="C3311" s="9">
        <v>3169</v>
      </c>
      <c r="D3311" s="0">
        <v>8</v>
      </c>
      <c r="E3311" s="10">
        <f>HYPERLINK("http://www.lingerieopt.ru/images/original/e75e5531-315a-42e0-be2a-985a70a696ba.jpg","Фото")</f>
      </c>
    </row>
    <row r="3312">
      <c r="A3312" s="7">
        <f>HYPERLINK("http://www.lingerieopt.ru/item/7181-azhurnji-korsazh-elena-s-trusikami-string/","7181")</f>
      </c>
      <c r="B3312" s="8" t="s">
        <v>3304</v>
      </c>
      <c r="C3312" s="9">
        <v>3169</v>
      </c>
      <c r="D3312" s="0">
        <v>8</v>
      </c>
      <c r="E3312" s="10">
        <f>HYPERLINK("http://www.lingerieopt.ru/images/original/e75e5531-315a-42e0-be2a-985a70a696ba.jpg","Фото")</f>
      </c>
    </row>
    <row r="3313">
      <c r="A3313" s="7">
        <f>HYPERLINK("http://www.lingerieopt.ru/item/7181-azhurnji-korsazh-elena-s-trusikami-string/","7181")</f>
      </c>
      <c r="B3313" s="8" t="s">
        <v>3305</v>
      </c>
      <c r="C3313" s="9">
        <v>3169</v>
      </c>
      <c r="D3313" s="0">
        <v>0</v>
      </c>
      <c r="E3313" s="10">
        <f>HYPERLINK("http://www.lingerieopt.ru/images/original/e75e5531-315a-42e0-be2a-985a70a696ba.jpg","Фото")</f>
      </c>
    </row>
    <row r="3314">
      <c r="A3314" s="7">
        <f>HYPERLINK("http://www.lingerieopt.ru/item/7181-azhurnji-korsazh-elena-s-trusikami-string/","7181")</f>
      </c>
      <c r="B3314" s="8" t="s">
        <v>3306</v>
      </c>
      <c r="C3314" s="9">
        <v>3169</v>
      </c>
      <c r="D3314" s="0">
        <v>0</v>
      </c>
      <c r="E3314" s="10">
        <f>HYPERLINK("http://www.lingerieopt.ru/images/original/e75e5531-315a-42e0-be2a-985a70a696ba.jpg","Фото")</f>
      </c>
    </row>
    <row r="3315">
      <c r="A3315" s="7">
        <f>HYPERLINK("http://www.lingerieopt.ru/item/7181-azhurnji-korsazh-elena-s-trusikami-string/","7181")</f>
      </c>
      <c r="B3315" s="8" t="s">
        <v>3307</v>
      </c>
      <c r="C3315" s="9">
        <v>3169</v>
      </c>
      <c r="D3315" s="0">
        <v>7</v>
      </c>
      <c r="E3315" s="10">
        <f>HYPERLINK("http://www.lingerieopt.ru/images/original/e75e5531-315a-42e0-be2a-985a70a696ba.jpg","Фото")</f>
      </c>
    </row>
    <row r="3316">
      <c r="A3316" s="7">
        <f>HYPERLINK("http://www.lingerieopt.ru/item/7181-azhurnji-korsazh-elena-s-trusikami-string/","7181")</f>
      </c>
      <c r="B3316" s="8" t="s">
        <v>3308</v>
      </c>
      <c r="C3316" s="9">
        <v>3169</v>
      </c>
      <c r="D3316" s="0">
        <v>0</v>
      </c>
      <c r="E3316" s="10">
        <f>HYPERLINK("http://www.lingerieopt.ru/images/original/e75e5531-315a-42e0-be2a-985a70a696ba.jpg","Фото")</f>
      </c>
    </row>
    <row r="3317">
      <c r="A3317" s="7">
        <f>HYPERLINK("http://www.lingerieopt.ru/item/7219-korsazh-v-goroshek-dotina-s-bantikom-na-life/","7219")</f>
      </c>
      <c r="B3317" s="8" t="s">
        <v>3309</v>
      </c>
      <c r="C3317" s="9">
        <v>1963</v>
      </c>
      <c r="D3317" s="0">
        <v>4</v>
      </c>
      <c r="E3317" s="10">
        <f>HYPERLINK("http://www.lingerieopt.ru/images/original/d362ffb7-d0ce-490e-b1bc-e9098b7b494d.jpg","Фото")</f>
      </c>
    </row>
    <row r="3318">
      <c r="A3318" s="7">
        <f>HYPERLINK("http://www.lingerieopt.ru/item/7271-udlinennji-korsazh-lovica-s-izjskannjm-cvetochnjm-uzorom/","7271")</f>
      </c>
      <c r="B3318" s="8" t="s">
        <v>3310</v>
      </c>
      <c r="C3318" s="9">
        <v>1732</v>
      </c>
      <c r="D3318" s="0">
        <v>1</v>
      </c>
      <c r="E3318" s="10">
        <f>HYPERLINK("http://www.lingerieopt.ru/images/original/1c08c45c-c263-4ff6-99d7-757e25e4281e.jpg","Фото")</f>
      </c>
    </row>
    <row r="3319">
      <c r="A3319" s="7">
        <f>HYPERLINK("http://www.lingerieopt.ru/item/7271-udlinennji-korsazh-lovica-s-izjskannjm-cvetochnjm-uzorom/","7271")</f>
      </c>
      <c r="B3319" s="8" t="s">
        <v>3311</v>
      </c>
      <c r="C3319" s="9">
        <v>1732</v>
      </c>
      <c r="D3319" s="0">
        <v>2</v>
      </c>
      <c r="E3319" s="10">
        <f>HYPERLINK("http://www.lingerieopt.ru/images/original/1c08c45c-c263-4ff6-99d7-757e25e4281e.jpg","Фото")</f>
      </c>
    </row>
    <row r="3320">
      <c r="A3320" s="7">
        <f>HYPERLINK("http://www.lingerieopt.ru/item/7360-azhurnji-korsazh-heartina-s-malenkoi-podveskoi-serdechkom/","7360")</f>
      </c>
      <c r="B3320" s="8" t="s">
        <v>3312</v>
      </c>
      <c r="C3320" s="9">
        <v>2927</v>
      </c>
      <c r="D3320" s="0">
        <v>1</v>
      </c>
      <c r="E3320" s="10">
        <f>HYPERLINK("http://www.lingerieopt.ru/images/original/05d02b7f-7c23-47ef-a377-0a5b99d89f15.jpg","Фото")</f>
      </c>
    </row>
    <row r="3321">
      <c r="A3321" s="7">
        <f>HYPERLINK("http://www.lingerieopt.ru/item/7360-azhurnji-korsazh-heartina-s-malenkoi-podveskoi-serdechkom/","7360")</f>
      </c>
      <c r="B3321" s="8" t="s">
        <v>3313</v>
      </c>
      <c r="C3321" s="9">
        <v>2927</v>
      </c>
      <c r="D3321" s="0">
        <v>1</v>
      </c>
      <c r="E3321" s="10">
        <f>HYPERLINK("http://www.lingerieopt.ru/images/original/05d02b7f-7c23-47ef-a377-0a5b99d89f15.jpg","Фото")</f>
      </c>
    </row>
    <row r="3322">
      <c r="A3322" s="7">
        <f>HYPERLINK("http://www.lingerieopt.ru/item/7627-azhurnji-korsazh-jessie-plus-size-s-cvetochnjm-uzorom-i-oborochkami/","7627")</f>
      </c>
      <c r="B3322" s="8" t="s">
        <v>3314</v>
      </c>
      <c r="C3322" s="9">
        <v>2077</v>
      </c>
      <c r="D3322" s="0">
        <v>2</v>
      </c>
      <c r="E3322" s="10">
        <f>HYPERLINK("http://www.lingerieopt.ru/images/original/5feb713f-5371-40ec-86e6-b3c4dec63e8f.jpg","Фото")</f>
      </c>
    </row>
    <row r="3323">
      <c r="A3323" s="7">
        <f>HYPERLINK("http://www.lingerieopt.ru/item/7629-zolotistji-korsazh-martina-s-imitaciei-molnii/","7629")</f>
      </c>
      <c r="B3323" s="8" t="s">
        <v>3315</v>
      </c>
      <c r="C3323" s="9">
        <v>2019</v>
      </c>
      <c r="D3323" s="0">
        <v>0</v>
      </c>
      <c r="E3323" s="10">
        <f>HYPERLINK("http://www.lingerieopt.ru/images/original/7ad9e7dd-bb24-46e9-99d7-61be64437625.jpg","Фото")</f>
      </c>
    </row>
    <row r="3324">
      <c r="A3324" s="7">
        <f>HYPERLINK("http://www.lingerieopt.ru/item/7629-zolotistji-korsazh-martina-s-imitaciei-molnii/","7629")</f>
      </c>
      <c r="B3324" s="8" t="s">
        <v>3316</v>
      </c>
      <c r="C3324" s="9">
        <v>2019</v>
      </c>
      <c r="D3324" s="0">
        <v>1</v>
      </c>
      <c r="E3324" s="10">
        <f>HYPERLINK("http://www.lingerieopt.ru/images/original/7ad9e7dd-bb24-46e9-99d7-61be64437625.jpg","Фото")</f>
      </c>
    </row>
    <row r="3325">
      <c r="A3325" s="7">
        <f>HYPERLINK("http://www.lingerieopt.ru/item/7646-prelestnji-korsazh-connie-s-dvuhcvetnjm-kruzhevom-i-oborkami/","7646")</f>
      </c>
      <c r="B3325" s="8" t="s">
        <v>3317</v>
      </c>
      <c r="C3325" s="9">
        <v>2433</v>
      </c>
      <c r="D3325" s="0">
        <v>6</v>
      </c>
      <c r="E3325" s="10">
        <f>HYPERLINK("http://www.lingerieopt.ru/images/original/64c69bb0-9117-4047-a89b-bcbfe4fc5e83.jpg","Фото")</f>
      </c>
    </row>
    <row r="3326">
      <c r="A3326" s="7">
        <f>HYPERLINK("http://www.lingerieopt.ru/item/7646-prelestnji-korsazh-connie-s-dvuhcvetnjm-kruzhevom-i-oborkami/","7646")</f>
      </c>
      <c r="B3326" s="8" t="s">
        <v>3318</v>
      </c>
      <c r="C3326" s="9">
        <v>2433</v>
      </c>
      <c r="D3326" s="0">
        <v>15</v>
      </c>
      <c r="E3326" s="10">
        <f>HYPERLINK("http://www.lingerieopt.ru/images/original/64c69bb0-9117-4047-a89b-bcbfe4fc5e83.jpg","Фото")</f>
      </c>
    </row>
    <row r="3327">
      <c r="A3327" s="7">
        <f>HYPERLINK("http://www.lingerieopt.ru/item/7647-igrivji-ukorochennji-korsazh-dallas/","7647")</f>
      </c>
      <c r="B3327" s="8" t="s">
        <v>3319</v>
      </c>
      <c r="C3327" s="9">
        <v>2155</v>
      </c>
      <c r="D3327" s="0">
        <v>0</v>
      </c>
      <c r="E3327" s="10">
        <f>HYPERLINK("http://www.lingerieopt.ru/images/original/2857379b-0d41-441f-aa5a-93fd46f81a80.jpg","Фото")</f>
      </c>
    </row>
    <row r="3328">
      <c r="A3328" s="7">
        <f>HYPERLINK("http://www.lingerieopt.ru/item/7647-igrivji-ukorochennji-korsazh-dallas/","7647")</f>
      </c>
      <c r="B3328" s="8" t="s">
        <v>3320</v>
      </c>
      <c r="C3328" s="9">
        <v>2155</v>
      </c>
      <c r="D3328" s="0">
        <v>4</v>
      </c>
      <c r="E3328" s="10">
        <f>HYPERLINK("http://www.lingerieopt.ru/images/original/2857379b-0d41-441f-aa5a-93fd46f81a80.jpg","Фото")</f>
      </c>
    </row>
    <row r="3329">
      <c r="A3329" s="7">
        <f>HYPERLINK("http://www.lingerieopt.ru/item/7648-elegantnji-korsazh-giorgia-s-azhurnjm-lifom/","7648")</f>
      </c>
      <c r="B3329" s="8" t="s">
        <v>3321</v>
      </c>
      <c r="C3329" s="9">
        <v>2390</v>
      </c>
      <c r="D3329" s="0">
        <v>9</v>
      </c>
      <c r="E3329" s="10">
        <f>HYPERLINK("http://www.lingerieopt.ru/images/original/de4b6921-ed25-4ef7-b799-c15225d3d382.jpg","Фото")</f>
      </c>
    </row>
    <row r="3330">
      <c r="A3330" s="7">
        <f>HYPERLINK("http://www.lingerieopt.ru/item/7649-elegantnji-korsazh-sissey-s-poluprozrachnjmi-oborkami/","7649")</f>
      </c>
      <c r="B3330" s="8" t="s">
        <v>3322</v>
      </c>
      <c r="C3330" s="9">
        <v>2390</v>
      </c>
      <c r="D3330" s="0">
        <v>5</v>
      </c>
      <c r="E3330" s="10">
        <f>HYPERLINK("http://www.lingerieopt.ru/images/original/d20aa82f-25de-4f26-a0ca-4833119ca425.jpg","Фото")</f>
      </c>
    </row>
    <row r="3331">
      <c r="A3331" s="7">
        <f>HYPERLINK("http://www.lingerieopt.ru/item/7649-elegantnji-korsazh-sissey-s-poluprozrachnjmi-oborkami/","7649")</f>
      </c>
      <c r="B3331" s="8" t="s">
        <v>3323</v>
      </c>
      <c r="C3331" s="9">
        <v>2390</v>
      </c>
      <c r="D3331" s="0">
        <v>4</v>
      </c>
      <c r="E3331" s="10">
        <f>HYPERLINK("http://www.lingerieopt.ru/images/original/d20aa82f-25de-4f26-a0ca-4833119ca425.jpg","Фото")</f>
      </c>
    </row>
    <row r="3332">
      <c r="A3332" s="7">
        <f>HYPERLINK("http://www.lingerieopt.ru/item/7669-chuvstvennji-korsazh-lanka-s-aloi-vjshivkoi/","7669")</f>
      </c>
      <c r="B3332" s="8" t="s">
        <v>3324</v>
      </c>
      <c r="C3332" s="9">
        <v>2581</v>
      </c>
      <c r="D3332" s="0">
        <v>0</v>
      </c>
      <c r="E3332" s="10">
        <f>HYPERLINK("http://www.lingerieopt.ru/images/original/666376a5-0f46-4b0d-a723-6ba676ebb13b.jpg","Фото")</f>
      </c>
    </row>
    <row r="3333">
      <c r="A3333" s="7">
        <f>HYPERLINK("http://www.lingerieopt.ru/item/7669-chuvstvennji-korsazh-lanka-s-aloi-vjshivkoi/","7669")</f>
      </c>
      <c r="B3333" s="8" t="s">
        <v>3325</v>
      </c>
      <c r="C3333" s="9">
        <v>2581</v>
      </c>
      <c r="D3333" s="0">
        <v>0</v>
      </c>
      <c r="E3333" s="10">
        <f>HYPERLINK("http://www.lingerieopt.ru/images/original/666376a5-0f46-4b0d-a723-6ba676ebb13b.jpg","Фото")</f>
      </c>
    </row>
    <row r="3334">
      <c r="A3334" s="7">
        <f>HYPERLINK("http://www.lingerieopt.ru/item/7669-chuvstvennji-korsazh-lanka-s-aloi-vjshivkoi/","7669")</f>
      </c>
      <c r="B3334" s="8" t="s">
        <v>3326</v>
      </c>
      <c r="C3334" s="9">
        <v>2581</v>
      </c>
      <c r="D3334" s="0">
        <v>1</v>
      </c>
      <c r="E3334" s="10">
        <f>HYPERLINK("http://www.lingerieopt.ru/images/original/666376a5-0f46-4b0d-a723-6ba676ebb13b.jpg","Фото")</f>
      </c>
    </row>
    <row r="3335">
      <c r="A3335" s="7">
        <f>HYPERLINK("http://www.lingerieopt.ru/item/7671-elegantnji-korsazh-mayah-s-kruzhevnjmi-oborkami-ponizu/","7671")</f>
      </c>
      <c r="B3335" s="8" t="s">
        <v>3327</v>
      </c>
      <c r="C3335" s="9">
        <v>2191</v>
      </c>
      <c r="D3335" s="0">
        <v>4</v>
      </c>
      <c r="E3335" s="10">
        <f>HYPERLINK("http://www.lingerieopt.ru/images/original/7f2401ca-f8d2-4370-a356-f59dbc40ed12.jpg","Фото")</f>
      </c>
    </row>
    <row r="3336">
      <c r="A3336" s="7">
        <f>HYPERLINK("http://www.lingerieopt.ru/item/7674-roskoshnji-korsazh-nell-s-otkrjtoi-grudyu/","7674")</f>
      </c>
      <c r="B3336" s="8" t="s">
        <v>3328</v>
      </c>
      <c r="C3336" s="9">
        <v>2194</v>
      </c>
      <c r="D3336" s="0">
        <v>0</v>
      </c>
      <c r="E3336" s="10">
        <f>HYPERLINK("http://www.lingerieopt.ru/images/original/93a6256f-3776-483b-a65f-0d13876ec79a.jpg","Фото")</f>
      </c>
    </row>
    <row r="3337">
      <c r="A3337" s="7">
        <f>HYPERLINK("http://www.lingerieopt.ru/item/7674-roskoshnji-korsazh-nell-s-otkrjtoi-grudyu/","7674")</f>
      </c>
      <c r="B3337" s="8" t="s">
        <v>3329</v>
      </c>
      <c r="C3337" s="9">
        <v>2194</v>
      </c>
      <c r="D3337" s="0">
        <v>2</v>
      </c>
      <c r="E3337" s="10">
        <f>HYPERLINK("http://www.lingerieopt.ru/images/original/93a6256f-3776-483b-a65f-0d13876ec79a.jpg","Фото")</f>
      </c>
    </row>
    <row r="3338">
      <c r="A3338" s="7">
        <f>HYPERLINK("http://www.lingerieopt.ru/item/7686-shikarnji-korsazh-nell-plus-size-s-otkrjtoi-grudyu/","7686")</f>
      </c>
      <c r="B3338" s="8" t="s">
        <v>3330</v>
      </c>
      <c r="C3338" s="9">
        <v>2194</v>
      </c>
      <c r="D3338" s="0">
        <v>1</v>
      </c>
      <c r="E3338" s="10">
        <f>HYPERLINK("http://www.lingerieopt.ru/images/original/c0e9c77e-b532-4c72-8216-908bded4bf73.jpg","Фото")</f>
      </c>
    </row>
    <row r="3339">
      <c r="A3339" s="7">
        <f>HYPERLINK("http://www.lingerieopt.ru/item/7743-poluprozrachnji-korsazh-s-trusikami-string/","7743")</f>
      </c>
      <c r="B3339" s="8" t="s">
        <v>3331</v>
      </c>
      <c r="C3339" s="9">
        <v>1856</v>
      </c>
      <c r="D3339" s="0">
        <v>11</v>
      </c>
      <c r="E3339" s="10">
        <f>HYPERLINK("http://www.lingerieopt.ru/images/original/df1240f3-9b85-44f1-ad63-c383cbb24968.jpg","Фото")</f>
      </c>
    </row>
    <row r="3340">
      <c r="A3340" s="7">
        <f>HYPERLINK("http://www.lingerieopt.ru/item/8304-chernji-korsazh-sexy-pony-s-konskim-hvostom-i-aksessuarami/","8304")</f>
      </c>
      <c r="B3340" s="8" t="s">
        <v>3332</v>
      </c>
      <c r="C3340" s="9">
        <v>2607</v>
      </c>
      <c r="D3340" s="0">
        <v>0</v>
      </c>
      <c r="E3340" s="10">
        <f>HYPERLINK("http://www.lingerieopt.ru/images/original/c9e3cc42-717e-4551-8307-3683bc43a5a0.jpg","Фото")</f>
      </c>
    </row>
    <row r="3341">
      <c r="A3341" s="7">
        <f>HYPERLINK("http://www.lingerieopt.ru/item/8304-chernji-korsazh-sexy-pony-s-konskim-hvostom-i-aksessuarami/","8304")</f>
      </c>
      <c r="B3341" s="8" t="s">
        <v>3333</v>
      </c>
      <c r="C3341" s="9">
        <v>2607</v>
      </c>
      <c r="D3341" s="0">
        <v>4</v>
      </c>
      <c r="E3341" s="10">
        <f>HYPERLINK("http://www.lingerieopt.ru/images/original/c9e3cc42-717e-4551-8307-3683bc43a5a0.jpg","Фото")</f>
      </c>
    </row>
    <row r="3342">
      <c r="A3342" s="7">
        <f>HYPERLINK("http://www.lingerieopt.ru/item/8305-korsazh-carole-s-utonchennoi-cvetochnoi-vjshivkoi/","8305")</f>
      </c>
      <c r="B3342" s="8" t="s">
        <v>3334</v>
      </c>
      <c r="C3342" s="9">
        <v>3431</v>
      </c>
      <c r="D3342" s="0">
        <v>2</v>
      </c>
      <c r="E3342" s="10">
        <f>HYPERLINK("http://www.lingerieopt.ru/images/original/83e4a509-7815-45ff-97e6-9e0cfbeefe17.jpg","Фото")</f>
      </c>
    </row>
    <row r="3343">
      <c r="A3343" s="7">
        <f>HYPERLINK("http://www.lingerieopt.ru/item/8305-korsazh-carole-s-utonchennoi-cvetochnoi-vjshivkoi/","8305")</f>
      </c>
      <c r="B3343" s="8" t="s">
        <v>3335</v>
      </c>
      <c r="C3343" s="9">
        <v>3431</v>
      </c>
      <c r="D3343" s="0">
        <v>10</v>
      </c>
      <c r="E3343" s="10">
        <f>HYPERLINK("http://www.lingerieopt.ru/images/original/83e4a509-7815-45ff-97e6-9e0cfbeefe17.jpg","Фото")</f>
      </c>
    </row>
    <row r="3344">
      <c r="A3344" s="7">
        <f>HYPERLINK("http://www.lingerieopt.ru/item/8305-korsazh-carole-s-utonchennoi-cvetochnoi-vjshivkoi/","8305")</f>
      </c>
      <c r="B3344" s="8" t="s">
        <v>3336</v>
      </c>
      <c r="C3344" s="9">
        <v>3431</v>
      </c>
      <c r="D3344" s="0">
        <v>10</v>
      </c>
      <c r="E3344" s="10">
        <f>HYPERLINK("http://www.lingerieopt.ru/images/original/83e4a509-7815-45ff-97e6-9e0cfbeefe17.jpg","Фото")</f>
      </c>
    </row>
    <row r="3345">
      <c r="A3345" s="7">
        <f>HYPERLINK("http://www.lingerieopt.ru/item/8419-effektnji-korsazh-greyla-s-bantom-na-life/","8419")</f>
      </c>
      <c r="B3345" s="8" t="s">
        <v>3337</v>
      </c>
      <c r="C3345" s="9">
        <v>1568</v>
      </c>
      <c r="D3345" s="0">
        <v>2</v>
      </c>
      <c r="E3345" s="10">
        <f>HYPERLINK("http://www.lingerieopt.ru/images/original/6ecab250-def1-40ca-8657-02e0353fbde5.jpg","Фото")</f>
      </c>
    </row>
    <row r="3346">
      <c r="A3346" s="7">
        <f>HYPERLINK("http://www.lingerieopt.ru/item/8419-effektnji-korsazh-greyla-s-bantom-na-life/","8419")</f>
      </c>
      <c r="B3346" s="8" t="s">
        <v>3338</v>
      </c>
      <c r="C3346" s="9">
        <v>1568</v>
      </c>
      <c r="D3346" s="0">
        <v>2</v>
      </c>
      <c r="E3346" s="10">
        <f>HYPERLINK("http://www.lingerieopt.ru/images/original/6ecab250-def1-40ca-8657-02e0353fbde5.jpg","Фото")</f>
      </c>
    </row>
    <row r="3347">
      <c r="A3347" s="7">
        <f>HYPERLINK("http://www.lingerieopt.ru/item/8420-charuyuschii-korsazh-charmea-s-kruzhevami-i-bantom-na-life/","8420")</f>
      </c>
      <c r="B3347" s="8" t="s">
        <v>3339</v>
      </c>
      <c r="C3347" s="9">
        <v>2047</v>
      </c>
      <c r="D3347" s="0">
        <v>3</v>
      </c>
      <c r="E3347" s="10">
        <f>HYPERLINK("http://www.lingerieopt.ru/images/original/c0a48d91-8eb3-410c-ab15-3732ee5c47f6.jpg","Фото")</f>
      </c>
    </row>
    <row r="3348">
      <c r="A3348" s="7">
        <f>HYPERLINK("http://www.lingerieopt.ru/item/8420-charuyuschii-korsazh-charmea-s-kruzhevami-i-bantom-na-life/","8420")</f>
      </c>
      <c r="B3348" s="8" t="s">
        <v>3340</v>
      </c>
      <c r="C3348" s="9">
        <v>2047</v>
      </c>
      <c r="D3348" s="0">
        <v>1</v>
      </c>
      <c r="E3348" s="10">
        <f>HYPERLINK("http://www.lingerieopt.ru/images/original/c0a48d91-8eb3-410c-ab15-3732ee5c47f6.jpg","Фото")</f>
      </c>
    </row>
    <row r="3349">
      <c r="A3349" s="7">
        <f>HYPERLINK("http://www.lingerieopt.ru/item/8421-korset-etheria-na-kostochkah/","8421")</f>
      </c>
      <c r="B3349" s="8" t="s">
        <v>3341</v>
      </c>
      <c r="C3349" s="9">
        <v>2924</v>
      </c>
      <c r="D3349" s="0">
        <v>5</v>
      </c>
      <c r="E3349" s="10">
        <f>HYPERLINK("http://www.lingerieopt.ru/images/original/814a6a22-4827-48a3-b46b-12485275c5c1.jpg","Фото")</f>
      </c>
    </row>
    <row r="3350">
      <c r="A3350" s="7">
        <f>HYPERLINK("http://www.lingerieopt.ru/item/8421-korset-etheria-na-kostochkah/","8421")</f>
      </c>
      <c r="B3350" s="8" t="s">
        <v>3342</v>
      </c>
      <c r="C3350" s="9">
        <v>2924</v>
      </c>
      <c r="D3350" s="0">
        <v>0</v>
      </c>
      <c r="E3350" s="10">
        <f>HYPERLINK("http://www.lingerieopt.ru/images/original/814a6a22-4827-48a3-b46b-12485275c5c1.jpg","Фото")</f>
      </c>
    </row>
    <row r="3351">
      <c r="A3351" s="7">
        <f>HYPERLINK("http://www.lingerieopt.ru/item/8503-korsazh-janet-s-lifom-v-forme-serdca-i-pazhami-dlya-chulok/","8503")</f>
      </c>
      <c r="B3351" s="8" t="s">
        <v>3343</v>
      </c>
      <c r="C3351" s="9">
        <v>1299</v>
      </c>
      <c r="D3351" s="0">
        <v>3</v>
      </c>
      <c r="E3351" s="10">
        <f>HYPERLINK("http://www.lingerieopt.ru/images/original/4d801185-1732-4a5d-bbd4-7639f2fd7bea.jpg","Фото")</f>
      </c>
    </row>
    <row r="3352">
      <c r="A3352" s="7">
        <f>HYPERLINK("http://www.lingerieopt.ru/item/8503-korsazh-janet-s-lifom-v-forme-serdca-i-pazhami-dlya-chulok/","8503")</f>
      </c>
      <c r="B3352" s="8" t="s">
        <v>3344</v>
      </c>
      <c r="C3352" s="9">
        <v>1299</v>
      </c>
      <c r="D3352" s="0">
        <v>2</v>
      </c>
      <c r="E3352" s="10">
        <f>HYPERLINK("http://www.lingerieopt.ru/images/original/4d801185-1732-4a5d-bbd4-7639f2fd7bea.jpg","Фото")</f>
      </c>
    </row>
    <row r="3353">
      <c r="A3353" s="7">
        <f>HYPERLINK("http://www.lingerieopt.ru/item/8504-korsazh-jolene-s-otkrjtoi-grudyu/","8504")</f>
      </c>
      <c r="B3353" s="8" t="s">
        <v>3345</v>
      </c>
      <c r="C3353" s="9">
        <v>1299</v>
      </c>
      <c r="D3353" s="0">
        <v>2</v>
      </c>
      <c r="E3353" s="10">
        <f>HYPERLINK("http://www.lingerieopt.ru/images/original/8c840841-5714-4ef2-881e-0f80c8b64e48.jpg","Фото")</f>
      </c>
    </row>
    <row r="3354">
      <c r="A3354" s="7">
        <f>HYPERLINK("http://www.lingerieopt.ru/item/8504-korsazh-jolene-s-otkrjtoi-grudyu/","8504")</f>
      </c>
      <c r="B3354" s="8" t="s">
        <v>3346</v>
      </c>
      <c r="C3354" s="9">
        <v>1299</v>
      </c>
      <c r="D3354" s="0">
        <v>0</v>
      </c>
      <c r="E3354" s="10">
        <f>HYPERLINK("http://www.lingerieopt.ru/images/original/8c840841-5714-4ef2-881e-0f80c8b64e48.jpg","Фото")</f>
      </c>
    </row>
    <row r="3355">
      <c r="A3355" s="7">
        <f>HYPERLINK("http://www.lingerieopt.ru/item/8505-korsazh-iz-setki-katriss-so-shnurovkoi/","8505")</f>
      </c>
      <c r="B3355" s="8" t="s">
        <v>3347</v>
      </c>
      <c r="C3355" s="9">
        <v>1299</v>
      </c>
      <c r="D3355" s="0">
        <v>3</v>
      </c>
      <c r="E3355" s="10">
        <f>HYPERLINK("http://www.lingerieopt.ru/images/original/6fdea4ad-05f3-453d-b678-94f098088b0a.jpg","Фото")</f>
      </c>
    </row>
    <row r="3356">
      <c r="A3356" s="7">
        <f>HYPERLINK("http://www.lingerieopt.ru/item/8505-korsazh-iz-setki-katriss-so-shnurovkoi/","8505")</f>
      </c>
      <c r="B3356" s="8" t="s">
        <v>3348</v>
      </c>
      <c r="C3356" s="9">
        <v>1299</v>
      </c>
      <c r="D3356" s="0">
        <v>2</v>
      </c>
      <c r="E3356" s="10">
        <f>HYPERLINK("http://www.lingerieopt.ru/images/original/6fdea4ad-05f3-453d-b678-94f098088b0a.jpg","Фото")</f>
      </c>
    </row>
    <row r="3357">
      <c r="A3357" s="7">
        <f>HYPERLINK("http://www.lingerieopt.ru/item/8506-udlinennji-korsazh-paloma-s-cvetochnjm-kruzhevom/","8506")</f>
      </c>
      <c r="B3357" s="8" t="s">
        <v>3349</v>
      </c>
      <c r="C3357" s="9">
        <v>1299</v>
      </c>
      <c r="D3357" s="0">
        <v>4</v>
      </c>
      <c r="E3357" s="10">
        <f>HYPERLINK("http://www.lingerieopt.ru/images/original/1dba9166-44d5-4002-b555-26aa48dba492.jpg","Фото")</f>
      </c>
    </row>
    <row r="3358">
      <c r="A3358" s="7">
        <f>HYPERLINK("http://www.lingerieopt.ru/item/8506-udlinennji-korsazh-paloma-s-cvetochnjm-kruzhevom/","8506")</f>
      </c>
      <c r="B3358" s="8" t="s">
        <v>3350</v>
      </c>
      <c r="C3358" s="9">
        <v>1299</v>
      </c>
      <c r="D3358" s="0">
        <v>2</v>
      </c>
      <c r="E3358" s="10">
        <f>HYPERLINK("http://www.lingerieopt.ru/images/original/1dba9166-44d5-4002-b555-26aa48dba492.jpg","Фото")</f>
      </c>
    </row>
    <row r="3359">
      <c r="A3359" s="7">
        <f>HYPERLINK("http://www.lingerieopt.ru/item/8650-elastichnji-korsazh-s-kruzhevom/","8650")</f>
      </c>
      <c r="B3359" s="8" t="s">
        <v>3351</v>
      </c>
      <c r="C3359" s="9">
        <v>2116</v>
      </c>
      <c r="D3359" s="0">
        <v>0</v>
      </c>
      <c r="E3359" s="10">
        <f>HYPERLINK("http://www.lingerieopt.ru/images/original/4d9bd9f2-daa3-40fd-9055-d752664ac0ba.jpg","Фото")</f>
      </c>
    </row>
    <row r="3360">
      <c r="A3360" s="7">
        <f>HYPERLINK("http://www.lingerieopt.ru/item/8650-elastichnji-korsazh-s-kruzhevom/","8650")</f>
      </c>
      <c r="B3360" s="8" t="s">
        <v>3352</v>
      </c>
      <c r="C3360" s="9">
        <v>2116</v>
      </c>
      <c r="D3360" s="0">
        <v>6</v>
      </c>
      <c r="E3360" s="10">
        <f>HYPERLINK("http://www.lingerieopt.ru/images/original/4d9bd9f2-daa3-40fd-9055-d752664ac0ba.jpg","Фото")</f>
      </c>
    </row>
    <row r="3361">
      <c r="A3361" s="7">
        <f>HYPERLINK("http://www.lingerieopt.ru/item/8650-elastichnji-korsazh-s-kruzhevom/","8650")</f>
      </c>
      <c r="B3361" s="8" t="s">
        <v>3353</v>
      </c>
      <c r="C3361" s="9">
        <v>2116</v>
      </c>
      <c r="D3361" s="0">
        <v>12</v>
      </c>
      <c r="E3361" s="10">
        <f>HYPERLINK("http://www.lingerieopt.ru/images/original/4d9bd9f2-daa3-40fd-9055-d752664ac0ba.jpg","Фото")</f>
      </c>
    </row>
    <row r="3362">
      <c r="A3362" s="7">
        <f>HYPERLINK("http://www.lingerieopt.ru/item/8650-elastichnji-korsazh-s-kruzhevom/","8650")</f>
      </c>
      <c r="B3362" s="8" t="s">
        <v>3354</v>
      </c>
      <c r="C3362" s="9">
        <v>2116</v>
      </c>
      <c r="D3362" s="0">
        <v>3</v>
      </c>
      <c r="E3362" s="10">
        <f>HYPERLINK("http://www.lingerieopt.ru/images/original/4d9bd9f2-daa3-40fd-9055-d752664ac0ba.jpg","Фото")</f>
      </c>
    </row>
    <row r="3363">
      <c r="A3363" s="7">
        <f>HYPERLINK("http://www.lingerieopt.ru/item/8658-prozrachnji-udlinennji-korsazh-s-businkami/","8658")</f>
      </c>
      <c r="B3363" s="8" t="s">
        <v>3355</v>
      </c>
      <c r="C3363" s="9">
        <v>1673</v>
      </c>
      <c r="D3363" s="0">
        <v>6</v>
      </c>
      <c r="E3363" s="10">
        <f>HYPERLINK("http://www.lingerieopt.ru/images/original/ed8824f5-5bb1-49b5-b9f8-0367fe41f694.jpg","Фото")</f>
      </c>
    </row>
    <row r="3364">
      <c r="A3364" s="7">
        <f>HYPERLINK("http://www.lingerieopt.ru/item/8658-prozrachnji-udlinennji-korsazh-s-businkami/","8658")</f>
      </c>
      <c r="B3364" s="8" t="s">
        <v>3356</v>
      </c>
      <c r="C3364" s="9">
        <v>1673</v>
      </c>
      <c r="D3364" s="0">
        <v>4</v>
      </c>
      <c r="E3364" s="10">
        <f>HYPERLINK("http://www.lingerieopt.ru/images/original/ed8824f5-5bb1-49b5-b9f8-0367fe41f694.jpg","Фото")</f>
      </c>
    </row>
    <row r="3365">
      <c r="A3365" s="7">
        <f>HYPERLINK("http://www.lingerieopt.ru/item/8783-effektnji-korsazh-sandra-iz-streich-materiala/","8783")</f>
      </c>
      <c r="B3365" s="8" t="s">
        <v>3357</v>
      </c>
      <c r="C3365" s="9">
        <v>1299</v>
      </c>
      <c r="D3365" s="0">
        <v>4</v>
      </c>
      <c r="E3365" s="10">
        <f>HYPERLINK("http://www.lingerieopt.ru/images/original/4fe8e38e-4d9a-4a3c-854d-e5af67189d56.jpg","Фото")</f>
      </c>
    </row>
    <row r="3366">
      <c r="A3366" s="7">
        <f>HYPERLINK("http://www.lingerieopt.ru/item/8783-effektnji-korsazh-sandra-iz-streich-materiala/","8783")</f>
      </c>
      <c r="B3366" s="8" t="s">
        <v>3358</v>
      </c>
      <c r="C3366" s="9">
        <v>1299</v>
      </c>
      <c r="D3366" s="0">
        <v>4</v>
      </c>
      <c r="E3366" s="10">
        <f>HYPERLINK("http://www.lingerieopt.ru/images/original/4fe8e38e-4d9a-4a3c-854d-e5af67189d56.jpg","Фото")</f>
      </c>
    </row>
    <row r="3367">
      <c r="A3367" s="7">
        <f>HYPERLINK("http://www.lingerieopt.ru/item/8783-effektnji-korsazh-sandra-iz-streich-materiala/","8783")</f>
      </c>
      <c r="B3367" s="8" t="s">
        <v>3359</v>
      </c>
      <c r="C3367" s="9">
        <v>1299</v>
      </c>
      <c r="D3367" s="0">
        <v>3</v>
      </c>
      <c r="E3367" s="10">
        <f>HYPERLINK("http://www.lingerieopt.ru/images/original/4fe8e38e-4d9a-4a3c-854d-e5af67189d56.jpg","Фото")</f>
      </c>
    </row>
    <row r="3368">
      <c r="A3368" s="7">
        <f>HYPERLINK("http://www.lingerieopt.ru/item/8783-effektnji-korsazh-sandra-iz-streich-materiala/","8783")</f>
      </c>
      <c r="B3368" s="8" t="s">
        <v>3360</v>
      </c>
      <c r="C3368" s="9">
        <v>1299</v>
      </c>
      <c r="D3368" s="0">
        <v>4</v>
      </c>
      <c r="E3368" s="10">
        <f>HYPERLINK("http://www.lingerieopt.ru/images/original/4fe8e38e-4d9a-4a3c-854d-e5af67189d56.jpg","Фото")</f>
      </c>
    </row>
    <row r="3369">
      <c r="A3369" s="7">
        <f>HYPERLINK("http://www.lingerieopt.ru/item/8784-byuste-jade-s-kontrastnoi-otdelkoi/","8784")</f>
      </c>
      <c r="B3369" s="8" t="s">
        <v>3361</v>
      </c>
      <c r="C3369" s="9">
        <v>1039</v>
      </c>
      <c r="D3369" s="0">
        <v>1</v>
      </c>
      <c r="E3369" s="10">
        <f>HYPERLINK("http://www.lingerieopt.ru/images/original/e77137d3-89a8-46d0-af49-d366f124ae51.jpg","Фото")</f>
      </c>
    </row>
    <row r="3370">
      <c r="A3370" s="7">
        <f>HYPERLINK("http://www.lingerieopt.ru/item/8784-byuste-jade-s-kontrastnoi-otdelkoi/","8784")</f>
      </c>
      <c r="B3370" s="8" t="s">
        <v>3362</v>
      </c>
      <c r="C3370" s="9">
        <v>1039</v>
      </c>
      <c r="D3370" s="0">
        <v>3</v>
      </c>
      <c r="E3370" s="10">
        <f>HYPERLINK("http://www.lingerieopt.ru/images/original/e77137d3-89a8-46d0-af49-d366f124ae51.jpg","Фото")</f>
      </c>
    </row>
    <row r="3371">
      <c r="A3371" s="7">
        <f>HYPERLINK("http://www.lingerieopt.ru/item/8784-byuste-jade-s-kontrastnoi-otdelkoi/","8784")</f>
      </c>
      <c r="B3371" s="8" t="s">
        <v>3363</v>
      </c>
      <c r="C3371" s="9">
        <v>1039</v>
      </c>
      <c r="D3371" s="0">
        <v>3</v>
      </c>
      <c r="E3371" s="10">
        <f>HYPERLINK("http://www.lingerieopt.ru/images/original/e77137d3-89a8-46d0-af49-d366f124ae51.jpg","Фото")</f>
      </c>
    </row>
    <row r="3372">
      <c r="A3372" s="7">
        <f>HYPERLINK("http://www.lingerieopt.ru/item/8784-byuste-jade-s-kontrastnoi-otdelkoi/","8784")</f>
      </c>
      <c r="B3372" s="8" t="s">
        <v>3364</v>
      </c>
      <c r="C3372" s="9">
        <v>1039</v>
      </c>
      <c r="D3372" s="0">
        <v>6</v>
      </c>
      <c r="E3372" s="10">
        <f>HYPERLINK("http://www.lingerieopt.ru/images/original/e77137d3-89a8-46d0-af49-d366f124ae51.jpg","Фото")</f>
      </c>
    </row>
    <row r="3373">
      <c r="A3373" s="7">
        <f>HYPERLINK("http://www.lingerieopt.ru/item/8785-byuste-jade-plus-size-s-poluotkrjtoi-grudyu/","8785")</f>
      </c>
      <c r="B3373" s="8" t="s">
        <v>3365</v>
      </c>
      <c r="C3373" s="9">
        <v>1039</v>
      </c>
      <c r="D3373" s="0">
        <v>3</v>
      </c>
      <c r="E3373" s="10">
        <f>HYPERLINK("http://www.lingerieopt.ru/images/original/ab8cb031-5ad7-4041-add3-a5642d5b3119.jpg","Фото")</f>
      </c>
    </row>
    <row r="3374">
      <c r="A3374" s="7">
        <f>HYPERLINK("http://www.lingerieopt.ru/item/8785-byuste-jade-plus-size-s-poluotkrjtoi-grudyu/","8785")</f>
      </c>
      <c r="B3374" s="8" t="s">
        <v>3366</v>
      </c>
      <c r="C3374" s="9">
        <v>1039</v>
      </c>
      <c r="D3374" s="0">
        <v>2</v>
      </c>
      <c r="E3374" s="10">
        <f>HYPERLINK("http://www.lingerieopt.ru/images/original/ab8cb031-5ad7-4041-add3-a5642d5b3119.jpg","Фото")</f>
      </c>
    </row>
    <row r="3375">
      <c r="A3375" s="7">
        <f>HYPERLINK("http://www.lingerieopt.ru/item/8807-korsazh-nadya-s-prozrachnjmi-detalyami/","8807")</f>
      </c>
      <c r="B3375" s="8" t="s">
        <v>3367</v>
      </c>
      <c r="C3375" s="9">
        <v>1299</v>
      </c>
      <c r="D3375" s="0">
        <v>7</v>
      </c>
      <c r="E3375" s="10">
        <f>HYPERLINK("http://www.lingerieopt.ru/images/original/40b8e852-f885-4a33-a4d4-a3e85976c5ab.jpg","Фото")</f>
      </c>
    </row>
    <row r="3376">
      <c r="A3376" s="7">
        <f>HYPERLINK("http://www.lingerieopt.ru/item/8807-korsazh-nadya-s-prozrachnjmi-detalyami/","8807")</f>
      </c>
      <c r="B3376" s="8" t="s">
        <v>3368</v>
      </c>
      <c r="C3376" s="9">
        <v>1299</v>
      </c>
      <c r="D3376" s="0">
        <v>4</v>
      </c>
      <c r="E3376" s="10">
        <f>HYPERLINK("http://www.lingerieopt.ru/images/original/40b8e852-f885-4a33-a4d4-a3e85976c5ab.jpg","Фото")</f>
      </c>
    </row>
    <row r="3377">
      <c r="A3377" s="7">
        <f>HYPERLINK("http://www.lingerieopt.ru/item/8842-otkrovennji-korsazh-justina-s-otkrjtoi-grudyu/","8842")</f>
      </c>
      <c r="B3377" s="8" t="s">
        <v>3369</v>
      </c>
      <c r="C3377" s="9">
        <v>1299</v>
      </c>
      <c r="D3377" s="0">
        <v>4</v>
      </c>
      <c r="E3377" s="10">
        <f>HYPERLINK("http://www.lingerieopt.ru/images/original/ec6a62fc-2e39-4561-b210-97c9c9ef2771.jpg","Фото")</f>
      </c>
    </row>
    <row r="3378">
      <c r="A3378" s="7">
        <f>HYPERLINK("http://www.lingerieopt.ru/item/8842-otkrovennji-korsazh-justina-s-otkrjtoi-grudyu/","8842")</f>
      </c>
      <c r="B3378" s="8" t="s">
        <v>3370</v>
      </c>
      <c r="C3378" s="9">
        <v>1299</v>
      </c>
      <c r="D3378" s="0">
        <v>5</v>
      </c>
      <c r="E3378" s="10">
        <f>HYPERLINK("http://www.lingerieopt.ru/images/original/ec6a62fc-2e39-4561-b210-97c9c9ef2771.jpg","Фото")</f>
      </c>
    </row>
    <row r="3379">
      <c r="A3379" s="7">
        <f>HYPERLINK("http://www.lingerieopt.ru/item/8945-chuvstvennji-korsazh-aurora-s-cvetochnjm-risunkom/","8945")</f>
      </c>
      <c r="B3379" s="8" t="s">
        <v>3371</v>
      </c>
      <c r="C3379" s="9">
        <v>1543</v>
      </c>
      <c r="D3379" s="0">
        <v>6</v>
      </c>
      <c r="E3379" s="10">
        <f>HYPERLINK("http://www.lingerieopt.ru/images/original/81bc14d0-9b60-4cd6-8530-08f25a77e34b.jpg","Фото")</f>
      </c>
    </row>
    <row r="3380">
      <c r="A3380" s="7">
        <f>HYPERLINK("http://www.lingerieopt.ru/item/8945-chuvstvennji-korsazh-aurora-s-cvetochnjm-risunkom/","8945")</f>
      </c>
      <c r="B3380" s="8" t="s">
        <v>3372</v>
      </c>
      <c r="C3380" s="9">
        <v>1543</v>
      </c>
      <c r="D3380" s="0">
        <v>3</v>
      </c>
      <c r="E3380" s="10">
        <f>HYPERLINK("http://www.lingerieopt.ru/images/original/81bc14d0-9b60-4cd6-8530-08f25a77e34b.jpg","Фото")</f>
      </c>
    </row>
    <row r="3381">
      <c r="A3381" s="7">
        <f>HYPERLINK("http://www.lingerieopt.ru/item/8946-poluprozrachnji-korsazh-enna-s-kruzhevami/","8946")</f>
      </c>
      <c r="B3381" s="8" t="s">
        <v>3373</v>
      </c>
      <c r="C3381" s="9">
        <v>1567</v>
      </c>
      <c r="D3381" s="0">
        <v>5</v>
      </c>
      <c r="E3381" s="10">
        <f>HYPERLINK("http://www.lingerieopt.ru/images/original/0c54a601-dfad-48b8-adf1-6e4fdf5b5b64.jpg","Фото")</f>
      </c>
    </row>
    <row r="3382">
      <c r="A3382" s="7">
        <f>HYPERLINK("http://www.lingerieopt.ru/item/8946-poluprozrachnji-korsazh-enna-s-kruzhevami/","8946")</f>
      </c>
      <c r="B3382" s="8" t="s">
        <v>3374</v>
      </c>
      <c r="C3382" s="9">
        <v>1567</v>
      </c>
      <c r="D3382" s="0">
        <v>3</v>
      </c>
      <c r="E3382" s="10">
        <f>HYPERLINK("http://www.lingerieopt.ru/images/original/0c54a601-dfad-48b8-adf1-6e4fdf5b5b64.jpg","Фото")</f>
      </c>
    </row>
    <row r="3383">
      <c r="A3383" s="7">
        <f>HYPERLINK("http://www.lingerieopt.ru/item/8947-korsazh-gigi-s-azhurnoi-verhnei-chastyu-i-dopolnitelnjmi-bretelyami/","8947")</f>
      </c>
      <c r="B3383" s="8" t="s">
        <v>3375</v>
      </c>
      <c r="C3383" s="9">
        <v>1405</v>
      </c>
      <c r="D3383" s="0">
        <v>5</v>
      </c>
      <c r="E3383" s="10">
        <f>HYPERLINK("http://www.lingerieopt.ru/images/original/2a72601a-1953-45f7-b419-088c4cf3d1d8.jpg","Фото")</f>
      </c>
    </row>
    <row r="3384">
      <c r="A3384" s="7">
        <f>HYPERLINK("http://www.lingerieopt.ru/item/8947-korsazh-gigi-s-azhurnoi-verhnei-chastyu-i-dopolnitelnjmi-bretelyami/","8947")</f>
      </c>
      <c r="B3384" s="8" t="s">
        <v>3376</v>
      </c>
      <c r="C3384" s="9">
        <v>1405</v>
      </c>
      <c r="D3384" s="0">
        <v>5</v>
      </c>
      <c r="E3384" s="10">
        <f>HYPERLINK("http://www.lingerieopt.ru/images/original/2a72601a-1953-45f7-b419-088c4cf3d1d8.jpg","Фото")</f>
      </c>
    </row>
    <row r="3385">
      <c r="A3385" s="7">
        <f>HYPERLINK("http://www.lingerieopt.ru/item/8948-korsazh-effi-s-otkrjtjm-byustom-i-oborkami-poverh/","8948")</f>
      </c>
      <c r="B3385" s="8" t="s">
        <v>3377</v>
      </c>
      <c r="C3385" s="9">
        <v>1462</v>
      </c>
      <c r="D3385" s="0">
        <v>3</v>
      </c>
      <c r="E3385" s="10">
        <f>HYPERLINK("http://www.lingerieopt.ru/images/original/18c59065-6ec6-4714-bf81-a9af525a5956.jpg","Фото")</f>
      </c>
    </row>
    <row r="3386">
      <c r="A3386" s="7">
        <f>HYPERLINK("http://www.lingerieopt.ru/item/8948-korsazh-effi-s-otkrjtjm-byustom-i-oborkami-poverh/","8948")</f>
      </c>
      <c r="B3386" s="8" t="s">
        <v>3378</v>
      </c>
      <c r="C3386" s="9">
        <v>1462</v>
      </c>
      <c r="D3386" s="0">
        <v>2</v>
      </c>
      <c r="E3386" s="10">
        <f>HYPERLINK("http://www.lingerieopt.ru/images/original/18c59065-6ec6-4714-bf81-a9af525a5956.jpg","Фото")</f>
      </c>
    </row>
    <row r="3387">
      <c r="A3387" s="7">
        <f>HYPERLINK("http://www.lingerieopt.ru/item/8948-korsazh-effi-s-otkrjtjm-byustom-i-oborkami-poverh/","8948")</f>
      </c>
      <c r="B3387" s="8" t="s">
        <v>3379</v>
      </c>
      <c r="C3387" s="9">
        <v>1462</v>
      </c>
      <c r="D3387" s="0">
        <v>5</v>
      </c>
      <c r="E3387" s="10">
        <f>HYPERLINK("http://www.lingerieopt.ru/images/original/18c59065-6ec6-4714-bf81-a9af525a5956.jpg","Фото")</f>
      </c>
    </row>
    <row r="3388">
      <c r="A3388" s="7">
        <f>HYPERLINK("http://www.lingerieopt.ru/item/8948-korsazh-effi-s-otkrjtjm-byustom-i-oborkami-poverh/","8948")</f>
      </c>
      <c r="B3388" s="8" t="s">
        <v>3380</v>
      </c>
      <c r="C3388" s="9">
        <v>1462</v>
      </c>
      <c r="D3388" s="0">
        <v>1</v>
      </c>
      <c r="E3388" s="10">
        <f>HYPERLINK("http://www.lingerieopt.ru/images/original/18c59065-6ec6-4714-bf81-a9af525a5956.jpg","Фото")</f>
      </c>
    </row>
    <row r="3389">
      <c r="A3389" s="7">
        <f>HYPERLINK("http://www.lingerieopt.ru/item/8970-manyaschii-korsazh-ginette-s-komplekte-s-trusikami/","8970")</f>
      </c>
      <c r="B3389" s="8" t="s">
        <v>3381</v>
      </c>
      <c r="C3389" s="9">
        <v>2853</v>
      </c>
      <c r="D3389" s="0">
        <v>12</v>
      </c>
      <c r="E3389" s="10">
        <f>HYPERLINK("http://www.lingerieopt.ru/images/original/cda1216e-8cc6-497c-917b-1a4c14ff48da.jpg","Фото")</f>
      </c>
    </row>
    <row r="3390">
      <c r="A3390" s="7">
        <f>HYPERLINK("http://www.lingerieopt.ru/item/8981-korsazh-s-kruzhevom-i-originalnjm-dizainom-spinki/","8981")</f>
      </c>
      <c r="B3390" s="8" t="s">
        <v>3382</v>
      </c>
      <c r="C3390" s="9">
        <v>1412</v>
      </c>
      <c r="D3390" s="0">
        <v>5</v>
      </c>
      <c r="E3390" s="10">
        <f>HYPERLINK("http://www.lingerieopt.ru/images/original/7d361486-51a7-478f-bf88-ab7108cfdc79.jpg","Фото")</f>
      </c>
    </row>
    <row r="3391">
      <c r="A3391" s="7">
        <f>HYPERLINK("http://www.lingerieopt.ru/item/8981-korsazh-s-kruzhevom-i-originalnjm-dizainom-spinki/","8981")</f>
      </c>
      <c r="B3391" s="8" t="s">
        <v>3383</v>
      </c>
      <c r="C3391" s="9">
        <v>1412</v>
      </c>
      <c r="D3391" s="0">
        <v>10</v>
      </c>
      <c r="E3391" s="10">
        <f>HYPERLINK("http://www.lingerieopt.ru/images/original/7d361486-51a7-478f-bf88-ab7108cfdc79.jpg","Фото")</f>
      </c>
    </row>
    <row r="3392">
      <c r="A3392" s="7">
        <f>HYPERLINK("http://www.lingerieopt.ru/item/8981-korsazh-s-kruzhevom-i-originalnjm-dizainom-spinki/","8981")</f>
      </c>
      <c r="B3392" s="8" t="s">
        <v>3384</v>
      </c>
      <c r="C3392" s="9">
        <v>1412</v>
      </c>
      <c r="D3392" s="0">
        <v>0</v>
      </c>
      <c r="E3392" s="10">
        <f>HYPERLINK("http://www.lingerieopt.ru/images/original/7d361486-51a7-478f-bf88-ab7108cfdc79.jpg","Фото")</f>
      </c>
    </row>
    <row r="3393">
      <c r="A3393" s="7">
        <f>HYPERLINK("http://www.lingerieopt.ru/item/8988-korsazh-s-pazhami-christina-iz-nezhnogo-kruzheva/","8988")</f>
      </c>
      <c r="B3393" s="8" t="s">
        <v>3385</v>
      </c>
      <c r="C3393" s="9">
        <v>2593</v>
      </c>
      <c r="D3393" s="0">
        <v>1</v>
      </c>
      <c r="E3393" s="10">
        <f>HYPERLINK("http://www.lingerieopt.ru/images/original/ef5af61a-ea83-4076-9ed7-9e2d3bc641e4.jpg","Фото")</f>
      </c>
    </row>
    <row r="3394">
      <c r="A3394" s="7">
        <f>HYPERLINK("http://www.lingerieopt.ru/item/8988-korsazh-s-pazhami-christina-iz-nezhnogo-kruzheva/","8988")</f>
      </c>
      <c r="B3394" s="8" t="s">
        <v>3386</v>
      </c>
      <c r="C3394" s="9">
        <v>2593</v>
      </c>
      <c r="D3394" s="0">
        <v>0</v>
      </c>
      <c r="E3394" s="10">
        <f>HYPERLINK("http://www.lingerieopt.ru/images/original/ef5af61a-ea83-4076-9ed7-9e2d3bc641e4.jpg","Фото")</f>
      </c>
    </row>
    <row r="3395">
      <c r="A3395" s="7">
        <f>HYPERLINK("http://www.lingerieopt.ru/item/8988-korsazh-s-pazhami-christina-iz-nezhnogo-kruzheva/","8988")</f>
      </c>
      <c r="B3395" s="8" t="s">
        <v>3387</v>
      </c>
      <c r="C3395" s="9">
        <v>2593</v>
      </c>
      <c r="D3395" s="0">
        <v>2</v>
      </c>
      <c r="E3395" s="10">
        <f>HYPERLINK("http://www.lingerieopt.ru/images/original/ef5af61a-ea83-4076-9ed7-9e2d3bc641e4.jpg","Фото")</f>
      </c>
    </row>
    <row r="3396">
      <c r="A3396" s="7">
        <f>HYPERLINK("http://www.lingerieopt.ru/item/9036-soblaznitelnji-korsazh-luna-iz-cvetochnogo-kruzheva/","9036")</f>
      </c>
      <c r="B3396" s="8" t="s">
        <v>3388</v>
      </c>
      <c r="C3396" s="9">
        <v>1732</v>
      </c>
      <c r="D3396" s="0">
        <v>0</v>
      </c>
      <c r="E3396" s="10">
        <f>HYPERLINK("http://www.lingerieopt.ru/images/original/0b563c07-c02a-4f42-a292-4f40fa46dcfb.jpg","Фото")</f>
      </c>
    </row>
    <row r="3397">
      <c r="A3397" s="7">
        <f>HYPERLINK("http://www.lingerieopt.ru/item/9036-soblaznitelnji-korsazh-luna-iz-cvetochnogo-kruzheva/","9036")</f>
      </c>
      <c r="B3397" s="8" t="s">
        <v>3389</v>
      </c>
      <c r="C3397" s="9">
        <v>1732</v>
      </c>
      <c r="D3397" s="0">
        <v>6</v>
      </c>
      <c r="E3397" s="10">
        <f>HYPERLINK("http://www.lingerieopt.ru/images/original/0b563c07-c02a-4f42-a292-4f40fa46dcfb.jpg","Фото")</f>
      </c>
    </row>
    <row r="3398">
      <c r="A3398" s="7">
        <f>HYPERLINK("http://www.lingerieopt.ru/item/9086-roskoshnji-oblegayuschii-dvuhcvetnji-korsazh/","9086")</f>
      </c>
      <c r="B3398" s="8" t="s">
        <v>3390</v>
      </c>
      <c r="C3398" s="9">
        <v>1978</v>
      </c>
      <c r="D3398" s="0">
        <v>3</v>
      </c>
      <c r="E3398" s="10">
        <f>HYPERLINK("http://www.lingerieopt.ru/images/original/edf7fd4a-ecdb-42cd-9447-55329bd76712.jpg","Фото")</f>
      </c>
    </row>
    <row r="3399">
      <c r="A3399" s="7">
        <f>HYPERLINK("http://www.lingerieopt.ru/item/9086-roskoshnji-oblegayuschii-dvuhcvetnji-korsazh/","9086")</f>
      </c>
      <c r="B3399" s="8" t="s">
        <v>3391</v>
      </c>
      <c r="C3399" s="9">
        <v>1978</v>
      </c>
      <c r="D3399" s="0">
        <v>1</v>
      </c>
      <c r="E3399" s="10">
        <f>HYPERLINK("http://www.lingerieopt.ru/images/original/edf7fd4a-ecdb-42cd-9447-55329bd76712.jpg","Фото")</f>
      </c>
    </row>
    <row r="3400">
      <c r="A3400" s="7">
        <f>HYPERLINK("http://www.lingerieopt.ru/item/9120-krasnji-korsazh-s-kruzhevami/","9120")</f>
      </c>
      <c r="B3400" s="8" t="s">
        <v>3392</v>
      </c>
      <c r="C3400" s="9">
        <v>1590</v>
      </c>
      <c r="D3400" s="0">
        <v>5</v>
      </c>
      <c r="E3400" s="10">
        <f>HYPERLINK("http://www.lingerieopt.ru/images/original/5e036ceb-b3af-494e-ac20-586aa0b5970d.jpg","Фото")</f>
      </c>
    </row>
    <row r="3401">
      <c r="A3401" s="7">
        <f>HYPERLINK("http://www.lingerieopt.ru/item/9120-krasnji-korsazh-s-kruzhevami/","9120")</f>
      </c>
      <c r="B3401" s="8" t="s">
        <v>3393</v>
      </c>
      <c r="C3401" s="9">
        <v>1590</v>
      </c>
      <c r="D3401" s="0">
        <v>7</v>
      </c>
      <c r="E3401" s="10">
        <f>HYPERLINK("http://www.lingerieopt.ru/images/original/5e036ceb-b3af-494e-ac20-586aa0b5970d.jpg","Фото")</f>
      </c>
    </row>
    <row r="3402">
      <c r="A3402" s="7">
        <f>HYPERLINK("http://www.lingerieopt.ru/item/9174-poluprozrachnji-korsazh-s-kruzhevami/","9174")</f>
      </c>
      <c r="B3402" s="8" t="s">
        <v>3394</v>
      </c>
      <c r="C3402" s="9">
        <v>1496</v>
      </c>
      <c r="D3402" s="0">
        <v>4</v>
      </c>
      <c r="E3402" s="10">
        <f>HYPERLINK("http://www.lingerieopt.ru/images/original/cdbd7208-1d72-4fe4-9ff6-027d8fc9d5fe.jpg","Фото")</f>
      </c>
    </row>
    <row r="3403">
      <c r="A3403" s="7">
        <f>HYPERLINK("http://www.lingerieopt.ru/item/9174-poluprozrachnji-korsazh-s-kruzhevami/","9174")</f>
      </c>
      <c r="B3403" s="8" t="s">
        <v>3395</v>
      </c>
      <c r="C3403" s="9">
        <v>1496</v>
      </c>
      <c r="D3403" s="0">
        <v>7</v>
      </c>
      <c r="E3403" s="10">
        <f>HYPERLINK("http://www.lingerieopt.ru/images/original/cdbd7208-1d72-4fe4-9ff6-027d8fc9d5fe.jpg","Фото")</f>
      </c>
    </row>
    <row r="3404">
      <c r="A3404" s="7">
        <f>HYPERLINK("http://www.lingerieopt.ru/item/9184-korsazh-iz-materiala-v-krapinku/","9184")</f>
      </c>
      <c r="B3404" s="8" t="s">
        <v>3396</v>
      </c>
      <c r="C3404" s="9">
        <v>1939</v>
      </c>
      <c r="D3404" s="0">
        <v>1</v>
      </c>
      <c r="E3404" s="10">
        <f>HYPERLINK("http://www.lingerieopt.ru/images/original/2bfc03ec-cff5-4165-a193-abe891d8b660.jpg","Фото")</f>
      </c>
    </row>
    <row r="3405">
      <c r="A3405" s="7">
        <f>HYPERLINK("http://www.lingerieopt.ru/item/9184-korsazh-iz-materiala-v-krapinku/","9184")</f>
      </c>
      <c r="B3405" s="8" t="s">
        <v>3397</v>
      </c>
      <c r="C3405" s="9">
        <v>1939</v>
      </c>
      <c r="D3405" s="0">
        <v>7</v>
      </c>
      <c r="E3405" s="10">
        <f>HYPERLINK("http://www.lingerieopt.ru/images/original/2bfc03ec-cff5-4165-a193-abe891d8b660.jpg","Фото")</f>
      </c>
    </row>
    <row r="3406">
      <c r="A3406" s="7">
        <f>HYPERLINK("http://www.lingerieopt.ru/item/9234-korsazh-zalika-s-cvetochnjm-risunkom-kruzheva/","9234")</f>
      </c>
      <c r="B3406" s="8" t="s">
        <v>3398</v>
      </c>
      <c r="C3406" s="9">
        <v>1409</v>
      </c>
      <c r="D3406" s="0">
        <v>7</v>
      </c>
      <c r="E3406" s="10">
        <f>HYPERLINK("http://www.lingerieopt.ru/images/original/8a048677-6827-4253-add8-d60e2ede39af.jpg","Фото")</f>
      </c>
    </row>
    <row r="3407">
      <c r="A3407" s="7">
        <f>HYPERLINK("http://www.lingerieopt.ru/item/9234-korsazh-zalika-s-cvetochnjm-risunkom-kruzheva/","9234")</f>
      </c>
      <c r="B3407" s="8" t="s">
        <v>3399</v>
      </c>
      <c r="C3407" s="9">
        <v>1409</v>
      </c>
      <c r="D3407" s="0">
        <v>8</v>
      </c>
      <c r="E3407" s="10">
        <f>HYPERLINK("http://www.lingerieopt.ru/images/original/8a048677-6827-4253-add8-d60e2ede39af.jpg","Фото")</f>
      </c>
    </row>
    <row r="3408">
      <c r="A3408" s="7">
        <f>HYPERLINK("http://www.lingerieopt.ru/item/9277-korsazh-montana-s-cvetochnjm-risunkom-na-poluprozrachnjh-vstavkah/","9277")</f>
      </c>
      <c r="B3408" s="8" t="s">
        <v>3400</v>
      </c>
      <c r="C3408" s="9">
        <v>1932</v>
      </c>
      <c r="D3408" s="0">
        <v>0</v>
      </c>
      <c r="E3408" s="10">
        <f>HYPERLINK("http://www.lingerieopt.ru/images/original/1a48c284-1b75-48bb-9e89-9909b478a094.jpg","Фото")</f>
      </c>
    </row>
    <row r="3409">
      <c r="A3409" s="7">
        <f>HYPERLINK("http://www.lingerieopt.ru/item/9277-korsazh-montana-s-cvetochnjm-risunkom-na-poluprozrachnjh-vstavkah/","9277")</f>
      </c>
      <c r="B3409" s="8" t="s">
        <v>3401</v>
      </c>
      <c r="C3409" s="9">
        <v>1932</v>
      </c>
      <c r="D3409" s="0">
        <v>1</v>
      </c>
      <c r="E3409" s="10">
        <f>HYPERLINK("http://www.lingerieopt.ru/images/original/1a48c284-1b75-48bb-9e89-9909b478a094.jpg","Фото")</f>
      </c>
    </row>
    <row r="3410">
      <c r="A3410" s="7">
        <f>HYPERLINK("http://www.lingerieopt.ru/item/9282-poluprozrachnji-korsazh-s-ryushevoi-otdelkoi/","9282")</f>
      </c>
      <c r="B3410" s="8" t="s">
        <v>3402</v>
      </c>
      <c r="C3410" s="9">
        <v>1771</v>
      </c>
      <c r="D3410" s="0">
        <v>2</v>
      </c>
      <c r="E3410" s="10">
        <f>HYPERLINK("http://www.lingerieopt.ru/images/original/1262b574-e5c4-443a-a980-7d802d911e05.jpg","Фото")</f>
      </c>
    </row>
    <row r="3411">
      <c r="A3411" s="7">
        <f>HYPERLINK("http://www.lingerieopt.ru/item/9282-poluprozrachnji-korsazh-s-ryushevoi-otdelkoi/","9282")</f>
      </c>
      <c r="B3411" s="8" t="s">
        <v>3403</v>
      </c>
      <c r="C3411" s="9">
        <v>1771</v>
      </c>
      <c r="D3411" s="0">
        <v>5</v>
      </c>
      <c r="E3411" s="10">
        <f>HYPERLINK("http://www.lingerieopt.ru/images/original/1262b574-e5c4-443a-a980-7d802d911e05.jpg","Фото")</f>
      </c>
    </row>
    <row r="3412">
      <c r="A3412" s="7">
        <f>HYPERLINK("http://www.lingerieopt.ru/item/9283-poluprozrachnji-korsazh-s-otdelkoi-ryushami/","9283")</f>
      </c>
      <c r="B3412" s="8" t="s">
        <v>3404</v>
      </c>
      <c r="C3412" s="9">
        <v>1747</v>
      </c>
      <c r="D3412" s="0">
        <v>5</v>
      </c>
      <c r="E3412" s="10">
        <f>HYPERLINK("http://www.lingerieopt.ru/images/original/a6023d88-f50e-45ba-aa4c-7ece66be2d86.jpg","Фото")</f>
      </c>
    </row>
    <row r="3413">
      <c r="A3413" s="7">
        <f>HYPERLINK("http://www.lingerieopt.ru/item/9288-poluprozrachnji-korsazh-s-azhurnjm-dekorom-i-kontrastnoi-strochkoi/","9288")</f>
      </c>
      <c r="B3413" s="8" t="s">
        <v>3405</v>
      </c>
      <c r="C3413" s="9">
        <v>1732</v>
      </c>
      <c r="D3413" s="0">
        <v>3</v>
      </c>
      <c r="E3413" s="10">
        <f>HYPERLINK("http://www.lingerieopt.ru/images/original/ac256604-743a-4023-9004-8c82e6255631.jpg","Фото")</f>
      </c>
    </row>
    <row r="3414">
      <c r="A3414" s="7">
        <f>HYPERLINK("http://www.lingerieopt.ru/item/9288-poluprozrachnji-korsazh-s-azhurnjm-dekorom-i-kontrastnoi-strochkoi/","9288")</f>
      </c>
      <c r="B3414" s="8" t="s">
        <v>3406</v>
      </c>
      <c r="C3414" s="9">
        <v>1732</v>
      </c>
      <c r="D3414" s="0">
        <v>4</v>
      </c>
      <c r="E3414" s="10">
        <f>HYPERLINK("http://www.lingerieopt.ru/images/original/ac256604-743a-4023-9004-8c82e6255631.jpg","Фото")</f>
      </c>
    </row>
    <row r="3415">
      <c r="A3415" s="7">
        <f>HYPERLINK("http://www.lingerieopt.ru/item/9349-korsazh-s-azhurnjm-lifom/","9349")</f>
      </c>
      <c r="B3415" s="8" t="s">
        <v>3407</v>
      </c>
      <c r="C3415" s="9">
        <v>2376</v>
      </c>
      <c r="D3415" s="0">
        <v>3</v>
      </c>
      <c r="E3415" s="10">
        <f>HYPERLINK("http://www.lingerieopt.ru/images/original/c4830f55-eddf-4733-95c2-451e11cd2cdb.jpg","Фото")</f>
      </c>
    </row>
    <row r="3416">
      <c r="A3416" s="7">
        <f>HYPERLINK("http://www.lingerieopt.ru/item/9349-korsazh-s-azhurnjm-lifom/","9349")</f>
      </c>
      <c r="B3416" s="8" t="s">
        <v>3408</v>
      </c>
      <c r="C3416" s="9">
        <v>2376</v>
      </c>
      <c r="D3416" s="0">
        <v>2</v>
      </c>
      <c r="E3416" s="10">
        <f>HYPERLINK("http://www.lingerieopt.ru/images/original/c4830f55-eddf-4733-95c2-451e11cd2cdb.jpg","Фото")</f>
      </c>
    </row>
    <row r="3417">
      <c r="A3417" s="7">
        <f>HYPERLINK("http://www.lingerieopt.ru/item/9698-korsazh-dominique-s-falsh-shnurovkoi-iz-lent/","9698")</f>
      </c>
      <c r="B3417" s="8" t="s">
        <v>3409</v>
      </c>
      <c r="C3417" s="9">
        <v>1451</v>
      </c>
      <c r="D3417" s="0">
        <v>1</v>
      </c>
      <c r="E3417" s="10">
        <f>HYPERLINK("http://www.lingerieopt.ru/images/original/391416e2-ab47-4ca1-b4ab-9224efddc4b3.jpg","Фото")</f>
      </c>
    </row>
    <row r="3418">
      <c r="A3418" s="7">
        <f>HYPERLINK("http://www.lingerieopt.ru/item/9698-korsazh-dominique-s-falsh-shnurovkoi-iz-lent/","9698")</f>
      </c>
      <c r="B3418" s="8" t="s">
        <v>3410</v>
      </c>
      <c r="C3418" s="9">
        <v>1451</v>
      </c>
      <c r="D3418" s="0">
        <v>1</v>
      </c>
      <c r="E3418" s="10">
        <f>HYPERLINK("http://www.lingerieopt.ru/images/original/391416e2-ab47-4ca1-b4ab-9224efddc4b3.jpg","Фото")</f>
      </c>
    </row>
    <row r="3419">
      <c r="A3419" s="7">
        <f>HYPERLINK("http://www.lingerieopt.ru/item/9698-korsazh-dominique-s-falsh-shnurovkoi-iz-lent/","9698")</f>
      </c>
      <c r="B3419" s="8" t="s">
        <v>3411</v>
      </c>
      <c r="C3419" s="9">
        <v>1451</v>
      </c>
      <c r="D3419" s="0">
        <v>5</v>
      </c>
      <c r="E3419" s="10">
        <f>HYPERLINK("http://www.lingerieopt.ru/images/original/391416e2-ab47-4ca1-b4ab-9224efddc4b3.jpg","Фото")</f>
      </c>
    </row>
    <row r="3420">
      <c r="A3420" s="7">
        <f>HYPERLINK("http://www.lingerieopt.ru/item/9698-korsazh-dominique-s-falsh-shnurovkoi-iz-lent/","9698")</f>
      </c>
      <c r="B3420" s="8" t="s">
        <v>3412</v>
      </c>
      <c r="C3420" s="9">
        <v>1451</v>
      </c>
      <c r="D3420" s="0">
        <v>5</v>
      </c>
      <c r="E3420" s="10">
        <f>HYPERLINK("http://www.lingerieopt.ru/images/original/391416e2-ab47-4ca1-b4ab-9224efddc4b3.jpg","Фото")</f>
      </c>
    </row>
    <row r="3421">
      <c r="A3421" s="7">
        <f>HYPERLINK("http://www.lingerieopt.ru/item/9698-korsazh-dominique-s-falsh-shnurovkoi-iz-lent/","9698")</f>
      </c>
      <c r="B3421" s="8" t="s">
        <v>3413</v>
      </c>
      <c r="C3421" s="9">
        <v>1451</v>
      </c>
      <c r="D3421" s="0">
        <v>2</v>
      </c>
      <c r="E3421" s="10">
        <f>HYPERLINK("http://www.lingerieopt.ru/images/original/391416e2-ab47-4ca1-b4ab-9224efddc4b3.jpg","Фото")</f>
      </c>
    </row>
    <row r="3422">
      <c r="A3422" s="7">
        <f>HYPERLINK("http://www.lingerieopt.ru/item/9698-korsazh-dominique-s-falsh-shnurovkoi-iz-lent/","9698")</f>
      </c>
      <c r="B3422" s="8" t="s">
        <v>3414</v>
      </c>
      <c r="C3422" s="9">
        <v>1451</v>
      </c>
      <c r="D3422" s="0">
        <v>0</v>
      </c>
      <c r="E3422" s="10">
        <f>HYPERLINK("http://www.lingerieopt.ru/images/original/391416e2-ab47-4ca1-b4ab-9224efddc4b3.jpg","Фото")</f>
      </c>
    </row>
    <row r="3423">
      <c r="A3423" s="7">
        <f>HYPERLINK("http://www.lingerieopt.ru/item/9699-korsazh-dominique-s-falsh-shnurovkoi-iz-lent/","9699")</f>
      </c>
      <c r="B3423" s="8" t="s">
        <v>3415</v>
      </c>
      <c r="C3423" s="9">
        <v>1451</v>
      </c>
      <c r="D3423" s="0">
        <v>2</v>
      </c>
      <c r="E3423" s="10">
        <f>HYPERLINK("http://www.lingerieopt.ru/images/original/a3a8d874-d3fe-4501-b503-b17f77684109.jpg","Фото")</f>
      </c>
    </row>
    <row r="3424">
      <c r="A3424" s="7">
        <f>HYPERLINK("http://www.lingerieopt.ru/item/9699-korsazh-dominique-s-falsh-shnurovkoi-iz-lent/","9699")</f>
      </c>
      <c r="B3424" s="8" t="s">
        <v>3416</v>
      </c>
      <c r="C3424" s="9">
        <v>1451</v>
      </c>
      <c r="D3424" s="0">
        <v>2</v>
      </c>
      <c r="E3424" s="10">
        <f>HYPERLINK("http://www.lingerieopt.ru/images/original/a3a8d874-d3fe-4501-b503-b17f77684109.jpg","Фото")</f>
      </c>
    </row>
    <row r="3425">
      <c r="A3425" s="7">
        <f>HYPERLINK("http://www.lingerieopt.ru/item/9699-korsazh-dominique-s-falsh-shnurovkoi-iz-lent/","9699")</f>
      </c>
      <c r="B3425" s="8" t="s">
        <v>3417</v>
      </c>
      <c r="C3425" s="9">
        <v>1451</v>
      </c>
      <c r="D3425" s="0">
        <v>1</v>
      </c>
      <c r="E3425" s="10">
        <f>HYPERLINK("http://www.lingerieopt.ru/images/original/a3a8d874-d3fe-4501-b503-b17f77684109.jpg","Фото")</f>
      </c>
    </row>
    <row r="3426">
      <c r="A3426" s="7">
        <f>HYPERLINK("http://www.lingerieopt.ru/item/9707-korset-catty-plus-size-iz-materiala-s-vinilovjm-napjleniem/","9707")</f>
      </c>
      <c r="B3426" s="8" t="s">
        <v>3418</v>
      </c>
      <c r="C3426" s="9">
        <v>1626</v>
      </c>
      <c r="D3426" s="0">
        <v>2</v>
      </c>
      <c r="E3426" s="10">
        <f>HYPERLINK("http://www.lingerieopt.ru/images/original/1b2e0c4f-98b9-4e5d-bed4-e7f23f409b14.jpg","Фото")</f>
      </c>
    </row>
    <row r="3427">
      <c r="A3427" s="7">
        <f>HYPERLINK("http://www.lingerieopt.ru/item/9708-korset-bes-so-shnurovkoi-speredi-i-pazhami-dlya-chulok/","9708")</f>
      </c>
      <c r="B3427" s="8" t="s">
        <v>3419</v>
      </c>
      <c r="C3427" s="9">
        <v>1451</v>
      </c>
      <c r="D3427" s="0">
        <v>4</v>
      </c>
      <c r="E3427" s="10">
        <f>HYPERLINK("http://www.lingerieopt.ru/images/original/25df2ee8-c7d6-4216-8b9d-64b9e9a97b96.jpg","Фото")</f>
      </c>
    </row>
    <row r="3428">
      <c r="A3428" s="7">
        <f>HYPERLINK("http://www.lingerieopt.ru/item/9708-korset-bes-so-shnurovkoi-speredi-i-pazhami-dlya-chulok/","9708")</f>
      </c>
      <c r="B3428" s="8" t="s">
        <v>3420</v>
      </c>
      <c r="C3428" s="9">
        <v>1451</v>
      </c>
      <c r="D3428" s="0">
        <v>5</v>
      </c>
      <c r="E3428" s="10">
        <f>HYPERLINK("http://www.lingerieopt.ru/images/original/25df2ee8-c7d6-4216-8b9d-64b9e9a97b96.jpg","Фото")</f>
      </c>
    </row>
    <row r="3429">
      <c r="A3429" s="7">
        <f>HYPERLINK("http://www.lingerieopt.ru/item/9713-korsazh-janet-plus-size-s-lifom-v-forme-serdca-i-podvyazkami-dlya-chulok/","9713")</f>
      </c>
      <c r="B3429" s="8" t="s">
        <v>3421</v>
      </c>
      <c r="C3429" s="9">
        <v>1299</v>
      </c>
      <c r="D3429" s="0">
        <v>2</v>
      </c>
      <c r="E3429" s="10">
        <f>HYPERLINK("http://www.lingerieopt.ru/images/original/ad0c2294-50af-4b7d-a04c-764aa14b77d7.jpg","Фото")</f>
      </c>
    </row>
    <row r="3430">
      <c r="A3430" s="7">
        <f>HYPERLINK("http://www.lingerieopt.ru/item/9714-korsazh-katriss-plus-size-iz-setki-so-shnurovkoi/","9714")</f>
      </c>
      <c r="B3430" s="8" t="s">
        <v>3422</v>
      </c>
      <c r="C3430" s="9">
        <v>1299</v>
      </c>
      <c r="D3430" s="0">
        <v>3</v>
      </c>
      <c r="E3430" s="10">
        <f>HYPERLINK("http://www.lingerieopt.ru/images/original/96c17f70-0426-447d-beca-c20f5a045f96.jpg","Фото")</f>
      </c>
    </row>
    <row r="3431">
      <c r="A3431" s="7">
        <f>HYPERLINK("http://www.lingerieopt.ru/item/9716-udlinennji-korsazh-paloma-plus-size-s-cvetochnjm-kruzhevom/","9716")</f>
      </c>
      <c r="B3431" s="8" t="s">
        <v>3423</v>
      </c>
      <c r="C3431" s="9">
        <v>1299</v>
      </c>
      <c r="D3431" s="0">
        <v>2</v>
      </c>
      <c r="E3431" s="10">
        <f>HYPERLINK("http://www.lingerieopt.ru/images/original/06b6a56d-98b8-40a9-bfbb-61311b4b8b50.jpg","Фото")</f>
      </c>
    </row>
    <row r="3432">
      <c r="A3432" s="7">
        <f>HYPERLINK("http://www.lingerieopt.ru/item/9717-kruzhevnoi-korsazh-xena-s-krupnjm-cvetochnjm-risunkom/","9717")</f>
      </c>
      <c r="B3432" s="8" t="s">
        <v>3424</v>
      </c>
      <c r="C3432" s="9">
        <v>1299</v>
      </c>
      <c r="D3432" s="0">
        <v>7</v>
      </c>
      <c r="E3432" s="10">
        <f>HYPERLINK("http://www.lingerieopt.ru/images/original/51d33fc7-d726-4586-8ae3-e05b2c43394b.jpg","Фото")</f>
      </c>
    </row>
    <row r="3433">
      <c r="A3433" s="7">
        <f>HYPERLINK("http://www.lingerieopt.ru/item/9717-kruzhevnoi-korsazh-xena-s-krupnjm-cvetochnjm-risunkom/","9717")</f>
      </c>
      <c r="B3433" s="8" t="s">
        <v>3425</v>
      </c>
      <c r="C3433" s="9">
        <v>1299</v>
      </c>
      <c r="D3433" s="0">
        <v>4</v>
      </c>
      <c r="E3433" s="10">
        <f>HYPERLINK("http://www.lingerieopt.ru/images/original/51d33fc7-d726-4586-8ae3-e05b2c43394b.jpg","Фото")</f>
      </c>
    </row>
    <row r="3434">
      <c r="A3434" s="7">
        <f>HYPERLINK("http://www.lingerieopt.ru/item/9718-azhurnji-korsazh-xena-plus-size-s-krupnjm-cvetochnjm-risunkom/","9718")</f>
      </c>
      <c r="B3434" s="8" t="s">
        <v>3426</v>
      </c>
      <c r="C3434" s="9">
        <v>1299</v>
      </c>
      <c r="D3434" s="0">
        <v>1</v>
      </c>
      <c r="E3434" s="10">
        <f>HYPERLINK("http://www.lingerieopt.ru/images/original/87cdaaab-50e2-4ff4-af20-4e79b39e6c87.jpg","Фото")</f>
      </c>
    </row>
    <row r="3435">
      <c r="A3435" s="7">
        <f>HYPERLINK("http://www.lingerieopt.ru/item/9745-korsazh-bez-bretelei-zola-plus-size-s-prozrachnoi-vstavkoi-po-centru/","9745")</f>
      </c>
      <c r="B3435" s="8" t="s">
        <v>3427</v>
      </c>
      <c r="C3435" s="9">
        <v>1140</v>
      </c>
      <c r="D3435" s="0">
        <v>3</v>
      </c>
      <c r="E3435" s="10">
        <f>HYPERLINK("http://www.lingerieopt.ru/images/original/355d8381-6017-4e04-813e-6ffbac405ca2.jpg","Фото")</f>
      </c>
    </row>
    <row r="3436">
      <c r="A3436" s="7">
        <f>HYPERLINK("http://www.lingerieopt.ru/item/9759-roskoshnji-korsazh-brasiliana-s-vjshivkoi/","9759")</f>
      </c>
      <c r="B3436" s="8" t="s">
        <v>3428</v>
      </c>
      <c r="C3436" s="9">
        <v>1771</v>
      </c>
      <c r="D3436" s="0">
        <v>2</v>
      </c>
      <c r="E3436" s="10">
        <f>HYPERLINK("http://www.lingerieopt.ru/images/original/35d7f167-5070-4393-94a1-0dc7de01b8da.jpg","Фото")</f>
      </c>
    </row>
    <row r="3437">
      <c r="A3437" s="7">
        <f>HYPERLINK("http://www.lingerieopt.ru/item/9759-roskoshnji-korsazh-brasiliana-s-vjshivkoi/","9759")</f>
      </c>
      <c r="B3437" s="8" t="s">
        <v>3429</v>
      </c>
      <c r="C3437" s="9">
        <v>1771</v>
      </c>
      <c r="D3437" s="0">
        <v>2</v>
      </c>
      <c r="E3437" s="10">
        <f>HYPERLINK("http://www.lingerieopt.ru/images/original/35d7f167-5070-4393-94a1-0dc7de01b8da.jpg","Фото")</f>
      </c>
    </row>
    <row r="3438">
      <c r="A3438" s="7">
        <f>HYPERLINK("http://www.lingerieopt.ru/item/9759-roskoshnji-korsazh-brasiliana-s-vjshivkoi/","9759")</f>
      </c>
      <c r="B3438" s="8" t="s">
        <v>3430</v>
      </c>
      <c r="C3438" s="9">
        <v>1771</v>
      </c>
      <c r="D3438" s="0">
        <v>2</v>
      </c>
      <c r="E3438" s="10">
        <f>HYPERLINK("http://www.lingerieopt.ru/images/original/35d7f167-5070-4393-94a1-0dc7de01b8da.jpg","Фото")</f>
      </c>
    </row>
    <row r="3439">
      <c r="A3439" s="7">
        <f>HYPERLINK("http://www.lingerieopt.ru/item/9768-soblaznitelnji-korsazh-brasiliana-s-vjshivkoi/","9768")</f>
      </c>
      <c r="B3439" s="8" t="s">
        <v>3431</v>
      </c>
      <c r="C3439" s="9">
        <v>1771</v>
      </c>
      <c r="D3439" s="0">
        <v>3</v>
      </c>
      <c r="E3439" s="10">
        <f>HYPERLINK("http://www.lingerieopt.ru/images/original/8cffd1d4-625a-4ce8-8c4b-d3a2e2add10e.jpg","Фото")</f>
      </c>
    </row>
    <row r="3440">
      <c r="A3440" s="7">
        <f>HYPERLINK("http://www.lingerieopt.ru/item/9768-soblaznitelnji-korsazh-brasiliana-s-vjshivkoi/","9768")</f>
      </c>
      <c r="B3440" s="8" t="s">
        <v>3432</v>
      </c>
      <c r="C3440" s="9">
        <v>1771</v>
      </c>
      <c r="D3440" s="0">
        <v>2</v>
      </c>
      <c r="E3440" s="10">
        <f>HYPERLINK("http://www.lingerieopt.ru/images/original/8cffd1d4-625a-4ce8-8c4b-d3a2e2add10e.jpg","Фото")</f>
      </c>
    </row>
    <row r="3441">
      <c r="A3441" s="7">
        <f>HYPERLINK("http://www.lingerieopt.ru/item/9789-chuvstvennji-korsazh-carolyn-plus-size-s-nezhnjm-kruzhevom-i-oborkami/","9789")</f>
      </c>
      <c r="B3441" s="8" t="s">
        <v>3433</v>
      </c>
      <c r="C3441" s="9">
        <v>2082</v>
      </c>
      <c r="D3441" s="0">
        <v>3</v>
      </c>
      <c r="E3441" s="10">
        <f>HYPERLINK("http://www.lingerieopt.ru/images/original/2718d24b-2bbd-43ea-85e2-2be204ae26a9.jpg","Фото")</f>
      </c>
    </row>
    <row r="3442">
      <c r="A3442" s="7">
        <f>HYPERLINK("http://www.lingerieopt.ru/item/9789-chuvstvennji-korsazh-carolyn-plus-size-s-nezhnjm-kruzhevom-i-oborkami/","9789")</f>
      </c>
      <c r="B3442" s="8" t="s">
        <v>3434</v>
      </c>
      <c r="C3442" s="9">
        <v>2082</v>
      </c>
      <c r="D3442" s="0">
        <v>1</v>
      </c>
      <c r="E3442" s="10">
        <f>HYPERLINK("http://www.lingerieopt.ru/images/original/2718d24b-2bbd-43ea-85e2-2be204ae26a9.jpg","Фото")</f>
      </c>
    </row>
    <row r="3443">
      <c r="A3443" s="7">
        <f>HYPERLINK("http://www.lingerieopt.ru/item/9826-korsazh-bez-bretelei-valencia-s-prozrachnjmi-elementami/","9826")</f>
      </c>
      <c r="B3443" s="8" t="s">
        <v>3435</v>
      </c>
      <c r="C3443" s="9">
        <v>1371</v>
      </c>
      <c r="D3443" s="0">
        <v>1</v>
      </c>
      <c r="E3443" s="10">
        <f>HYPERLINK("http://www.lingerieopt.ru/images/original/64ee4916-5fb7-49a8-a3b1-226b8762ae9f.jpg","Фото")</f>
      </c>
    </row>
    <row r="3444">
      <c r="A3444" s="7">
        <f>HYPERLINK("http://www.lingerieopt.ru/item/9826-korsazh-bez-bretelei-valencia-s-prozrachnjmi-elementami/","9826")</f>
      </c>
      <c r="B3444" s="8" t="s">
        <v>3436</v>
      </c>
      <c r="C3444" s="9">
        <v>1371</v>
      </c>
      <c r="D3444" s="0">
        <v>0</v>
      </c>
      <c r="E3444" s="10">
        <f>HYPERLINK("http://www.lingerieopt.ru/images/original/64ee4916-5fb7-49a8-a3b1-226b8762ae9f.jpg","Фото")</f>
      </c>
    </row>
    <row r="3445">
      <c r="A3445" s="7">
        <f>HYPERLINK("http://www.lingerieopt.ru/item/9834-prozrachnji-tyulevji-korsazh-josslyn-s-vstavkoi-iz-azhura-na-zhivotike/","9834")</f>
      </c>
      <c r="B3445" s="8" t="s">
        <v>3437</v>
      </c>
      <c r="C3445" s="9">
        <v>1383</v>
      </c>
      <c r="D3445" s="0">
        <v>5</v>
      </c>
      <c r="E3445" s="10">
        <f>HYPERLINK("http://www.lingerieopt.ru/images/original/b4583100-108a-4051-b1b1-7cd5eea8d8bc.jpg","Фото")</f>
      </c>
    </row>
    <row r="3446">
      <c r="A3446" s="7">
        <f>HYPERLINK("http://www.lingerieopt.ru/item/9834-prozrachnji-tyulevji-korsazh-josslyn-s-vstavkoi-iz-azhura-na-zhivotike/","9834")</f>
      </c>
      <c r="B3446" s="8" t="s">
        <v>3438</v>
      </c>
      <c r="C3446" s="9">
        <v>1383</v>
      </c>
      <c r="D3446" s="0">
        <v>3</v>
      </c>
      <c r="E3446" s="10">
        <f>HYPERLINK("http://www.lingerieopt.ru/images/original/b4583100-108a-4051-b1b1-7cd5eea8d8bc.jpg","Фото")</f>
      </c>
    </row>
    <row r="3447">
      <c r="A3447" s="7">
        <f>HYPERLINK("http://www.lingerieopt.ru/item/9835-prozrachnji-tyulevji-korsazh-josslyn-plus-size-s-vstavkoi-iz-azhura-na-zhivotike/","9835")</f>
      </c>
      <c r="B3447" s="8" t="s">
        <v>3439</v>
      </c>
      <c r="C3447" s="9">
        <v>1383</v>
      </c>
      <c r="D3447" s="0">
        <v>3</v>
      </c>
      <c r="E3447" s="10">
        <f>HYPERLINK("http://www.lingerieopt.ru/images/original/9932f4cf-d357-471d-9b51-3d09e3ad049f.jpg","Фото")</f>
      </c>
    </row>
    <row r="3448">
      <c r="A3448" s="7">
        <f>HYPERLINK("http://www.lingerieopt.ru/item/9836-roskoshnji-korsazh-karmina-s-otkrjtjm-zhivotikom/","9836")</f>
      </c>
      <c r="B3448" s="8" t="s">
        <v>3440</v>
      </c>
      <c r="C3448" s="9">
        <v>1474</v>
      </c>
      <c r="D3448" s="0">
        <v>3</v>
      </c>
      <c r="E3448" s="10">
        <f>HYPERLINK("http://www.lingerieopt.ru/images/original/db504e2b-2e4f-4ff8-9f7f-c447bdb67bfd.jpg","Фото")</f>
      </c>
    </row>
    <row r="3449">
      <c r="A3449" s="7">
        <f>HYPERLINK("http://www.lingerieopt.ru/item/9836-roskoshnji-korsazh-karmina-s-otkrjtjm-zhivotikom/","9836")</f>
      </c>
      <c r="B3449" s="8" t="s">
        <v>3441</v>
      </c>
      <c r="C3449" s="9">
        <v>1474</v>
      </c>
      <c r="D3449" s="0">
        <v>2</v>
      </c>
      <c r="E3449" s="10">
        <f>HYPERLINK("http://www.lingerieopt.ru/images/original/db504e2b-2e4f-4ff8-9f7f-c447bdb67bfd.jpg","Фото")</f>
      </c>
    </row>
    <row r="3450">
      <c r="A3450" s="7">
        <f>HYPERLINK("http://www.lingerieopt.ru/item/9837-korsazh-nora-s-prozrachnjmi-elementami-i-rozovjmi-bantami/","9837")</f>
      </c>
      <c r="B3450" s="8" t="s">
        <v>3442</v>
      </c>
      <c r="C3450" s="9">
        <v>1348</v>
      </c>
      <c r="D3450" s="0">
        <v>4</v>
      </c>
      <c r="E3450" s="10">
        <f>HYPERLINK("http://www.lingerieopt.ru/images/original/f4e45ed2-33d3-400f-9e7e-3a1922d57d85.jpg","Фото")</f>
      </c>
    </row>
    <row r="3451">
      <c r="A3451" s="7">
        <f>HYPERLINK("http://www.lingerieopt.ru/item/9837-korsazh-nora-s-prozrachnjmi-elementami-i-rozovjmi-bantami/","9837")</f>
      </c>
      <c r="B3451" s="8" t="s">
        <v>3443</v>
      </c>
      <c r="C3451" s="9">
        <v>1348</v>
      </c>
      <c r="D3451" s="0">
        <v>1</v>
      </c>
      <c r="E3451" s="10">
        <f>HYPERLINK("http://www.lingerieopt.ru/images/original/f4e45ed2-33d3-400f-9e7e-3a1922d57d85.jpg","Фото")</f>
      </c>
    </row>
    <row r="3452">
      <c r="A3452" s="7">
        <f>HYPERLINK("http://www.lingerieopt.ru/item/9854-prelestnji-korsazh-ana-s-rombovidnjm-uzorom/","9854")</f>
      </c>
      <c r="B3452" s="8" t="s">
        <v>3444</v>
      </c>
      <c r="C3452" s="9">
        <v>1299</v>
      </c>
      <c r="D3452" s="0">
        <v>3</v>
      </c>
      <c r="E3452" s="10">
        <f>HYPERLINK("http://www.lingerieopt.ru/images/original/e0c14bd2-6b76-46f0-b868-e8e8b027e88c.jpg","Фото")</f>
      </c>
    </row>
    <row r="3453">
      <c r="A3453" s="7">
        <f>HYPERLINK("http://www.lingerieopt.ru/item/9854-prelestnji-korsazh-ana-s-rombovidnjm-uzorom/","9854")</f>
      </c>
      <c r="B3453" s="8" t="s">
        <v>3445</v>
      </c>
      <c r="C3453" s="9">
        <v>1299</v>
      </c>
      <c r="D3453" s="0">
        <v>5</v>
      </c>
      <c r="E3453" s="10">
        <f>HYPERLINK("http://www.lingerieopt.ru/images/original/e0c14bd2-6b76-46f0-b868-e8e8b027e88c.jpg","Фото")</f>
      </c>
    </row>
    <row r="3454">
      <c r="A3454" s="7">
        <f>HYPERLINK("http://www.lingerieopt.ru/item/9855-korsazh-ana-plus-size-s-rombovidnjm-uzorom-i-poluprozrachnjmi-elementami/","9855")</f>
      </c>
      <c r="B3454" s="8" t="s">
        <v>3446</v>
      </c>
      <c r="C3454" s="9">
        <v>1299</v>
      </c>
      <c r="D3454" s="0">
        <v>2</v>
      </c>
      <c r="E3454" s="10">
        <f>HYPERLINK("http://www.lingerieopt.ru/images/original/e53fde1f-45c3-4129-9899-9a2b64143f8b.jpg","Фото")</f>
      </c>
    </row>
    <row r="3455">
      <c r="A3455" s="7">
        <f>HYPERLINK("http://www.lingerieopt.ru/item/9860-poluprozrachnji-korsazh-gracia-s-bantami-i-cvetochnjm-risunkom/","9860")</f>
      </c>
      <c r="B3455" s="8" t="s">
        <v>3447</v>
      </c>
      <c r="C3455" s="9">
        <v>1299</v>
      </c>
      <c r="D3455" s="0">
        <v>3</v>
      </c>
      <c r="E3455" s="10">
        <f>HYPERLINK("http://www.lingerieopt.ru/images/original/f8aa22db-a62b-440c-91a1-85668bd63c60.jpg","Фото")</f>
      </c>
    </row>
    <row r="3456">
      <c r="A3456" s="7">
        <f>HYPERLINK("http://www.lingerieopt.ru/item/9860-poluprozrachnji-korsazh-gracia-s-bantami-i-cvetochnjm-risunkom/","9860")</f>
      </c>
      <c r="B3456" s="8" t="s">
        <v>3448</v>
      </c>
      <c r="C3456" s="9">
        <v>1299</v>
      </c>
      <c r="D3456" s="0">
        <v>1</v>
      </c>
      <c r="E3456" s="10">
        <f>HYPERLINK("http://www.lingerieopt.ru/images/original/f8aa22db-a62b-440c-91a1-85668bd63c60.jpg","Фото")</f>
      </c>
    </row>
    <row r="3457">
      <c r="A3457" s="7">
        <f>HYPERLINK("http://www.lingerieopt.ru/item/9861-poluprozrachnji-korsazh-gracia-plus-size-s-bantami-i-cvetochnjm-uzorom/","9861")</f>
      </c>
      <c r="B3457" s="8" t="s">
        <v>3449</v>
      </c>
      <c r="C3457" s="9">
        <v>1299</v>
      </c>
      <c r="D3457" s="0">
        <v>1</v>
      </c>
      <c r="E3457" s="10">
        <f>HYPERLINK("http://www.lingerieopt.ru/images/original/bcceac87-0a76-4b31-90db-199f609bfa15.jpg","Фото")</f>
      </c>
    </row>
    <row r="3458">
      <c r="A3458" s="7">
        <f>HYPERLINK("http://www.lingerieopt.ru/item/9881-korsazh-nadya-plus-size-s-prozrachnjmi-detalyami-i-vjrezami/","9881")</f>
      </c>
      <c r="B3458" s="8" t="s">
        <v>3450</v>
      </c>
      <c r="C3458" s="9">
        <v>1299</v>
      </c>
      <c r="D3458" s="0">
        <v>2</v>
      </c>
      <c r="E3458" s="10">
        <f>HYPERLINK("http://www.lingerieopt.ru/images/original/02219032-b7a8-41ed-a176-65799a98bcb7.jpg","Фото")</f>
      </c>
    </row>
    <row r="3459">
      <c r="A3459" s="7">
        <f>HYPERLINK("http://www.lingerieopt.ru/item/9886-effektnji-poluprozrachnji-korsazh-sandra-plus-size-iz-streich-materiala/","9886")</f>
      </c>
      <c r="B3459" s="8" t="s">
        <v>3451</v>
      </c>
      <c r="C3459" s="9">
        <v>1299</v>
      </c>
      <c r="D3459" s="0">
        <v>2</v>
      </c>
      <c r="E3459" s="10">
        <f>HYPERLINK("http://www.lingerieopt.ru/images/original/ad2476bf-3cb2-4e86-869b-9e525e95bb9b.jpg","Фото")</f>
      </c>
    </row>
    <row r="3460">
      <c r="A3460" s="7">
        <f>HYPERLINK("http://www.lingerieopt.ru/item/9886-effektnji-poluprozrachnji-korsazh-sandra-plus-size-iz-streich-materiala/","9886")</f>
      </c>
      <c r="B3460" s="8" t="s">
        <v>3452</v>
      </c>
      <c r="C3460" s="9">
        <v>1299</v>
      </c>
      <c r="D3460" s="0">
        <v>2</v>
      </c>
      <c r="E3460" s="10">
        <f>HYPERLINK("http://www.lingerieopt.ru/images/original/ad2476bf-3cb2-4e86-869b-9e525e95bb9b.jpg","Фото")</f>
      </c>
    </row>
    <row r="3461">
      <c r="A3461" s="7">
        <f>HYPERLINK("http://www.lingerieopt.ru/item/9890-chuvstvennji-korsazh-aurora-plus-size-s-cvetochnjm-risunkom/","9890")</f>
      </c>
      <c r="B3461" s="8" t="s">
        <v>3453</v>
      </c>
      <c r="C3461" s="9">
        <v>1543</v>
      </c>
      <c r="D3461" s="0">
        <v>2</v>
      </c>
      <c r="E3461" s="10">
        <f>HYPERLINK("http://www.lingerieopt.ru/images/original/b119aa65-bca1-486d-aed8-2ba217bc9369.jpg","Фото")</f>
      </c>
    </row>
    <row r="3462">
      <c r="A3462" s="7">
        <f>HYPERLINK("http://www.lingerieopt.ru/item/9893-nezhnji-korsazh-catalina-so-shnurovkoi-po-centru-i-oborkami/","9893")</f>
      </c>
      <c r="B3462" s="8" t="s">
        <v>3454</v>
      </c>
      <c r="C3462" s="9">
        <v>1647</v>
      </c>
      <c r="D3462" s="0">
        <v>2</v>
      </c>
      <c r="E3462" s="10">
        <f>HYPERLINK("http://www.lingerieopt.ru/images/original/e33f56fb-412e-4cbd-a382-fa91d7bc7313.jpg","Фото")</f>
      </c>
    </row>
    <row r="3463">
      <c r="A3463" s="7">
        <f>HYPERLINK("http://www.lingerieopt.ru/item/9893-nezhnji-korsazh-catalina-so-shnurovkoi-po-centru-i-oborkami/","9893")</f>
      </c>
      <c r="B3463" s="8" t="s">
        <v>3455</v>
      </c>
      <c r="C3463" s="9">
        <v>1647</v>
      </c>
      <c r="D3463" s="0">
        <v>3</v>
      </c>
      <c r="E3463" s="10">
        <f>HYPERLINK("http://www.lingerieopt.ru/images/original/e33f56fb-412e-4cbd-a382-fa91d7bc7313.jpg","Фото")</f>
      </c>
    </row>
    <row r="3464">
      <c r="A3464" s="7">
        <f>HYPERLINK("http://www.lingerieopt.ru/item/9894-nezhnji-korsazh-catalina-plus-size-so-shnurovkoi-po-centru-i-oborkami/","9894")</f>
      </c>
      <c r="B3464" s="8" t="s">
        <v>3456</v>
      </c>
      <c r="C3464" s="9">
        <v>1647</v>
      </c>
      <c r="D3464" s="0">
        <v>1</v>
      </c>
      <c r="E3464" s="10">
        <f>HYPERLINK("http://www.lingerieopt.ru/images/original/5ef198a0-afb3-4025-9caa-e102e5b8c785.jpg","Фото")</f>
      </c>
    </row>
    <row r="3465">
      <c r="A3465" s="7">
        <f>HYPERLINK("http://www.lingerieopt.ru/item/9895-korsazh-effi-s-otkrjtjm-lifom-i-oborkami-poverh/","9895")</f>
      </c>
      <c r="B3465" s="8" t="s">
        <v>3457</v>
      </c>
      <c r="C3465" s="9">
        <v>1462</v>
      </c>
      <c r="D3465" s="0">
        <v>3</v>
      </c>
      <c r="E3465" s="10">
        <f>HYPERLINK("http://www.lingerieopt.ru/images/original/ca519e77-950c-4be3-bcc2-9710a50a3a6c.jpg","Фото")</f>
      </c>
    </row>
    <row r="3466">
      <c r="A3466" s="7">
        <f>HYPERLINK("http://www.lingerieopt.ru/item/9895-korsazh-effi-s-otkrjtjm-lifom-i-oborkami-poverh/","9895")</f>
      </c>
      <c r="B3466" s="8" t="s">
        <v>3458</v>
      </c>
      <c r="C3466" s="9">
        <v>1462</v>
      </c>
      <c r="D3466" s="0">
        <v>2</v>
      </c>
      <c r="E3466" s="10">
        <f>HYPERLINK("http://www.lingerieopt.ru/images/original/ca519e77-950c-4be3-bcc2-9710a50a3a6c.jpg","Фото")</f>
      </c>
    </row>
    <row r="3467">
      <c r="A3467" s="7">
        <f>HYPERLINK("http://www.lingerieopt.ru/item/9896-poluprozrachnji-korsazh-enna-plus-size-s-kruzhevami/","9896")</f>
      </c>
      <c r="B3467" s="8" t="s">
        <v>3459</v>
      </c>
      <c r="C3467" s="9">
        <v>1567</v>
      </c>
      <c r="D3467" s="0">
        <v>1</v>
      </c>
      <c r="E3467" s="10">
        <f>HYPERLINK("http://www.lingerieopt.ru/images/original/c2096a86-78cf-4d68-b3da-701e78c1d12b.jpg","Фото")</f>
      </c>
    </row>
    <row r="3468">
      <c r="A3468" s="7">
        <f>HYPERLINK("http://www.lingerieopt.ru/item/9912-korsazh-gloria-s-dvuhcvetnjm-kruzhevom/","9912")</f>
      </c>
      <c r="B3468" s="8" t="s">
        <v>3460</v>
      </c>
      <c r="C3468" s="9">
        <v>1751</v>
      </c>
      <c r="D3468" s="0">
        <v>5</v>
      </c>
      <c r="E3468" s="10">
        <f>HYPERLINK("http://www.lingerieopt.ru/images/original/2baeb1aa-4851-49a5-a18f-567741f9b41c.jpg","Фото")</f>
      </c>
    </row>
    <row r="3469">
      <c r="A3469" s="7">
        <f>HYPERLINK("http://www.lingerieopt.ru/item/9912-korsazh-gloria-s-dvuhcvetnjm-kruzhevom/","9912")</f>
      </c>
      <c r="B3469" s="8" t="s">
        <v>3461</v>
      </c>
      <c r="C3469" s="9">
        <v>1751</v>
      </c>
      <c r="D3469" s="0">
        <v>6</v>
      </c>
      <c r="E3469" s="10">
        <f>HYPERLINK("http://www.lingerieopt.ru/images/original/2baeb1aa-4851-49a5-a18f-567741f9b41c.jpg","Фото")</f>
      </c>
    </row>
    <row r="3470">
      <c r="A3470" s="7">
        <f>HYPERLINK("http://www.lingerieopt.ru/item/9915-nezhnji-korsazh-eleni-s-izjskannjm-kruzhevom/","9915")</f>
      </c>
      <c r="B3470" s="8" t="s">
        <v>3462</v>
      </c>
      <c r="C3470" s="9">
        <v>2334</v>
      </c>
      <c r="D3470" s="0">
        <v>0</v>
      </c>
      <c r="E3470" s="10">
        <f>HYPERLINK("http://www.lingerieopt.ru/images/original/7e4b8d56-a786-4cb8-9bdc-e1555d0d31c5.jpg","Фото")</f>
      </c>
    </row>
    <row r="3471">
      <c r="A3471" s="7">
        <f>HYPERLINK("http://www.lingerieopt.ru/item/9915-nezhnji-korsazh-eleni-s-izjskannjm-kruzhevom/","9915")</f>
      </c>
      <c r="B3471" s="8" t="s">
        <v>3463</v>
      </c>
      <c r="C3471" s="9">
        <v>2334</v>
      </c>
      <c r="D3471" s="0">
        <v>1</v>
      </c>
      <c r="E3471" s="10">
        <f>HYPERLINK("http://www.lingerieopt.ru/images/original/7e4b8d56-a786-4cb8-9bdc-e1555d0d31c5.jpg","Фото")</f>
      </c>
    </row>
    <row r="3472">
      <c r="A3472" s="7">
        <f>HYPERLINK("http://www.lingerieopt.ru/item/9917-chuvstvennji-korsazh-larisa-so-shnurovkoi-i-oborkami/","9917")</f>
      </c>
      <c r="B3472" s="8" t="s">
        <v>3464</v>
      </c>
      <c r="C3472" s="9">
        <v>1990</v>
      </c>
      <c r="D3472" s="0">
        <v>0</v>
      </c>
      <c r="E3472" s="10">
        <f>HYPERLINK("http://www.lingerieopt.ru/images/original/2efa5a65-7f95-4794-bd91-dc8acd1f13c1.jpg","Фото")</f>
      </c>
    </row>
    <row r="3473">
      <c r="A3473" s="7">
        <f>HYPERLINK("http://www.lingerieopt.ru/item/9917-chuvstvennji-korsazh-larisa-so-shnurovkoi-i-oborkami/","9917")</f>
      </c>
      <c r="B3473" s="8" t="s">
        <v>3465</v>
      </c>
      <c r="C3473" s="9">
        <v>1990</v>
      </c>
      <c r="D3473" s="0">
        <v>2</v>
      </c>
      <c r="E3473" s="10">
        <f>HYPERLINK("http://www.lingerieopt.ru/images/original/2efa5a65-7f95-4794-bd91-dc8acd1f13c1.jpg","Фото")</f>
      </c>
    </row>
    <row r="3474">
      <c r="A3474" s="7">
        <f>HYPERLINK("http://www.lingerieopt.ru/item/9927-korsazh-zoja-v-tonkuyu-polosku-s-oborkami-i-shnurovkoi/","9927")</f>
      </c>
      <c r="B3474" s="8" t="s">
        <v>3466</v>
      </c>
      <c r="C3474" s="9">
        <v>2082</v>
      </c>
      <c r="D3474" s="0">
        <v>0</v>
      </c>
      <c r="E3474" s="10">
        <f>HYPERLINK("http://www.lingerieopt.ru/images/original/d30491f5-b17f-4d34-831b-9fb89eed8b3f.jpg","Фото")</f>
      </c>
    </row>
    <row r="3475">
      <c r="A3475" s="7">
        <f>HYPERLINK("http://www.lingerieopt.ru/item/9927-korsazh-zoja-v-tonkuyu-polosku-s-oborkami-i-shnurovkoi/","9927")</f>
      </c>
      <c r="B3475" s="8" t="s">
        <v>3467</v>
      </c>
      <c r="C3475" s="9">
        <v>2082</v>
      </c>
      <c r="D3475" s="0">
        <v>4</v>
      </c>
      <c r="E3475" s="10">
        <f>HYPERLINK("http://www.lingerieopt.ru/images/original/d30491f5-b17f-4d34-831b-9fb89eed8b3f.jpg","Фото")</f>
      </c>
    </row>
    <row r="3476">
      <c r="A3476" s="7">
        <f>HYPERLINK("http://www.lingerieopt.ru/item/9927-korsazh-zoja-v-tonkuyu-polosku-s-oborkami-i-shnurovkoi/","9927")</f>
      </c>
      <c r="B3476" s="8" t="s">
        <v>3468</v>
      </c>
      <c r="C3476" s="9">
        <v>2082</v>
      </c>
      <c r="D3476" s="0">
        <v>0</v>
      </c>
      <c r="E3476" s="10">
        <f>HYPERLINK("http://www.lingerieopt.ru/images/original/d30491f5-b17f-4d34-831b-9fb89eed8b3f.jpg","Фото")</f>
      </c>
    </row>
    <row r="3477">
      <c r="A3477" s="7">
        <f>HYPERLINK("http://www.lingerieopt.ru/item/9932-korsazh-v-tonkuyu-polosku-zoja-s-oborkami-i-shnurovkoi/","9932")</f>
      </c>
      <c r="B3477" s="8" t="s">
        <v>3469</v>
      </c>
      <c r="C3477" s="9">
        <v>1886</v>
      </c>
      <c r="D3477" s="0">
        <v>3</v>
      </c>
      <c r="E3477" s="10">
        <f>HYPERLINK("http://www.lingerieopt.ru/images/original/633e3a15-895f-4941-bc2a-100edfd4bccf.jpg","Фото")</f>
      </c>
    </row>
    <row r="3478">
      <c r="A3478" s="7">
        <f>HYPERLINK("http://www.lingerieopt.ru/item/9932-korsazh-v-tonkuyu-polosku-zoja-s-oborkami-i-shnurovkoi/","9932")</f>
      </c>
      <c r="B3478" s="8" t="s">
        <v>3470</v>
      </c>
      <c r="C3478" s="9">
        <v>1886</v>
      </c>
      <c r="D3478" s="0">
        <v>4</v>
      </c>
      <c r="E3478" s="10">
        <f>HYPERLINK("http://www.lingerieopt.ru/images/original/633e3a15-895f-4941-bc2a-100edfd4bccf.jpg","Фото")</f>
      </c>
    </row>
    <row r="3479">
      <c r="A3479" s="7">
        <f>HYPERLINK("http://www.lingerieopt.ru/item/10030-azhurnji-korsazh-henriette-s-uzorom-v-vide-pautinok/","10030")</f>
      </c>
      <c r="B3479" s="8" t="s">
        <v>3471</v>
      </c>
      <c r="C3479" s="9">
        <v>1732</v>
      </c>
      <c r="D3479" s="0">
        <v>7</v>
      </c>
      <c r="E3479" s="10">
        <f>HYPERLINK("http://www.lingerieopt.ru/images/original/0cc02c0b-1998-4e20-a832-0e23105a9867.jpg","Фото")</f>
      </c>
    </row>
    <row r="3480">
      <c r="A3480" s="7">
        <f>HYPERLINK("http://www.lingerieopt.ru/item/10030-azhurnji-korsazh-henriette-s-uzorom-v-vide-pautinok/","10030")</f>
      </c>
      <c r="B3480" s="8" t="s">
        <v>3472</v>
      </c>
      <c r="C3480" s="9">
        <v>1732</v>
      </c>
      <c r="D3480" s="0">
        <v>5</v>
      </c>
      <c r="E3480" s="10">
        <f>HYPERLINK("http://www.lingerieopt.ru/images/original/0cc02c0b-1998-4e20-a832-0e23105a9867.jpg","Фото")</f>
      </c>
    </row>
    <row r="3481">
      <c r="A3481" s="7">
        <f>HYPERLINK("http://www.lingerieopt.ru/item/10064-poluprozrachnji-korsazh-hellen-s-kruzhevnjm-lifom/","10064")</f>
      </c>
      <c r="B3481" s="8" t="s">
        <v>3473</v>
      </c>
      <c r="C3481" s="9">
        <v>1299</v>
      </c>
      <c r="D3481" s="0">
        <v>3</v>
      </c>
      <c r="E3481" s="10">
        <f>HYPERLINK("http://www.lingerieopt.ru/images/original/a9f4888e-8d75-4f8d-87b3-61cf1d404257.jpg","Фото")</f>
      </c>
    </row>
    <row r="3482">
      <c r="A3482" s="7">
        <f>HYPERLINK("http://www.lingerieopt.ru/item/10064-poluprozrachnji-korsazh-hellen-s-kruzhevnjm-lifom/","10064")</f>
      </c>
      <c r="B3482" s="8" t="s">
        <v>3474</v>
      </c>
      <c r="C3482" s="9">
        <v>1299</v>
      </c>
      <c r="D3482" s="0">
        <v>2</v>
      </c>
      <c r="E3482" s="10">
        <f>HYPERLINK("http://www.lingerieopt.ru/images/original/a9f4888e-8d75-4f8d-87b3-61cf1d404257.jpg","Фото")</f>
      </c>
    </row>
    <row r="3483">
      <c r="A3483" s="7">
        <f>HYPERLINK("http://www.lingerieopt.ru/item/10148-effektnji-korset-dorothy-s-yubochkoi/","10148")</f>
      </c>
      <c r="B3483" s="8" t="s">
        <v>3475</v>
      </c>
      <c r="C3483" s="9">
        <v>1685</v>
      </c>
      <c r="D3483" s="0">
        <v>9</v>
      </c>
      <c r="E3483" s="10">
        <f>HYPERLINK("http://www.lingerieopt.ru/images/original/13d2186b-ae1b-44e0-84da-6afa108d1f08.jpg","Фото")</f>
      </c>
    </row>
    <row r="3484">
      <c r="A3484" s="7">
        <f>HYPERLINK("http://www.lingerieopt.ru/item/10148-effektnji-korset-dorothy-s-yubochkoi/","10148")</f>
      </c>
      <c r="B3484" s="8" t="s">
        <v>3476</v>
      </c>
      <c r="C3484" s="9">
        <v>1685</v>
      </c>
      <c r="D3484" s="0">
        <v>0</v>
      </c>
      <c r="E3484" s="10">
        <f>HYPERLINK("http://www.lingerieopt.ru/images/original/13d2186b-ae1b-44e0-84da-6afa108d1f08.jpg","Фото")</f>
      </c>
    </row>
    <row r="3485">
      <c r="A3485" s="7">
        <f>HYPERLINK("http://www.lingerieopt.ru/item/10158-strogii-komplekt-belya-priscilla-s-kruzhevom/","10158")</f>
      </c>
      <c r="B3485" s="8" t="s">
        <v>2470</v>
      </c>
      <c r="C3485" s="9">
        <v>1346</v>
      </c>
      <c r="D3485" s="0">
        <v>5</v>
      </c>
      <c r="E3485" s="10">
        <f>HYPERLINK("http://www.lingerieopt.ru/images/original/4acffecb-178f-4447-9842-a7db19ce232a.jpg","Фото")</f>
      </c>
    </row>
    <row r="3486">
      <c r="A3486" s="7">
        <f>HYPERLINK("http://www.lingerieopt.ru/item/10158-strogii-komplekt-belya-priscilla-s-kruzhevom/","10158")</f>
      </c>
      <c r="B3486" s="8" t="s">
        <v>2469</v>
      </c>
      <c r="C3486" s="9">
        <v>1346</v>
      </c>
      <c r="D3486" s="0">
        <v>2</v>
      </c>
      <c r="E3486" s="10">
        <f>HYPERLINK("http://www.lingerieopt.ru/images/original/4acffecb-178f-4447-9842-a7db19ce232a.jpg","Фото")</f>
      </c>
    </row>
    <row r="3487">
      <c r="A3487" s="7">
        <f>HYPERLINK("http://www.lingerieopt.ru/item/10158-strogii-komplekt-belya-priscilla-s-kruzhevom/","10158")</f>
      </c>
      <c r="B3487" s="8" t="s">
        <v>2472</v>
      </c>
      <c r="C3487" s="9">
        <v>1346</v>
      </c>
      <c r="D3487" s="0">
        <v>10</v>
      </c>
      <c r="E3487" s="10">
        <f>HYPERLINK("http://www.lingerieopt.ru/images/original/4acffecb-178f-4447-9842-a7db19ce232a.jpg","Фото")</f>
      </c>
    </row>
    <row r="3488">
      <c r="A3488" s="7">
        <f>HYPERLINK("http://www.lingerieopt.ru/item/10158-strogii-komplekt-belya-priscilla-s-kruzhevom/","10158")</f>
      </c>
      <c r="B3488" s="8" t="s">
        <v>2471</v>
      </c>
      <c r="C3488" s="9">
        <v>1346</v>
      </c>
      <c r="D3488" s="0">
        <v>0</v>
      </c>
      <c r="E3488" s="10">
        <f>HYPERLINK("http://www.lingerieopt.ru/images/original/4acffecb-178f-4447-9842-a7db19ce232a.jpg","Фото")</f>
      </c>
    </row>
    <row r="3489">
      <c r="A3489" s="7">
        <f>HYPERLINK("http://www.lingerieopt.ru/item/10166-korset-shirley-s-kruzhevami-i-kostochkami/","10166")</f>
      </c>
      <c r="B3489" s="8" t="s">
        <v>3477</v>
      </c>
      <c r="C3489" s="9">
        <v>1451</v>
      </c>
      <c r="D3489" s="0">
        <v>0</v>
      </c>
      <c r="E3489" s="10">
        <f>HYPERLINK("http://www.lingerieopt.ru/images/original/734d9805-f6b6-4940-a688-f92c588d3ffb.jpg","Фото")</f>
      </c>
    </row>
    <row r="3490">
      <c r="A3490" s="7">
        <f>HYPERLINK("http://www.lingerieopt.ru/item/10166-korset-shirley-s-kruzhevami-i-kostochkami/","10166")</f>
      </c>
      <c r="B3490" s="8" t="s">
        <v>3478</v>
      </c>
      <c r="C3490" s="9">
        <v>1451</v>
      </c>
      <c r="D3490" s="0">
        <v>0</v>
      </c>
      <c r="E3490" s="10">
        <f>HYPERLINK("http://www.lingerieopt.ru/images/original/734d9805-f6b6-4940-a688-f92c588d3ffb.jpg","Фото")</f>
      </c>
    </row>
    <row r="3491">
      <c r="A3491" s="7">
        <f>HYPERLINK("http://www.lingerieopt.ru/item/10166-korset-shirley-s-kruzhevami-i-kostochkami/","10166")</f>
      </c>
      <c r="B3491" s="8" t="s">
        <v>3479</v>
      </c>
      <c r="C3491" s="9">
        <v>1451</v>
      </c>
      <c r="D3491" s="0">
        <v>1</v>
      </c>
      <c r="E3491" s="10">
        <f>HYPERLINK("http://www.lingerieopt.ru/images/original/734d9805-f6b6-4940-a688-f92c588d3ffb.jpg","Фото")</f>
      </c>
    </row>
    <row r="3492">
      <c r="A3492" s="7">
        <f>HYPERLINK("http://www.lingerieopt.ru/item/10166-korset-shirley-s-kruzhevami-i-kostochkami/","10166")</f>
      </c>
      <c r="B3492" s="8" t="s">
        <v>3480</v>
      </c>
      <c r="C3492" s="9">
        <v>1451</v>
      </c>
      <c r="D3492" s="0">
        <v>0</v>
      </c>
      <c r="E3492" s="10">
        <f>HYPERLINK("http://www.lingerieopt.ru/images/original/734d9805-f6b6-4940-a688-f92c588d3ffb.jpg","Фото")</f>
      </c>
    </row>
    <row r="3493">
      <c r="A3493" s="7">
        <f>HYPERLINK("http://www.lingerieopt.ru/item/10166-korset-shirley-s-kruzhevami-i-kostochkami/","10166")</f>
      </c>
      <c r="B3493" s="8" t="s">
        <v>3481</v>
      </c>
      <c r="C3493" s="9">
        <v>1451</v>
      </c>
      <c r="D3493" s="0">
        <v>0</v>
      </c>
      <c r="E3493" s="10">
        <f>HYPERLINK("http://www.lingerieopt.ru/images/original/734d9805-f6b6-4940-a688-f92c588d3ffb.jpg","Фото")</f>
      </c>
    </row>
    <row r="3494">
      <c r="A3494" s="7">
        <f>HYPERLINK("http://www.lingerieopt.ru/item/10166-korset-shirley-s-kruzhevami-i-kostochkami/","10166")</f>
      </c>
      <c r="B3494" s="8" t="s">
        <v>3482</v>
      </c>
      <c r="C3494" s="9">
        <v>1451</v>
      </c>
      <c r="D3494" s="0">
        <v>1</v>
      </c>
      <c r="E3494" s="10">
        <f>HYPERLINK("http://www.lingerieopt.ru/images/original/734d9805-f6b6-4940-a688-f92c588d3ffb.jpg","Фото")</f>
      </c>
    </row>
    <row r="3495">
      <c r="A3495" s="7">
        <f>HYPERLINK("http://www.lingerieopt.ru/item/10166-korset-shirley-s-kruzhevami-i-kostochkami/","10166")</f>
      </c>
      <c r="B3495" s="8" t="s">
        <v>3483</v>
      </c>
      <c r="C3495" s="9">
        <v>1451</v>
      </c>
      <c r="D3495" s="0">
        <v>1</v>
      </c>
      <c r="E3495" s="10">
        <f>HYPERLINK("http://www.lingerieopt.ru/images/original/734d9805-f6b6-4940-a688-f92c588d3ffb.jpg","Фото")</f>
      </c>
    </row>
    <row r="3496">
      <c r="A3496" s="7">
        <f>HYPERLINK("http://www.lingerieopt.ru/item/10166-korset-shirley-s-kruzhevami-i-kostochkami/","10166")</f>
      </c>
      <c r="B3496" s="8" t="s">
        <v>3484</v>
      </c>
      <c r="C3496" s="9">
        <v>1451</v>
      </c>
      <c r="D3496" s="0">
        <v>0</v>
      </c>
      <c r="E3496" s="10">
        <f>HYPERLINK("http://www.lingerieopt.ru/images/original/734d9805-f6b6-4940-a688-f92c588d3ffb.jpg","Фото")</f>
      </c>
    </row>
    <row r="3497">
      <c r="A3497" s="7">
        <f>HYPERLINK("http://www.lingerieopt.ru/item/10188-soblaznitelnji-korsazh-brida-s-poluprozrachnjm-cvetochnjm-kruzhevom-i-shnurovkoi/","10188")</f>
      </c>
      <c r="B3497" s="8" t="s">
        <v>3485</v>
      </c>
      <c r="C3497" s="9">
        <v>2082</v>
      </c>
      <c r="D3497" s="0">
        <v>3</v>
      </c>
      <c r="E3497" s="10">
        <f>HYPERLINK("http://www.lingerieopt.ru/images/original/281f406d-1e2b-404f-bf9d-924740005be3.jpg","Фото")</f>
      </c>
    </row>
    <row r="3498">
      <c r="A3498" s="7">
        <f>HYPERLINK("http://www.lingerieopt.ru/item/10188-soblaznitelnji-korsazh-brida-s-poluprozrachnjm-cvetochnjm-kruzhevom-i-shnurovkoi/","10188")</f>
      </c>
      <c r="B3498" s="8" t="s">
        <v>3486</v>
      </c>
      <c r="C3498" s="9">
        <v>2082</v>
      </c>
      <c r="D3498" s="0">
        <v>4</v>
      </c>
      <c r="E3498" s="10">
        <f>HYPERLINK("http://www.lingerieopt.ru/images/original/281f406d-1e2b-404f-bf9d-924740005be3.jpg","Фото")</f>
      </c>
    </row>
    <row r="3499">
      <c r="A3499" s="7">
        <f>HYPERLINK("http://www.lingerieopt.ru/item/10188-soblaznitelnji-korsazh-brida-s-poluprozrachnjm-cvetochnjm-kruzhevom-i-shnurovkoi/","10188")</f>
      </c>
      <c r="B3499" s="8" t="s">
        <v>3487</v>
      </c>
      <c r="C3499" s="9">
        <v>2082</v>
      </c>
      <c r="D3499" s="0">
        <v>3</v>
      </c>
      <c r="E3499" s="10">
        <f>HYPERLINK("http://www.lingerieopt.ru/images/original/281f406d-1e2b-404f-bf9d-924740005be3.jpg","Фото")</f>
      </c>
    </row>
    <row r="3500">
      <c r="A3500" s="7">
        <f>HYPERLINK("http://www.lingerieopt.ru/item/10188-soblaznitelnji-korsazh-brida-s-poluprozrachnjm-cvetochnjm-kruzhevom-i-shnurovkoi/","10188")</f>
      </c>
      <c r="B3500" s="8" t="s">
        <v>3488</v>
      </c>
      <c r="C3500" s="9">
        <v>2082</v>
      </c>
      <c r="D3500" s="0">
        <v>3</v>
      </c>
      <c r="E3500" s="10">
        <f>HYPERLINK("http://www.lingerieopt.ru/images/original/281f406d-1e2b-404f-bf9d-924740005be3.jpg","Фото")</f>
      </c>
    </row>
    <row r="3501">
      <c r="A3501" s="7">
        <f>HYPERLINK("http://www.lingerieopt.ru/item/10189-soblaznitelnji-korsazh-brida-plus-size-s-poluprozrachnjm-cvetochnjm-azhurom-i-shnurovkoi/","10189")</f>
      </c>
      <c r="B3501" s="8" t="s">
        <v>3489</v>
      </c>
      <c r="C3501" s="9">
        <v>2082</v>
      </c>
      <c r="D3501" s="0">
        <v>2</v>
      </c>
      <c r="E3501" s="10">
        <f>HYPERLINK("http://www.lingerieopt.ru/images/original/73e7f4c1-cb8f-492e-8000-8c5947fb20fe.jpg","Фото")</f>
      </c>
    </row>
    <row r="3502">
      <c r="A3502" s="7">
        <f>HYPERLINK("http://www.lingerieopt.ru/item/10189-soblaznitelnji-korsazh-brida-plus-size-s-poluprozrachnjm-cvetochnjm-azhurom-i-shnurovkoi/","10189")</f>
      </c>
      <c r="B3502" s="8" t="s">
        <v>3490</v>
      </c>
      <c r="C3502" s="9">
        <v>2082</v>
      </c>
      <c r="D3502" s="0">
        <v>2</v>
      </c>
      <c r="E3502" s="10">
        <f>HYPERLINK("http://www.lingerieopt.ru/images/original/73e7f4c1-cb8f-492e-8000-8c5947fb20fe.jpg","Фото")</f>
      </c>
    </row>
    <row r="3503">
      <c r="A3503" s="7">
        <f>HYPERLINK("http://www.lingerieopt.ru/item/10190-korsazh-haya-s-cvetochnjm-uzorom-na-kruzheve/","10190")</f>
      </c>
      <c r="B3503" s="8" t="s">
        <v>3491</v>
      </c>
      <c r="C3503" s="9">
        <v>1932</v>
      </c>
      <c r="D3503" s="0">
        <v>4</v>
      </c>
      <c r="E3503" s="10">
        <f>HYPERLINK("http://www.lingerieopt.ru/images/original/c5a22b65-72a0-4661-9eed-ff81555d1c08.jpg","Фото")</f>
      </c>
    </row>
    <row r="3504">
      <c r="A3504" s="7">
        <f>HYPERLINK("http://www.lingerieopt.ru/item/10190-korsazh-haya-s-cvetochnjm-uzorom-na-kruzheve/","10190")</f>
      </c>
      <c r="B3504" s="8" t="s">
        <v>3492</v>
      </c>
      <c r="C3504" s="9">
        <v>1932</v>
      </c>
      <c r="D3504" s="0">
        <v>4</v>
      </c>
      <c r="E3504" s="10">
        <f>HYPERLINK("http://www.lingerieopt.ru/images/original/c5a22b65-72a0-4661-9eed-ff81555d1c08.jpg","Фото")</f>
      </c>
    </row>
    <row r="3505">
      <c r="A3505" s="7">
        <f>HYPERLINK("http://www.lingerieopt.ru/item/10191-chuvstvennji-korsazh-haya-plus-size-s-cvetochnjm-uzorom-na-kruzheve/","10191")</f>
      </c>
      <c r="B3505" s="8" t="s">
        <v>3493</v>
      </c>
      <c r="C3505" s="9">
        <v>1932</v>
      </c>
      <c r="D3505" s="0">
        <v>1</v>
      </c>
      <c r="E3505" s="10">
        <f>HYPERLINK("http://www.lingerieopt.ru/images/original/efcad353-ce71-4570-9107-38af524b3820.jpg","Фото")</f>
      </c>
    </row>
    <row r="3506">
      <c r="A3506" s="7">
        <f>HYPERLINK("http://www.lingerieopt.ru/item/10193-obvorozhitelnji-korsazh-loraine-plus-size-s-nezhnjm-kruzhevom/","10193")</f>
      </c>
      <c r="B3506" s="8" t="s">
        <v>3494</v>
      </c>
      <c r="C3506" s="9">
        <v>1990</v>
      </c>
      <c r="D3506" s="0">
        <v>2</v>
      </c>
      <c r="E3506" s="10">
        <f>HYPERLINK("http://www.lingerieopt.ru/images/original/d120fd79-3843-40c3-86d0-e6e9c262f2aa.jpg","Фото")</f>
      </c>
    </row>
    <row r="3507">
      <c r="A3507" s="7">
        <f>HYPERLINK("http://www.lingerieopt.ru/item/10211-pikantnji-komplekt-nizhnego-belya-berenice/","10211")</f>
      </c>
      <c r="B3507" s="8" t="s">
        <v>2482</v>
      </c>
      <c r="C3507" s="9">
        <v>2288</v>
      </c>
      <c r="D3507" s="0">
        <v>4</v>
      </c>
      <c r="E3507" s="10">
        <f>HYPERLINK("http://www.lingerieopt.ru/images/original/21affc38-ea9d-433e-b8fa-12aeb57bc2a2.jpg","Фото")</f>
      </c>
    </row>
    <row r="3508">
      <c r="A3508" s="7">
        <f>HYPERLINK("http://www.lingerieopt.ru/item/10211-pikantnji-komplekt-nizhnego-belya-berenice/","10211")</f>
      </c>
      <c r="B3508" s="8" t="s">
        <v>2481</v>
      </c>
      <c r="C3508" s="9">
        <v>2288</v>
      </c>
      <c r="D3508" s="0">
        <v>9</v>
      </c>
      <c r="E3508" s="10">
        <f>HYPERLINK("http://www.lingerieopt.ru/images/original/21affc38-ea9d-433e-b8fa-12aeb57bc2a2.jpg","Фото")</f>
      </c>
    </row>
    <row r="3509">
      <c r="A3509" s="7">
        <f>HYPERLINK("http://www.lingerieopt.ru/item/10229-korset-catty-iz-materiala-s-vinilovjm-napjleniem/","10229")</f>
      </c>
      <c r="B3509" s="8" t="s">
        <v>3495</v>
      </c>
      <c r="C3509" s="9">
        <v>1626</v>
      </c>
      <c r="D3509" s="0">
        <v>5</v>
      </c>
      <c r="E3509" s="10">
        <f>HYPERLINK("http://www.lingerieopt.ru/images/original/4d6b4bce-a4d3-44f8-b555-43afa6e9ab9f.jpg","Фото")</f>
      </c>
    </row>
    <row r="3510">
      <c r="A3510" s="7">
        <f>HYPERLINK("http://www.lingerieopt.ru/item/10229-korset-catty-iz-materiala-s-vinilovjm-napjleniem/","10229")</f>
      </c>
      <c r="B3510" s="8" t="s">
        <v>3496</v>
      </c>
      <c r="C3510" s="9">
        <v>1626</v>
      </c>
      <c r="D3510" s="0">
        <v>8</v>
      </c>
      <c r="E3510" s="10">
        <f>HYPERLINK("http://www.lingerieopt.ru/images/original/4d6b4bce-a4d3-44f8-b555-43afa6e9ab9f.jpg","Фото")</f>
      </c>
    </row>
    <row r="3511">
      <c r="A3511" s="7">
        <f>HYPERLINK("http://www.lingerieopt.ru/item/10313-poluprozrachnji-korsazh-abra-plus-size-s-bantikami/","10313")</f>
      </c>
      <c r="B3511" s="8" t="s">
        <v>3497</v>
      </c>
      <c r="C3511" s="9">
        <v>1302</v>
      </c>
      <c r="D3511" s="0">
        <v>1</v>
      </c>
      <c r="E3511" s="10">
        <f>HYPERLINK("http://www.lingerieopt.ru/images/original/eea21f15-f4aa-4852-a7e8-4311e97fb644.jpg","Фото")</f>
      </c>
    </row>
    <row r="3512">
      <c r="A3512" s="7">
        <f>HYPERLINK("http://www.lingerieopt.ru/item/10313-poluprozrachnji-korsazh-abra-plus-size-s-bantikami/","10313")</f>
      </c>
      <c r="B3512" s="8" t="s">
        <v>3498</v>
      </c>
      <c r="C3512" s="9">
        <v>1302</v>
      </c>
      <c r="D3512" s="0">
        <v>0</v>
      </c>
      <c r="E3512" s="10">
        <f>HYPERLINK("http://www.lingerieopt.ru/images/original/eea21f15-f4aa-4852-a7e8-4311e97fb644.jpg","Фото")</f>
      </c>
    </row>
    <row r="3513">
      <c r="A3513" s="7">
        <f>HYPERLINK("http://www.lingerieopt.ru/item/10314-korsazh-bez-bretelei-valencia-plus-size-s-prozrachnjmi-elementami/","10314")</f>
      </c>
      <c r="B3513" s="8" t="s">
        <v>3499</v>
      </c>
      <c r="C3513" s="9">
        <v>1371</v>
      </c>
      <c r="D3513" s="0">
        <v>1</v>
      </c>
      <c r="E3513" s="10">
        <f>HYPERLINK("http://www.lingerieopt.ru/images/original/5b3ffa81-67b1-4b42-99c6-1ab247a2436f.jpg","Фото")</f>
      </c>
    </row>
    <row r="3514">
      <c r="A3514" s="7">
        <f>HYPERLINK("http://www.lingerieopt.ru/item/10315-korsazh-bez-bretelei-zola-s-prozrachnoi-vstavkoi-po-centru/","10315")</f>
      </c>
      <c r="B3514" s="8" t="s">
        <v>3500</v>
      </c>
      <c r="C3514" s="9">
        <v>1140</v>
      </c>
      <c r="D3514" s="0">
        <v>6</v>
      </c>
      <c r="E3514" s="10">
        <f>HYPERLINK("http://www.lingerieopt.ru/images/original/d520f12e-c8ca-40f6-8bb1-d5e8a4bfbb65.jpg","Фото")</f>
      </c>
    </row>
    <row r="3515">
      <c r="A3515" s="7">
        <f>HYPERLINK("http://www.lingerieopt.ru/item/10315-korsazh-bez-bretelei-zola-s-prozrachnoi-vstavkoi-po-centru/","10315")</f>
      </c>
      <c r="B3515" s="8" t="s">
        <v>3501</v>
      </c>
      <c r="C3515" s="9">
        <v>1140</v>
      </c>
      <c r="D3515" s="0">
        <v>7</v>
      </c>
      <c r="E3515" s="10">
        <f>HYPERLINK("http://www.lingerieopt.ru/images/original/d520f12e-c8ca-40f6-8bb1-d5e8a4bfbb65.jpg","Фото")</f>
      </c>
    </row>
    <row r="3516">
      <c r="A3516" s="7">
        <f>HYPERLINK("http://www.lingerieopt.ru/item/10325-roskoshnji-korsazh-karmina-plus-size-s-otkrjtjm-zhivotikom/","10325")</f>
      </c>
      <c r="B3516" s="8" t="s">
        <v>3502</v>
      </c>
      <c r="C3516" s="9">
        <v>1474</v>
      </c>
      <c r="D3516" s="0">
        <v>2</v>
      </c>
      <c r="E3516" s="10">
        <f>HYPERLINK("http://www.lingerieopt.ru/images/original/f6e0e5ef-6189-488e-a3fe-f37b02d072bd.jpg","Фото")</f>
      </c>
    </row>
    <row r="3517">
      <c r="A3517" s="7">
        <f>HYPERLINK("http://www.lingerieopt.ru/item/10411-pikantnji-poyas-korset-bella/","10411")</f>
      </c>
      <c r="B3517" s="8" t="s">
        <v>3503</v>
      </c>
      <c r="C3517" s="9">
        <v>2263</v>
      </c>
      <c r="D3517" s="0">
        <v>5</v>
      </c>
      <c r="E3517" s="10">
        <f>HYPERLINK("http://www.lingerieopt.ru/images/original/fa0a6834-5469-4049-a26b-2ed5c08e9010.jpg","Фото")</f>
      </c>
    </row>
    <row r="3518">
      <c r="A3518" s="7">
        <f>HYPERLINK("http://www.lingerieopt.ru/item/10411-pikantnji-poyas-korset-bella/","10411")</f>
      </c>
      <c r="B3518" s="8" t="s">
        <v>3504</v>
      </c>
      <c r="C3518" s="9">
        <v>2263</v>
      </c>
      <c r="D3518" s="0">
        <v>9</v>
      </c>
      <c r="E3518" s="10">
        <f>HYPERLINK("http://www.lingerieopt.ru/images/original/fa0a6834-5469-4049-a26b-2ed5c08e9010.jpg","Фото")</f>
      </c>
    </row>
    <row r="3519">
      <c r="A3519" s="7">
        <f>HYPERLINK("http://www.lingerieopt.ru/item/10422-korset-loveliness-s-podveskoi-kapelkoi/","10422")</f>
      </c>
      <c r="B3519" s="8" t="s">
        <v>3505</v>
      </c>
      <c r="C3519" s="9">
        <v>4710</v>
      </c>
      <c r="D3519" s="0">
        <v>6</v>
      </c>
      <c r="E3519" s="10">
        <f>HYPERLINK("http://www.lingerieopt.ru/images/original/c8c5ef66-8366-4e12-864b-644c9c24c580.jpg","Фото")</f>
      </c>
    </row>
    <row r="3520">
      <c r="A3520" s="7">
        <f>HYPERLINK("http://www.lingerieopt.ru/item/10422-korset-loveliness-s-podveskoi-kapelkoi/","10422")</f>
      </c>
      <c r="B3520" s="8" t="s">
        <v>3506</v>
      </c>
      <c r="C3520" s="9">
        <v>4710</v>
      </c>
      <c r="D3520" s="0">
        <v>5</v>
      </c>
      <c r="E3520" s="10">
        <f>HYPERLINK("http://www.lingerieopt.ru/images/original/c8c5ef66-8366-4e12-864b-644c9c24c580.jpg","Фото")</f>
      </c>
    </row>
    <row r="3521">
      <c r="A3521" s="7">
        <f>HYPERLINK("http://www.lingerieopt.ru/item/10478-korsazh-joana-s-pjshnjmi-oborkami-i-pazhami/","10478")</f>
      </c>
      <c r="B3521" s="8" t="s">
        <v>3507</v>
      </c>
      <c r="C3521" s="9">
        <v>1451</v>
      </c>
      <c r="D3521" s="0">
        <v>5</v>
      </c>
      <c r="E3521" s="10">
        <f>HYPERLINK("http://www.lingerieopt.ru/images/original/eaedbb53-bc09-49b6-942d-920059a7548f.jpg","Фото")</f>
      </c>
    </row>
    <row r="3522">
      <c r="A3522" s="7">
        <f>HYPERLINK("http://www.lingerieopt.ru/item/10478-korsazh-joana-s-pjshnjmi-oborkami-i-pazhami/","10478")</f>
      </c>
      <c r="B3522" s="8" t="s">
        <v>3508</v>
      </c>
      <c r="C3522" s="9">
        <v>1451</v>
      </c>
      <c r="D3522" s="0">
        <v>6</v>
      </c>
      <c r="E3522" s="10">
        <f>HYPERLINK("http://www.lingerieopt.ru/images/original/eaedbb53-bc09-49b6-942d-920059a7548f.jpg","Фото")</f>
      </c>
    </row>
    <row r="3523">
      <c r="A3523" s="7">
        <f>HYPERLINK("http://www.lingerieopt.ru/item/10495-soblaznitelnji-korsazh-mailys-iz-kruzheva-s-resnichkami/","10495")</f>
      </c>
      <c r="B3523" s="8" t="s">
        <v>3509</v>
      </c>
      <c r="C3523" s="9">
        <v>1806</v>
      </c>
      <c r="D3523" s="0">
        <v>13</v>
      </c>
      <c r="E3523" s="10">
        <f>HYPERLINK("http://www.lingerieopt.ru/images/original/715d4e06-8896-4d3f-b149-b90b504a018f.jpg","Фото")</f>
      </c>
    </row>
    <row r="3524">
      <c r="A3524" s="7">
        <f>HYPERLINK("http://www.lingerieopt.ru/item/10495-soblaznitelnji-korsazh-mailys-iz-kruzheva-s-resnichkami/","10495")</f>
      </c>
      <c r="B3524" s="8" t="s">
        <v>3510</v>
      </c>
      <c r="C3524" s="9">
        <v>1806</v>
      </c>
      <c r="D3524" s="0">
        <v>7</v>
      </c>
      <c r="E3524" s="10">
        <f>HYPERLINK("http://www.lingerieopt.ru/images/original/715d4e06-8896-4d3f-b149-b90b504a018f.jpg","Фото")</f>
      </c>
    </row>
    <row r="3525">
      <c r="A3525" s="7">
        <f>HYPERLINK("http://www.lingerieopt.ru/item/10544-roskoshnji-korsazh-suelo-s-lifom-na-kostochkah/","10544")</f>
      </c>
      <c r="B3525" s="8" t="s">
        <v>3511</v>
      </c>
      <c r="C3525" s="9">
        <v>1886</v>
      </c>
      <c r="D3525" s="0">
        <v>2</v>
      </c>
      <c r="E3525" s="10">
        <f>HYPERLINK("http://www.lingerieopt.ru/images/original/e3d19672-7a3d-4b64-a5a0-c48cb02e6d54.jpg","Фото")</f>
      </c>
    </row>
    <row r="3526">
      <c r="A3526" s="7">
        <f>HYPERLINK("http://www.lingerieopt.ru/item/10544-roskoshnji-korsazh-suelo-s-lifom-na-kostochkah/","10544")</f>
      </c>
      <c r="B3526" s="8" t="s">
        <v>3512</v>
      </c>
      <c r="C3526" s="9">
        <v>1886</v>
      </c>
      <c r="D3526" s="0">
        <v>4</v>
      </c>
      <c r="E3526" s="10">
        <f>HYPERLINK("http://www.lingerieopt.ru/images/original/e3d19672-7a3d-4b64-a5a0-c48cb02e6d54.jpg","Фото")</f>
      </c>
    </row>
    <row r="3527">
      <c r="A3527" s="7">
        <f>HYPERLINK("http://www.lingerieopt.ru/item/10545-roskoshnji-korsazh-suelo-plus-size-s-lifom-na-kostochkah/","10545")</f>
      </c>
      <c r="B3527" s="8" t="s">
        <v>3513</v>
      </c>
      <c r="C3527" s="9">
        <v>1886</v>
      </c>
      <c r="D3527" s="0">
        <v>2</v>
      </c>
      <c r="E3527" s="10">
        <f>HYPERLINK("http://www.lingerieopt.ru/images/original/214ce0a3-9415-4c4a-a73b-7dd3a2723e78.jpg","Фото")</f>
      </c>
    </row>
    <row r="3528">
      <c r="A3528" s="7">
        <f>HYPERLINK("http://www.lingerieopt.ru/item/10546-korsazh-rodos-so-shnurovkami/","10546")</f>
      </c>
      <c r="B3528" s="8" t="s">
        <v>3514</v>
      </c>
      <c r="C3528" s="9">
        <v>2036</v>
      </c>
      <c r="D3528" s="0">
        <v>5</v>
      </c>
      <c r="E3528" s="10">
        <f>HYPERLINK("http://www.lingerieopt.ru/images/original/15adacc3-6278-454f-b3d2-614bfbcba0d6.jpg","Фото")</f>
      </c>
    </row>
    <row r="3529">
      <c r="A3529" s="7">
        <f>HYPERLINK("http://www.lingerieopt.ru/item/10546-korsazh-rodos-so-shnurovkami/","10546")</f>
      </c>
      <c r="B3529" s="8" t="s">
        <v>3515</v>
      </c>
      <c r="C3529" s="9">
        <v>2036</v>
      </c>
      <c r="D3529" s="0">
        <v>6</v>
      </c>
      <c r="E3529" s="10">
        <f>HYPERLINK("http://www.lingerieopt.ru/images/original/15adacc3-6278-454f-b3d2-614bfbcba0d6.jpg","Фото")</f>
      </c>
    </row>
    <row r="3530">
      <c r="A3530" s="7">
        <f>HYPERLINK("http://www.lingerieopt.ru/item/10547-izjskannji-korsazh-lotus-s-cvetochnjm-kruzhevom/","10547")</f>
      </c>
      <c r="B3530" s="8" t="s">
        <v>3516</v>
      </c>
      <c r="C3530" s="9">
        <v>1978</v>
      </c>
      <c r="D3530" s="0">
        <v>3</v>
      </c>
      <c r="E3530" s="10">
        <f>HYPERLINK("http://www.lingerieopt.ru/images/original/6794e92c-33ec-4785-a9f4-14f88a74388f.jpg","Фото")</f>
      </c>
    </row>
    <row r="3531">
      <c r="A3531" s="7">
        <f>HYPERLINK("http://www.lingerieopt.ru/item/10547-izjskannji-korsazh-lotus-s-cvetochnjm-kruzhevom/","10547")</f>
      </c>
      <c r="B3531" s="8" t="s">
        <v>3517</v>
      </c>
      <c r="C3531" s="9">
        <v>1978</v>
      </c>
      <c r="D3531" s="0">
        <v>1</v>
      </c>
      <c r="E3531" s="10">
        <f>HYPERLINK("http://www.lingerieopt.ru/images/original/6794e92c-33ec-4785-a9f4-14f88a74388f.jpg","Фото")</f>
      </c>
    </row>
    <row r="3532">
      <c r="A3532" s="7">
        <f>HYPERLINK("http://www.lingerieopt.ru/item/10547-izjskannji-korsazh-lotus-s-cvetochnjm-kruzhevom/","10547")</f>
      </c>
      <c r="B3532" s="8" t="s">
        <v>3518</v>
      </c>
      <c r="C3532" s="9">
        <v>1978</v>
      </c>
      <c r="D3532" s="0">
        <v>3</v>
      </c>
      <c r="E3532" s="10">
        <f>HYPERLINK("http://www.lingerieopt.ru/images/original/6794e92c-33ec-4785-a9f4-14f88a74388f.jpg","Фото")</f>
      </c>
    </row>
    <row r="3533">
      <c r="A3533" s="7">
        <f>HYPERLINK("http://www.lingerieopt.ru/item/10547-izjskannji-korsazh-lotus-s-cvetochnjm-kruzhevom/","10547")</f>
      </c>
      <c r="B3533" s="8" t="s">
        <v>3519</v>
      </c>
      <c r="C3533" s="9">
        <v>1978</v>
      </c>
      <c r="D3533" s="0">
        <v>2</v>
      </c>
      <c r="E3533" s="10">
        <f>HYPERLINK("http://www.lingerieopt.ru/images/original/6794e92c-33ec-4785-a9f4-14f88a74388f.jpg","Фото")</f>
      </c>
    </row>
    <row r="3534">
      <c r="A3534" s="7">
        <f>HYPERLINK("http://www.lingerieopt.ru/item/10548-izjskannji-korsazh-lotus-s-cvetochnjm-kruzhevom/","10548")</f>
      </c>
      <c r="B3534" s="8" t="s">
        <v>3520</v>
      </c>
      <c r="C3534" s="9">
        <v>1978</v>
      </c>
      <c r="D3534" s="0">
        <v>0</v>
      </c>
      <c r="E3534" s="10">
        <f>HYPERLINK("http://www.lingerieopt.ru/images/original/e2cf6a23-3903-482e-9a17-e3bf56318417.jpg","Фото")</f>
      </c>
    </row>
    <row r="3535">
      <c r="A3535" s="7">
        <f>HYPERLINK("http://www.lingerieopt.ru/item/10548-izjskannji-korsazh-lotus-s-cvetochnjm-kruzhevom/","10548")</f>
      </c>
      <c r="B3535" s="8" t="s">
        <v>3521</v>
      </c>
      <c r="C3535" s="9">
        <v>1978</v>
      </c>
      <c r="D3535" s="0">
        <v>1</v>
      </c>
      <c r="E3535" s="10">
        <f>HYPERLINK("http://www.lingerieopt.ru/images/original/e2cf6a23-3903-482e-9a17-e3bf56318417.jpg","Фото")</f>
      </c>
    </row>
    <row r="3536">
      <c r="A3536" s="7">
        <f>HYPERLINK("http://www.lingerieopt.ru/item/10553-kruzhevnoi-korsazh-tiffany-plus-size-so-shnurovkoi/","10553")</f>
      </c>
      <c r="B3536" s="8" t="s">
        <v>3522</v>
      </c>
      <c r="C3536" s="9">
        <v>1393</v>
      </c>
      <c r="D3536" s="0">
        <v>2</v>
      </c>
      <c r="E3536" s="10">
        <f>HYPERLINK("http://www.lingerieopt.ru/images/original/9f59b62e-32f7-4cc3-a1ef-7d55a42f7952.jpg","Фото")</f>
      </c>
    </row>
    <row r="3537">
      <c r="A3537" s="7">
        <f>HYPERLINK("http://www.lingerieopt.ru/item/10553-kruzhevnoi-korsazh-tiffany-plus-size-so-shnurovkoi/","10553")</f>
      </c>
      <c r="B3537" s="8" t="s">
        <v>3523</v>
      </c>
      <c r="C3537" s="9">
        <v>1393</v>
      </c>
      <c r="D3537" s="0">
        <v>2</v>
      </c>
      <c r="E3537" s="10">
        <f>HYPERLINK("http://www.lingerieopt.ru/images/original/9f59b62e-32f7-4cc3-a1ef-7d55a42f7952.jpg","Фото")</f>
      </c>
    </row>
    <row r="3538">
      <c r="A3538" s="7">
        <f>HYPERLINK("http://www.lingerieopt.ru/item/10554-azhurnji-korset-fabra-plus-size/","10554")</f>
      </c>
      <c r="B3538" s="8" t="s">
        <v>3524</v>
      </c>
      <c r="C3538" s="9">
        <v>1755</v>
      </c>
      <c r="D3538" s="0">
        <v>3</v>
      </c>
      <c r="E3538" s="10">
        <f>HYPERLINK("http://www.lingerieopt.ru/images/original/659ddee9-97a8-46f5-9a5e-0677abdfc2c4.jpg","Фото")</f>
      </c>
    </row>
    <row r="3539">
      <c r="A3539" s="7">
        <f>HYPERLINK("http://www.lingerieopt.ru/item/10555-charuyuschii-korsazh-fleur-s-vjshivkoi/","10555")</f>
      </c>
      <c r="B3539" s="8" t="s">
        <v>3525</v>
      </c>
      <c r="C3539" s="9">
        <v>1439</v>
      </c>
      <c r="D3539" s="0">
        <v>0</v>
      </c>
      <c r="E3539" s="10">
        <f>HYPERLINK("http://www.lingerieopt.ru/images/original/38497cb0-51ee-4e9b-ae08-0a097cf2b48b.jpg","Фото")</f>
      </c>
    </row>
    <row r="3540">
      <c r="A3540" s="7">
        <f>HYPERLINK("http://www.lingerieopt.ru/item/10555-charuyuschii-korsazh-fleur-s-vjshivkoi/","10555")</f>
      </c>
      <c r="B3540" s="8" t="s">
        <v>3526</v>
      </c>
      <c r="C3540" s="9">
        <v>1439</v>
      </c>
      <c r="D3540" s="0">
        <v>1</v>
      </c>
      <c r="E3540" s="10">
        <f>HYPERLINK("http://www.lingerieopt.ru/images/original/38497cb0-51ee-4e9b-ae08-0a097cf2b48b.jpg","Фото")</f>
      </c>
    </row>
    <row r="3541">
      <c r="A3541" s="7">
        <f>HYPERLINK("http://www.lingerieopt.ru/item/10571-korset-marilyn-s-kruzhevnjmi-vstavkami/","10571")</f>
      </c>
      <c r="B3541" s="8" t="s">
        <v>3527</v>
      </c>
      <c r="C3541" s="9">
        <v>2312</v>
      </c>
      <c r="D3541" s="0">
        <v>8</v>
      </c>
      <c r="E3541" s="10">
        <f>HYPERLINK("http://www.lingerieopt.ru/images/original/a30e2320-fa99-4275-a06b-7c7700f48573.jpg","Фото")</f>
      </c>
    </row>
    <row r="3542">
      <c r="A3542" s="7">
        <f>HYPERLINK("http://www.lingerieopt.ru/item/10571-korset-marilyn-s-kruzhevnjmi-vstavkami/","10571")</f>
      </c>
      <c r="B3542" s="8" t="s">
        <v>3528</v>
      </c>
      <c r="C3542" s="9">
        <v>2312</v>
      </c>
      <c r="D3542" s="0">
        <v>4</v>
      </c>
      <c r="E3542" s="10">
        <f>HYPERLINK("http://www.lingerieopt.ru/images/original/a30e2320-fa99-4275-a06b-7c7700f48573.jpg","Фото")</f>
      </c>
    </row>
    <row r="3543">
      <c r="A3543" s="7">
        <f>HYPERLINK("http://www.lingerieopt.ru/item/10572-shikarnji-korset-ravenna-s-tonkim-poyaskom/","10572")</f>
      </c>
      <c r="B3543" s="8" t="s">
        <v>3529</v>
      </c>
      <c r="C3543" s="9">
        <v>2312</v>
      </c>
      <c r="D3543" s="0">
        <v>8</v>
      </c>
      <c r="E3543" s="10">
        <f>HYPERLINK("http://www.lingerieopt.ru/images/original/83562ecf-be1f-4a80-af60-89eef8e8cfb6.jpg","Фото")</f>
      </c>
    </row>
    <row r="3544">
      <c r="A3544" s="7">
        <f>HYPERLINK("http://www.lingerieopt.ru/item/10572-shikarnji-korset-ravenna-s-tonkim-poyaskom/","10572")</f>
      </c>
      <c r="B3544" s="8" t="s">
        <v>3530</v>
      </c>
      <c r="C3544" s="9">
        <v>2312</v>
      </c>
      <c r="D3544" s="0">
        <v>4</v>
      </c>
      <c r="E3544" s="10">
        <f>HYPERLINK("http://www.lingerieopt.ru/images/original/83562ecf-be1f-4a80-af60-89eef8e8cfb6.jpg","Фото")</f>
      </c>
    </row>
    <row r="3545">
      <c r="A3545" s="7">
        <f>HYPERLINK("http://www.lingerieopt.ru/item/10572-shikarnji-korset-ravenna-s-tonkim-poyaskom/","10572")</f>
      </c>
      <c r="B3545" s="8" t="s">
        <v>3531</v>
      </c>
      <c r="C3545" s="9">
        <v>2312</v>
      </c>
      <c r="D3545" s="0">
        <v>5</v>
      </c>
      <c r="E3545" s="10">
        <f>HYPERLINK("http://www.lingerieopt.ru/images/original/83562ecf-be1f-4a80-af60-89eef8e8cfb6.jpg","Фото")</f>
      </c>
    </row>
    <row r="3546">
      <c r="A3546" s="7">
        <f>HYPERLINK("http://www.lingerieopt.ru/item/10572-shikarnji-korset-ravenna-s-tonkim-poyaskom/","10572")</f>
      </c>
      <c r="B3546" s="8" t="s">
        <v>3532</v>
      </c>
      <c r="C3546" s="9">
        <v>2312</v>
      </c>
      <c r="D3546" s="0">
        <v>5</v>
      </c>
      <c r="E3546" s="10">
        <f>HYPERLINK("http://www.lingerieopt.ru/images/original/83562ecf-be1f-4a80-af60-89eef8e8cfb6.jpg","Фото")</f>
      </c>
    </row>
    <row r="3547">
      <c r="A3547" s="7">
        <f>HYPERLINK("http://www.lingerieopt.ru/item/10587-korsazh-rodos-plus-size-so-shnurovkami/","10587")</f>
      </c>
      <c r="B3547" s="8" t="s">
        <v>3533</v>
      </c>
      <c r="C3547" s="9">
        <v>2036</v>
      </c>
      <c r="D3547" s="0">
        <v>2</v>
      </c>
      <c r="E3547" s="10">
        <f>HYPERLINK("http://www.lingerieopt.ru/images/original/17c9e5d0-eb56-4ee5-89f9-1ffcc8fcc763.jpg","Фото")</f>
      </c>
    </row>
    <row r="3548">
      <c r="A3548" s="7">
        <f>HYPERLINK("http://www.lingerieopt.ru/item/10589-poluprozrachnji-korsazh-s-kruzhevnjm-lifom-hellen-plus-size/","10589")</f>
      </c>
      <c r="B3548" s="8" t="s">
        <v>3534</v>
      </c>
      <c r="C3548" s="9">
        <v>1299</v>
      </c>
      <c r="D3548" s="0">
        <v>1</v>
      </c>
      <c r="E3548" s="10">
        <f>HYPERLINK("http://www.lingerieopt.ru/images/original/aa51ee60-1727-404c-ae12-719c6da09bef.jpg","Фото")</f>
      </c>
    </row>
    <row r="3549">
      <c r="A3549" s="7">
        <f>HYPERLINK("http://www.lingerieopt.ru/item/10597-soblaznitelnji-poluprozrachnji-korsazh-s-kruzhevom-i-shnurovkoi-na-spinke/","10597")</f>
      </c>
      <c r="B3549" s="8" t="s">
        <v>3535</v>
      </c>
      <c r="C3549" s="9">
        <v>1920</v>
      </c>
      <c r="D3549" s="0">
        <v>4</v>
      </c>
      <c r="E3549" s="10">
        <f>HYPERLINK("http://www.lingerieopt.ru/images/original/b1b62137-96b3-4cd5-9ba5-92b19d052691.jpg","Фото")</f>
      </c>
    </row>
    <row r="3550">
      <c r="A3550" s="7">
        <f>HYPERLINK("http://www.lingerieopt.ru/item/10597-soblaznitelnji-poluprozrachnji-korsazh-s-kruzhevom-i-shnurovkoi-na-spinke/","10597")</f>
      </c>
      <c r="B3550" s="8" t="s">
        <v>3536</v>
      </c>
      <c r="C3550" s="9">
        <v>1920</v>
      </c>
      <c r="D3550" s="0">
        <v>3</v>
      </c>
      <c r="E3550" s="10">
        <f>HYPERLINK("http://www.lingerieopt.ru/images/original/b1b62137-96b3-4cd5-9ba5-92b19d052691.jpg","Фото")</f>
      </c>
    </row>
    <row r="3551">
      <c r="A3551" s="7">
        <f>HYPERLINK("http://www.lingerieopt.ru/item/10641-korsazh-joana-plus-size-s-pjshnjmi-oborkami-i-pazhami/","10641")</f>
      </c>
      <c r="B3551" s="8" t="s">
        <v>3537</v>
      </c>
      <c r="C3551" s="9">
        <v>1451</v>
      </c>
      <c r="D3551" s="0">
        <v>3</v>
      </c>
      <c r="E3551" s="10">
        <f>HYPERLINK("http://www.lingerieopt.ru/images/original/bf49bb60-651a-46ec-b34e-26c9f5273b6f.jpg","Фото")</f>
      </c>
    </row>
    <row r="3552">
      <c r="A3552" s="7">
        <f>HYPERLINK("http://www.lingerieopt.ru/item/10822-voshititelnji-komplekt-myagkii-korsazh-s-pazhami-trusiki-stringi-i-chulki/","10822")</f>
      </c>
      <c r="B3552" s="8" t="s">
        <v>3538</v>
      </c>
      <c r="C3552" s="9">
        <v>1358</v>
      </c>
      <c r="D3552" s="0">
        <v>2</v>
      </c>
      <c r="E3552" s="10">
        <f>HYPERLINK("http://www.lingerieopt.ru/images/original/a8cfb27c-aeff-4752-91a5-712b44128d82.jpg","Фото")</f>
      </c>
    </row>
    <row r="3553">
      <c r="A3553" s="7">
        <f>HYPERLINK("http://www.lingerieopt.ru/item/10826-poluprozrachnji-korsazh-s-podveskoi-na-life/","10826")</f>
      </c>
      <c r="B3553" s="8" t="s">
        <v>3539</v>
      </c>
      <c r="C3553" s="9">
        <v>1496</v>
      </c>
      <c r="D3553" s="0">
        <v>5</v>
      </c>
      <c r="E3553" s="10">
        <f>HYPERLINK("http://www.lingerieopt.ru/images/original/636acf7e-91b4-44ef-a722-0655aabff811.jpg","Фото")</f>
      </c>
    </row>
    <row r="3554">
      <c r="A3554" s="7">
        <f>HYPERLINK("http://www.lingerieopt.ru/item/10826-poluprozrachnji-korsazh-s-podveskoi-na-life/","10826")</f>
      </c>
      <c r="B3554" s="8" t="s">
        <v>3540</v>
      </c>
      <c r="C3554" s="9">
        <v>1496</v>
      </c>
      <c r="D3554" s="0">
        <v>5</v>
      </c>
      <c r="E3554" s="10">
        <f>HYPERLINK("http://www.lingerieopt.ru/images/original/636acf7e-91b4-44ef-a722-0655aabff811.jpg","Фото")</f>
      </c>
    </row>
    <row r="3555">
      <c r="A3555" s="7">
        <f>HYPERLINK("http://www.lingerieopt.ru/item/10871-korsazh-montana-plus-size-s-cvetochnjm-risunkom-na-poluprozrachnjh-vstavkah/","10871")</f>
      </c>
      <c r="B3555" s="8" t="s">
        <v>3541</v>
      </c>
      <c r="C3555" s="9">
        <v>1932</v>
      </c>
      <c r="D3555" s="0">
        <v>1</v>
      </c>
      <c r="E3555" s="10">
        <f>HYPERLINK("http://www.lingerieopt.ru/images/original/1506eece-158e-4651-aa03-f979722a11cb.jpg","Фото")</f>
      </c>
    </row>
    <row r="3556">
      <c r="A3556" s="7">
        <f>HYPERLINK("http://www.lingerieopt.ru/item/10884-roskoshnji-korsazh-floris-s-dvuhcvetnjm-kruzhevnjm-lifom/","10884")</f>
      </c>
      <c r="B3556" s="8" t="s">
        <v>3542</v>
      </c>
      <c r="C3556" s="9">
        <v>1955</v>
      </c>
      <c r="D3556" s="0">
        <v>9</v>
      </c>
      <c r="E3556" s="10">
        <f>HYPERLINK("http://www.lingerieopt.ru/images/original/71ee2a7e-43e9-43e3-a44c-1286277c7f81.jpg","Фото")</f>
      </c>
    </row>
    <row r="3557">
      <c r="A3557" s="7">
        <f>HYPERLINK("http://www.lingerieopt.ru/item/10884-roskoshnji-korsazh-floris-s-dvuhcvetnjm-kruzhevnjm-lifom/","10884")</f>
      </c>
      <c r="B3557" s="8" t="s">
        <v>3543</v>
      </c>
      <c r="C3557" s="9">
        <v>1955</v>
      </c>
      <c r="D3557" s="0">
        <v>7</v>
      </c>
      <c r="E3557" s="10">
        <f>HYPERLINK("http://www.lingerieopt.ru/images/original/71ee2a7e-43e9-43e3-a44c-1286277c7f81.jpg","Фото")</f>
      </c>
    </row>
    <row r="3558">
      <c r="A3558" s="7">
        <f>HYPERLINK("http://www.lingerieopt.ru/item/10889-igrivji-korsazh-hagar-so-strep-lentami/","10889")</f>
      </c>
      <c r="B3558" s="8" t="s">
        <v>3544</v>
      </c>
      <c r="C3558" s="9">
        <v>1661</v>
      </c>
      <c r="D3558" s="0">
        <v>9</v>
      </c>
      <c r="E3558" s="10">
        <f>HYPERLINK("http://www.lingerieopt.ru/images/original/4bd1c00c-ae6f-4281-a994-6fda2745bf85.jpg","Фото")</f>
      </c>
    </row>
    <row r="3559">
      <c r="A3559" s="7">
        <f>HYPERLINK("http://www.lingerieopt.ru/item/10889-igrivji-korsazh-hagar-so-strep-lentami/","10889")</f>
      </c>
      <c r="B3559" s="8" t="s">
        <v>3545</v>
      </c>
      <c r="C3559" s="9">
        <v>1661</v>
      </c>
      <c r="D3559" s="0">
        <v>4</v>
      </c>
      <c r="E3559" s="10">
        <f>HYPERLINK("http://www.lingerieopt.ru/images/original/4bd1c00c-ae6f-4281-a994-6fda2745bf85.jpg","Фото")</f>
      </c>
    </row>
    <row r="3560">
      <c r="A3560" s="7">
        <f>HYPERLINK("http://www.lingerieopt.ru/item/10890-igrivji-korsazh-hagar-plus-size-so-strep-lentami/","10890")</f>
      </c>
      <c r="B3560" s="8" t="s">
        <v>3546</v>
      </c>
      <c r="C3560" s="9">
        <v>1661</v>
      </c>
      <c r="D3560" s="0">
        <v>4</v>
      </c>
      <c r="E3560" s="10">
        <f>HYPERLINK("http://www.lingerieopt.ru/images/original/8fa35778-94c9-4513-94bb-376df6ce8b40.jpg","Фото")</f>
      </c>
    </row>
    <row r="3561">
      <c r="A3561" s="7">
        <f>HYPERLINK("http://www.lingerieopt.ru/item/10897-pikantnji-korsazh-hera-s-otkrjtjm-lifom-i-kolechkami-poverh-soskov/","10897")</f>
      </c>
      <c r="B3561" s="8" t="s">
        <v>3547</v>
      </c>
      <c r="C3561" s="9">
        <v>1638</v>
      </c>
      <c r="D3561" s="0">
        <v>3</v>
      </c>
      <c r="E3561" s="10">
        <f>HYPERLINK("http://www.lingerieopt.ru/images/original/48f57d0d-5698-4de1-b673-2589204b3cac.jpg","Фото")</f>
      </c>
    </row>
    <row r="3562">
      <c r="A3562" s="7">
        <f>HYPERLINK("http://www.lingerieopt.ru/item/10897-pikantnji-korsazh-hera-s-otkrjtjm-lifom-i-kolechkami-poverh-soskov/","10897")</f>
      </c>
      <c r="B3562" s="8" t="s">
        <v>3548</v>
      </c>
      <c r="C3562" s="9">
        <v>1638</v>
      </c>
      <c r="D3562" s="0">
        <v>3</v>
      </c>
      <c r="E3562" s="10">
        <f>HYPERLINK("http://www.lingerieopt.ru/images/original/48f57d0d-5698-4de1-b673-2589204b3cac.jpg","Фото")</f>
      </c>
    </row>
    <row r="3563">
      <c r="A3563" s="7">
        <f>HYPERLINK("http://www.lingerieopt.ru/item/10897-pikantnji-korsazh-hera-s-otkrjtjm-lifom-i-kolechkami-poverh-soskov/","10897")</f>
      </c>
      <c r="B3563" s="8" t="s">
        <v>3549</v>
      </c>
      <c r="C3563" s="9">
        <v>1638</v>
      </c>
      <c r="D3563" s="0">
        <v>3</v>
      </c>
      <c r="E3563" s="10">
        <f>HYPERLINK("http://www.lingerieopt.ru/images/original/48f57d0d-5698-4de1-b673-2589204b3cac.jpg","Фото")</f>
      </c>
    </row>
    <row r="3564">
      <c r="A3564" s="7">
        <f>HYPERLINK("http://www.lingerieopt.ru/item/10897-pikantnji-korsazh-hera-s-otkrjtjm-lifom-i-kolechkami-poverh-soskov/","10897")</f>
      </c>
      <c r="B3564" s="8" t="s">
        <v>3550</v>
      </c>
      <c r="C3564" s="9">
        <v>1638</v>
      </c>
      <c r="D3564" s="0">
        <v>6</v>
      </c>
      <c r="E3564" s="10">
        <f>HYPERLINK("http://www.lingerieopt.ru/images/original/48f57d0d-5698-4de1-b673-2589204b3cac.jpg","Фото")</f>
      </c>
    </row>
    <row r="3565">
      <c r="A3565" s="7">
        <f>HYPERLINK("http://www.lingerieopt.ru/item/10898-pikantnji-korsazh-hera-plus-size-s-otkrjtjm-lifom-i-kolechkami-poverh-soskov/","10898")</f>
      </c>
      <c r="B3565" s="8" t="s">
        <v>3551</v>
      </c>
      <c r="C3565" s="9">
        <v>1638</v>
      </c>
      <c r="D3565" s="0">
        <v>2</v>
      </c>
      <c r="E3565" s="10">
        <f>HYPERLINK("http://www.lingerieopt.ru/images/original/8c7d1bdd-aaa5-4377-8c48-17cfbfccbc23.jpg","Фото")</f>
      </c>
    </row>
    <row r="3566">
      <c r="A3566" s="7">
        <f>HYPERLINK("http://www.lingerieopt.ru/item/10898-pikantnji-korsazh-hera-plus-size-s-otkrjtjm-lifom-i-kolechkami-poverh-soskov/","10898")</f>
      </c>
      <c r="B3566" s="8" t="s">
        <v>3552</v>
      </c>
      <c r="C3566" s="9">
        <v>1638</v>
      </c>
      <c r="D3566" s="0">
        <v>1</v>
      </c>
      <c r="E3566" s="10">
        <f>HYPERLINK("http://www.lingerieopt.ru/images/original/8c7d1bdd-aaa5-4377-8c48-17cfbfccbc23.jpg","Фото")</f>
      </c>
    </row>
    <row r="3567">
      <c r="A3567" s="7">
        <f>HYPERLINK("http://www.lingerieopt.ru/item/11060-udlinennji-korsazh-mia-s-kruzhevnjmi-elementami/","11060")</f>
      </c>
      <c r="B3567" s="8" t="s">
        <v>3553</v>
      </c>
      <c r="C3567" s="9">
        <v>1720</v>
      </c>
      <c r="D3567" s="0">
        <v>8</v>
      </c>
      <c r="E3567" s="10">
        <f>HYPERLINK("http://www.lingerieopt.ru/images/original/3115d1c7-8ae1-44d2-8425-14f98962b354.jpg","Фото")</f>
      </c>
    </row>
    <row r="3568">
      <c r="A3568" s="7">
        <f>HYPERLINK("http://www.lingerieopt.ru/item/11060-udlinennji-korsazh-mia-s-kruzhevnjmi-elementami/","11060")</f>
      </c>
      <c r="B3568" s="8" t="s">
        <v>3554</v>
      </c>
      <c r="C3568" s="9">
        <v>1720</v>
      </c>
      <c r="D3568" s="0">
        <v>7</v>
      </c>
      <c r="E3568" s="10">
        <f>HYPERLINK("http://www.lingerieopt.ru/images/original/3115d1c7-8ae1-44d2-8425-14f98962b354.jpg","Фото")</f>
      </c>
    </row>
    <row r="3569">
      <c r="A3569" s="7">
        <f>HYPERLINK("http://www.lingerieopt.ru/item/11061-udlinennji-korsazh-mia-plus-size-s-kruzhevnjm-vorotom/","11061")</f>
      </c>
      <c r="B3569" s="8" t="s">
        <v>3555</v>
      </c>
      <c r="C3569" s="9">
        <v>1720</v>
      </c>
      <c r="D3569" s="0">
        <v>4</v>
      </c>
      <c r="E3569" s="10">
        <f>HYPERLINK("http://www.lingerieopt.ru/images/original/a2ebe7e1-a070-42ec-a1c3-2f96ce5323ea.jpg","Фото")</f>
      </c>
    </row>
    <row r="3570">
      <c r="A3570" s="7">
        <f>HYPERLINK("http://www.lingerieopt.ru/item/11065-soblaznitelnji-korset-north-so-shnurovkoi-i-otkrjtjm-lifom/","11065")</f>
      </c>
      <c r="B3570" s="8" t="s">
        <v>3556</v>
      </c>
      <c r="C3570" s="9">
        <v>1874</v>
      </c>
      <c r="D3570" s="0">
        <v>5</v>
      </c>
      <c r="E3570" s="10">
        <f>HYPERLINK("http://www.lingerieopt.ru/images/original/6e4d9a7a-f879-43bf-b054-69f997b0390a.jpg","Фото")</f>
      </c>
    </row>
    <row r="3571">
      <c r="A3571" s="7">
        <f>HYPERLINK("http://www.lingerieopt.ru/item/11065-soblaznitelnji-korset-north-so-shnurovkoi-i-otkrjtjm-lifom/","11065")</f>
      </c>
      <c r="B3571" s="8" t="s">
        <v>3557</v>
      </c>
      <c r="C3571" s="9">
        <v>1874</v>
      </c>
      <c r="D3571" s="0">
        <v>11</v>
      </c>
      <c r="E3571" s="10">
        <f>HYPERLINK("http://www.lingerieopt.ru/images/original/6e4d9a7a-f879-43bf-b054-69f997b0390a.jpg","Фото")</f>
      </c>
    </row>
    <row r="3572">
      <c r="A3572" s="7">
        <f>HYPERLINK("http://www.lingerieopt.ru/item/11072-ocharovatelnji-korset-tonya-s-kruzhevom/","11072")</f>
      </c>
      <c r="B3572" s="8" t="s">
        <v>3558</v>
      </c>
      <c r="C3572" s="9">
        <v>1852</v>
      </c>
      <c r="D3572" s="0">
        <v>11</v>
      </c>
      <c r="E3572" s="10">
        <f>HYPERLINK("http://www.lingerieopt.ru/images/original/990335fc-1e86-4cec-b73a-5beeeba4ccea.jpg","Фото")</f>
      </c>
    </row>
    <row r="3573">
      <c r="A3573" s="7">
        <f>HYPERLINK("http://www.lingerieopt.ru/item/11072-ocharovatelnji-korset-tonya-s-kruzhevom/","11072")</f>
      </c>
      <c r="B3573" s="8" t="s">
        <v>3559</v>
      </c>
      <c r="C3573" s="9">
        <v>1852</v>
      </c>
      <c r="D3573" s="0">
        <v>6</v>
      </c>
      <c r="E3573" s="10">
        <f>HYPERLINK("http://www.lingerieopt.ru/images/original/990335fc-1e86-4cec-b73a-5beeeba4ccea.jpg","Фото")</f>
      </c>
    </row>
    <row r="3574">
      <c r="A3574" s="7">
        <f>HYPERLINK("http://www.lingerieopt.ru/item/11110-malinovji-korsazh-s-oborkami-po-bokam/","11110")</f>
      </c>
      <c r="B3574" s="8" t="s">
        <v>3560</v>
      </c>
      <c r="C3574" s="9">
        <v>1903</v>
      </c>
      <c r="D3574" s="0">
        <v>10</v>
      </c>
      <c r="E3574" s="10">
        <f>HYPERLINK("http://www.lingerieopt.ru/images/original/ca950c96-3eb1-42b8-8da0-56d256c1eb77.jpg","Фото")</f>
      </c>
    </row>
    <row r="3575">
      <c r="A3575" s="7">
        <f>HYPERLINK("http://www.lingerieopt.ru/item/11110-malinovji-korsazh-s-oborkami-po-bokam/","11110")</f>
      </c>
      <c r="B3575" s="8" t="s">
        <v>3561</v>
      </c>
      <c r="C3575" s="9">
        <v>1903</v>
      </c>
      <c r="D3575" s="0">
        <v>10</v>
      </c>
      <c r="E3575" s="10">
        <f>HYPERLINK("http://www.lingerieopt.ru/images/original/ca950c96-3eb1-42b8-8da0-56d256c1eb77.jpg","Фото")</f>
      </c>
    </row>
    <row r="3576">
      <c r="A3576" s="7">
        <f>HYPERLINK("http://www.lingerieopt.ru/item/11204-korset-angela-s-dvoinjmi-lyamkami/","11204")</f>
      </c>
      <c r="B3576" s="8" t="s">
        <v>3562</v>
      </c>
      <c r="C3576" s="9">
        <v>2202</v>
      </c>
      <c r="D3576" s="0">
        <v>2</v>
      </c>
      <c r="E3576" s="10">
        <f>HYPERLINK("http://www.lingerieopt.ru/images/original/6665e498-8675-4c0d-ae37-ce5479e73a38.jpg","Фото")</f>
      </c>
    </row>
    <row r="3577">
      <c r="A3577" s="7">
        <f>HYPERLINK("http://www.lingerieopt.ru/item/11204-korset-angela-s-dvoinjmi-lyamkami/","11204")</f>
      </c>
      <c r="B3577" s="8" t="s">
        <v>3563</v>
      </c>
      <c r="C3577" s="9">
        <v>2202</v>
      </c>
      <c r="D3577" s="0">
        <v>2</v>
      </c>
      <c r="E3577" s="10">
        <f>HYPERLINK("http://www.lingerieopt.ru/images/original/6665e498-8675-4c0d-ae37-ce5479e73a38.jpg","Фото")</f>
      </c>
    </row>
    <row r="3578">
      <c r="A3578" s="7">
        <f>HYPERLINK("http://www.lingerieopt.ru/item/11204-korset-angela-s-dvoinjmi-lyamkami/","11204")</f>
      </c>
      <c r="B3578" s="8" t="s">
        <v>3564</v>
      </c>
      <c r="C3578" s="9">
        <v>2202</v>
      </c>
      <c r="D3578" s="0">
        <v>2</v>
      </c>
      <c r="E3578" s="10">
        <f>HYPERLINK("http://www.lingerieopt.ru/images/original/6665e498-8675-4c0d-ae37-ce5479e73a38.jpg","Фото")</f>
      </c>
    </row>
    <row r="3579">
      <c r="A3579" s="7">
        <f>HYPERLINK("http://www.lingerieopt.ru/item/11204-korset-angela-s-dvoinjmi-lyamkami/","11204")</f>
      </c>
      <c r="B3579" s="8" t="s">
        <v>3565</v>
      </c>
      <c r="C3579" s="9">
        <v>2202</v>
      </c>
      <c r="D3579" s="0">
        <v>2</v>
      </c>
      <c r="E3579" s="10">
        <f>HYPERLINK("http://www.lingerieopt.ru/images/original/6665e498-8675-4c0d-ae37-ce5479e73a38.jpg","Фото")</f>
      </c>
    </row>
    <row r="3580">
      <c r="A3580" s="7">
        <f>HYPERLINK("http://www.lingerieopt.ru/item/11204-korset-angela-s-dvoinjmi-lyamkami/","11204")</f>
      </c>
      <c r="B3580" s="8" t="s">
        <v>3566</v>
      </c>
      <c r="C3580" s="9">
        <v>2202</v>
      </c>
      <c r="D3580" s="0">
        <v>2</v>
      </c>
      <c r="E3580" s="10">
        <f>HYPERLINK("http://www.lingerieopt.ru/images/original/6665e498-8675-4c0d-ae37-ce5479e73a38.jpg","Фото")</f>
      </c>
    </row>
    <row r="3581">
      <c r="A3581" s="7">
        <f>HYPERLINK("http://www.lingerieopt.ru/item/11205-bodi-korsazh-shaquila-s-lentami-dlya-fiksacii-ruk/","11205")</f>
      </c>
      <c r="B3581" s="8" t="s">
        <v>759</v>
      </c>
      <c r="C3581" s="9">
        <v>2518</v>
      </c>
      <c r="D3581" s="0">
        <v>11</v>
      </c>
      <c r="E3581" s="10">
        <f>HYPERLINK("http://www.lingerieopt.ru/images/original/577fbfe3-0b63-4ecc-a251-8b26cb7700c9.jpg","Фото")</f>
      </c>
    </row>
    <row r="3582">
      <c r="A3582" s="7">
        <f>HYPERLINK("http://www.lingerieopt.ru/item/11205-bodi-korsazh-shaquila-s-lentami-dlya-fiksacii-ruk/","11205")</f>
      </c>
      <c r="B3582" s="8" t="s">
        <v>760</v>
      </c>
      <c r="C3582" s="9">
        <v>2518</v>
      </c>
      <c r="D3582" s="0">
        <v>6</v>
      </c>
      <c r="E3582" s="10">
        <f>HYPERLINK("http://www.lingerieopt.ru/images/original/577fbfe3-0b63-4ecc-a251-8b26cb7700c9.jpg","Фото")</f>
      </c>
    </row>
    <row r="3583">
      <c r="A3583" s="7">
        <f>HYPERLINK("http://www.lingerieopt.ru/item/11208-soblaznitelnji-poluprozrachnji-korsazh-s-sinim-kruzhevom/","11208")</f>
      </c>
      <c r="B3583" s="8" t="s">
        <v>3567</v>
      </c>
      <c r="C3583" s="9">
        <v>1667</v>
      </c>
      <c r="D3583" s="0">
        <v>10</v>
      </c>
      <c r="E3583" s="10">
        <f>HYPERLINK("http://www.lingerieopt.ru/images/original/697b1893-3ec6-4a49-9b18-3138767fa10d.jpg","Фото")</f>
      </c>
    </row>
    <row r="3584">
      <c r="A3584" s="7">
        <f>HYPERLINK("http://www.lingerieopt.ru/item/11208-soblaznitelnji-poluprozrachnji-korsazh-s-sinim-kruzhevom/","11208")</f>
      </c>
      <c r="B3584" s="8" t="s">
        <v>3568</v>
      </c>
      <c r="C3584" s="9">
        <v>1667</v>
      </c>
      <c r="D3584" s="0">
        <v>10</v>
      </c>
      <c r="E3584" s="10">
        <f>HYPERLINK("http://www.lingerieopt.ru/images/original/697b1893-3ec6-4a49-9b18-3138767fa10d.jpg","Фото")</f>
      </c>
    </row>
    <row r="3585">
      <c r="A3585" s="7">
        <f>HYPERLINK("http://www.lingerieopt.ru/item/11282-chuvstvennji-korsazh-coline-s-osheinikom-iz-myagkoi-setki/","11282")</f>
      </c>
      <c r="B3585" s="8" t="s">
        <v>3569</v>
      </c>
      <c r="C3585" s="9">
        <v>1682</v>
      </c>
      <c r="D3585" s="0">
        <v>6</v>
      </c>
      <c r="E3585" s="10">
        <f>HYPERLINK("http://www.lingerieopt.ru/images/original/24ed0d7a-bdcd-48e5-b947-a7da42a6bf5f.jpg","Фото")</f>
      </c>
    </row>
    <row r="3586">
      <c r="A3586" s="7">
        <f>HYPERLINK("http://www.lingerieopt.ru/item/11282-chuvstvennji-korsazh-coline-s-osheinikom-iz-myagkoi-setki/","11282")</f>
      </c>
      <c r="B3586" s="8" t="s">
        <v>3570</v>
      </c>
      <c r="C3586" s="9">
        <v>1682</v>
      </c>
      <c r="D3586" s="0">
        <v>4</v>
      </c>
      <c r="E3586" s="10">
        <f>HYPERLINK("http://www.lingerieopt.ru/images/original/24ed0d7a-bdcd-48e5-b947-a7da42a6bf5f.jpg","Фото")</f>
      </c>
    </row>
    <row r="3587">
      <c r="A3587" s="7">
        <f>HYPERLINK("http://www.lingerieopt.ru/item/11287-charuyuschii-korsazh-nea-s-nezhnjmi-kruzhevami/","11287")</f>
      </c>
      <c r="B3587" s="8" t="s">
        <v>3571</v>
      </c>
      <c r="C3587" s="9">
        <v>1828</v>
      </c>
      <c r="D3587" s="0">
        <v>8</v>
      </c>
      <c r="E3587" s="10">
        <f>HYPERLINK("http://www.lingerieopt.ru/images/original/b3399410-07b3-40af-b74a-51e212d1c48c.jpg","Фото")</f>
      </c>
    </row>
    <row r="3588">
      <c r="A3588" s="7">
        <f>HYPERLINK("http://www.lingerieopt.ru/item/11287-charuyuschii-korsazh-nea-s-nezhnjmi-kruzhevami/","11287")</f>
      </c>
      <c r="B3588" s="8" t="s">
        <v>3572</v>
      </c>
      <c r="C3588" s="9">
        <v>1828</v>
      </c>
      <c r="D3588" s="0">
        <v>12</v>
      </c>
      <c r="E3588" s="10">
        <f>HYPERLINK("http://www.lingerieopt.ru/images/original/b3399410-07b3-40af-b74a-51e212d1c48c.jpg","Фото")</f>
      </c>
    </row>
    <row r="3589">
      <c r="A3589" s="7">
        <f>HYPERLINK("http://www.lingerieopt.ru/item/11290-soblaznitelnji-korsazh-ivone-so-vstavkami-iz-temno-sinego-kruzheva/","11290")</f>
      </c>
      <c r="B3589" s="8" t="s">
        <v>3573</v>
      </c>
      <c r="C3589" s="9">
        <v>1955</v>
      </c>
      <c r="D3589" s="0">
        <v>12</v>
      </c>
      <c r="E3589" s="10">
        <f>HYPERLINK("http://www.lingerieopt.ru/images/original/0ca36e14-2db9-49db-ae97-39ecfb3ab4f3.jpg","Фото")</f>
      </c>
    </row>
    <row r="3590">
      <c r="A3590" s="7">
        <f>HYPERLINK("http://www.lingerieopt.ru/item/11290-soblaznitelnji-korsazh-ivone-so-vstavkami-iz-temno-sinego-kruzheva/","11290")</f>
      </c>
      <c r="B3590" s="8" t="s">
        <v>3574</v>
      </c>
      <c r="C3590" s="9">
        <v>1955</v>
      </c>
      <c r="D3590" s="0">
        <v>7</v>
      </c>
      <c r="E3590" s="10">
        <f>HYPERLINK("http://www.lingerieopt.ru/images/original/0ca36e14-2db9-49db-ae97-39ecfb3ab4f3.jpg","Фото")</f>
      </c>
    </row>
    <row r="3591">
      <c r="A3591" s="7">
        <f>HYPERLINK("http://www.lingerieopt.ru/item/11351-soblaznitelnji-korsazh-maxime-s-vjrezami-dlya-soskov/","11351")</f>
      </c>
      <c r="B3591" s="8" t="s">
        <v>3575</v>
      </c>
      <c r="C3591" s="9">
        <v>1751</v>
      </c>
      <c r="D3591" s="0">
        <v>5</v>
      </c>
      <c r="E3591" s="10">
        <f>HYPERLINK("http://www.lingerieopt.ru/images/original/706f05a2-efd9-448e-9f5f-a7944ec2a521.jpg","Фото")</f>
      </c>
    </row>
    <row r="3592">
      <c r="A3592" s="7">
        <f>HYPERLINK("http://www.lingerieopt.ru/item/11351-soblaznitelnji-korsazh-maxime-s-vjrezami-dlya-soskov/","11351")</f>
      </c>
      <c r="B3592" s="8" t="s">
        <v>3576</v>
      </c>
      <c r="C3592" s="9">
        <v>1751</v>
      </c>
      <c r="D3592" s="0">
        <v>4</v>
      </c>
      <c r="E3592" s="10">
        <f>HYPERLINK("http://www.lingerieopt.ru/images/original/706f05a2-efd9-448e-9f5f-a7944ec2a521.jpg","Фото")</f>
      </c>
    </row>
    <row r="3593">
      <c r="A3593" s="7">
        <f>HYPERLINK("http://www.lingerieopt.ru/item/11351-soblaznitelnji-korsazh-maxime-s-vjrezami-dlya-soskov/","11351")</f>
      </c>
      <c r="B3593" s="8" t="s">
        <v>3577</v>
      </c>
      <c r="C3593" s="9">
        <v>1751</v>
      </c>
      <c r="D3593" s="0">
        <v>6</v>
      </c>
      <c r="E3593" s="10">
        <f>HYPERLINK("http://www.lingerieopt.ru/images/original/706f05a2-efd9-448e-9f5f-a7944ec2a521.jpg","Фото")</f>
      </c>
    </row>
    <row r="3594">
      <c r="A3594" s="7">
        <f>HYPERLINK("http://www.lingerieopt.ru/item/11351-soblaznitelnji-korsazh-maxime-s-vjrezami-dlya-soskov/","11351")</f>
      </c>
      <c r="B3594" s="8" t="s">
        <v>3578</v>
      </c>
      <c r="C3594" s="9">
        <v>1751</v>
      </c>
      <c r="D3594" s="0">
        <v>4</v>
      </c>
      <c r="E3594" s="10">
        <f>HYPERLINK("http://www.lingerieopt.ru/images/original/706f05a2-efd9-448e-9f5f-a7944ec2a521.jpg","Фото")</f>
      </c>
    </row>
    <row r="3595">
      <c r="A3595" s="7">
        <f>HYPERLINK("http://www.lingerieopt.ru/item/11358-charuyuschii-korsazh-nea-plus-size-s-nezhnjmi-kruzhevami/","11358")</f>
      </c>
      <c r="B3595" s="8" t="s">
        <v>3579</v>
      </c>
      <c r="C3595" s="9">
        <v>1828</v>
      </c>
      <c r="D3595" s="0">
        <v>4</v>
      </c>
      <c r="E3595" s="10">
        <f>HYPERLINK("http://www.lingerieopt.ru/images/original/e7f189ee-0b4d-4e78-8f18-5222a971e8d3.jpg","Фото")</f>
      </c>
    </row>
    <row r="3596">
      <c r="A3596" s="7">
        <f>HYPERLINK("http://www.lingerieopt.ru/item/11361-soblaznitelnji-korsazh-ivone-plus-size-so-vstavkami-iz-temno-sinego-kruzheva/","11361")</f>
      </c>
      <c r="B3596" s="8" t="s">
        <v>3580</v>
      </c>
      <c r="C3596" s="9">
        <v>1955</v>
      </c>
      <c r="D3596" s="0">
        <v>4</v>
      </c>
      <c r="E3596" s="10">
        <f>HYPERLINK("http://www.lingerieopt.ru/images/original/d6c199f8-5840-4481-b54e-e1988d507e1d.jpg","Фото")</f>
      </c>
    </row>
    <row r="3597">
      <c r="A3597" s="7">
        <f>HYPERLINK("http://www.lingerieopt.ru/item/11409-korotkii-korsazh-lou-s-kruzhevnjm-lifom-i-vstavkoi-iz-setki/","11409")</f>
      </c>
      <c r="B3597" s="8" t="s">
        <v>3581</v>
      </c>
      <c r="C3597" s="9">
        <v>1728</v>
      </c>
      <c r="D3597" s="0">
        <v>0</v>
      </c>
      <c r="E3597" s="10">
        <f>HYPERLINK("http://www.lingerieopt.ru/images/original/a10abb00-bd25-4c99-81dd-6139fd06ab68.jpg","Фото")</f>
      </c>
    </row>
    <row r="3598">
      <c r="A3598" s="7">
        <f>HYPERLINK("http://www.lingerieopt.ru/item/11409-korotkii-korsazh-lou-s-kruzhevnjm-lifom-i-vstavkoi-iz-setki/","11409")</f>
      </c>
      <c r="B3598" s="8" t="s">
        <v>3582</v>
      </c>
      <c r="C3598" s="9">
        <v>1728</v>
      </c>
      <c r="D3598" s="0">
        <v>3</v>
      </c>
      <c r="E3598" s="10">
        <f>HYPERLINK("http://www.lingerieopt.ru/images/original/a10abb00-bd25-4c99-81dd-6139fd06ab68.jpg","Фото")</f>
      </c>
    </row>
    <row r="3599">
      <c r="A3599" s="7">
        <f>HYPERLINK("http://www.lingerieopt.ru/item/11411-dvuhcvetnji-korsazh-valentine-s-poluprozrachnjmi-vstavkami/","11411")</f>
      </c>
      <c r="B3599" s="8" t="s">
        <v>3583</v>
      </c>
      <c r="C3599" s="9">
        <v>1705</v>
      </c>
      <c r="D3599" s="0">
        <v>1</v>
      </c>
      <c r="E3599" s="10">
        <f>HYPERLINK("http://www.lingerieopt.ru/images/original/663b23ff-8ccd-4465-a2b4-af95754b2b2c.jpg","Фото")</f>
      </c>
    </row>
    <row r="3600">
      <c r="A3600" s="7">
        <f>HYPERLINK("http://www.lingerieopt.ru/item/11411-dvuhcvetnji-korsazh-valentine-s-poluprozrachnjmi-vstavkami/","11411")</f>
      </c>
      <c r="B3600" s="8" t="s">
        <v>3584</v>
      </c>
      <c r="C3600" s="9">
        <v>1705</v>
      </c>
      <c r="D3600" s="0">
        <v>3</v>
      </c>
      <c r="E3600" s="10">
        <f>HYPERLINK("http://www.lingerieopt.ru/images/original/663b23ff-8ccd-4465-a2b4-af95754b2b2c.jpg","Фото")</f>
      </c>
    </row>
    <row r="3601">
      <c r="A3601" s="7">
        <f>HYPERLINK("http://www.lingerieopt.ru/item/11411-dvuhcvetnji-korsazh-valentine-s-poluprozrachnjmi-vstavkami/","11411")</f>
      </c>
      <c r="B3601" s="8" t="s">
        <v>3585</v>
      </c>
      <c r="C3601" s="9">
        <v>1705</v>
      </c>
      <c r="D3601" s="0">
        <v>2</v>
      </c>
      <c r="E3601" s="10">
        <f>HYPERLINK("http://www.lingerieopt.ru/images/original/663b23ff-8ccd-4465-a2b4-af95754b2b2c.jpg","Фото")</f>
      </c>
    </row>
    <row r="3602">
      <c r="A3602" s="7">
        <f>HYPERLINK("http://www.lingerieopt.ru/item/11411-dvuhcvetnji-korsazh-valentine-s-poluprozrachnjmi-vstavkami/","11411")</f>
      </c>
      <c r="B3602" s="8" t="s">
        <v>3586</v>
      </c>
      <c r="C3602" s="9">
        <v>1705</v>
      </c>
      <c r="D3602" s="0">
        <v>5</v>
      </c>
      <c r="E3602" s="10">
        <f>HYPERLINK("http://www.lingerieopt.ru/images/original/663b23ff-8ccd-4465-a2b4-af95754b2b2c.jpg","Фото")</f>
      </c>
    </row>
    <row r="3603">
      <c r="A3603" s="7">
        <f>HYPERLINK("http://www.lingerieopt.ru/item/11431-provokacionnji-korsazh-midori-s-otkrjtjm-lifom-i-perforaciei/","11431")</f>
      </c>
      <c r="B3603" s="8" t="s">
        <v>3587</v>
      </c>
      <c r="C3603" s="9">
        <v>1720</v>
      </c>
      <c r="D3603" s="0">
        <v>7</v>
      </c>
      <c r="E3603" s="10">
        <f>HYPERLINK("http://www.lingerieopt.ru/images/original/ca9ca394-c67a-40d3-912f-fbcd222a2d6f.jpg","Фото")</f>
      </c>
    </row>
    <row r="3604">
      <c r="A3604" s="7">
        <f>HYPERLINK("http://www.lingerieopt.ru/item/11431-provokacionnji-korsazh-midori-s-otkrjtjm-lifom-i-perforaciei/","11431")</f>
      </c>
      <c r="B3604" s="8" t="s">
        <v>3588</v>
      </c>
      <c r="C3604" s="9">
        <v>1720</v>
      </c>
      <c r="D3604" s="0">
        <v>9</v>
      </c>
      <c r="E3604" s="10">
        <f>HYPERLINK("http://www.lingerieopt.ru/images/original/ca9ca394-c67a-40d3-912f-fbcd222a2d6f.jpg","Фото")</f>
      </c>
    </row>
    <row r="3605">
      <c r="A3605" s="7">
        <f>HYPERLINK("http://www.lingerieopt.ru/item/11432-provokacionnji-korsazh-midori-plus-size-s-otkrjtjm-lifom-i-perforaciei/","11432")</f>
      </c>
      <c r="B3605" s="8" t="s">
        <v>3589</v>
      </c>
      <c r="C3605" s="9">
        <v>1720</v>
      </c>
      <c r="D3605" s="0">
        <v>4</v>
      </c>
      <c r="E3605" s="10">
        <f>HYPERLINK("http://www.lingerieopt.ru/images/original/acb3416d-56dc-4c14-985b-f39aea7070c4.jpg","Фото")</f>
      </c>
    </row>
    <row r="3606">
      <c r="A3606" s="7">
        <f>HYPERLINK("http://www.lingerieopt.ru/item/11433-originalnji-korsazh-praline-s-bantikami/","11433")</f>
      </c>
      <c r="B3606" s="8" t="s">
        <v>3590</v>
      </c>
      <c r="C3606" s="9">
        <v>1817</v>
      </c>
      <c r="D3606" s="0">
        <v>5</v>
      </c>
      <c r="E3606" s="10">
        <f>HYPERLINK("http://www.lingerieopt.ru/images/original/5d3f1720-d619-428a-a4ac-c0908596c0b7.jpg","Фото")</f>
      </c>
    </row>
    <row r="3607">
      <c r="A3607" s="7">
        <f>HYPERLINK("http://www.lingerieopt.ru/item/11433-originalnji-korsazh-praline-s-bantikami/","11433")</f>
      </c>
      <c r="B3607" s="8" t="s">
        <v>3591</v>
      </c>
      <c r="C3607" s="9">
        <v>1817</v>
      </c>
      <c r="D3607" s="0">
        <v>1</v>
      </c>
      <c r="E3607" s="10">
        <f>HYPERLINK("http://www.lingerieopt.ru/images/original/5d3f1720-d619-428a-a4ac-c0908596c0b7.jpg","Фото")</f>
      </c>
    </row>
    <row r="3608">
      <c r="A3608" s="7">
        <f>HYPERLINK("http://www.lingerieopt.ru/item/11442-soblaznitelnji-korsazh-s-cvetochnjm-kruzhevom/","11442")</f>
      </c>
      <c r="B3608" s="8" t="s">
        <v>3592</v>
      </c>
      <c r="C3608" s="9">
        <v>1599</v>
      </c>
      <c r="D3608" s="0">
        <v>10</v>
      </c>
      <c r="E3608" s="10">
        <f>HYPERLINK("http://www.lingerieopt.ru/images/original/0ed15d6d-1b9d-460a-a2af-e83f146034bf.jpg","Фото")</f>
      </c>
    </row>
    <row r="3609">
      <c r="A3609" s="7">
        <f>HYPERLINK("http://www.lingerieopt.ru/item/11442-soblaznitelnji-korsazh-s-cvetochnjm-kruzhevom/","11442")</f>
      </c>
      <c r="B3609" s="8" t="s">
        <v>3593</v>
      </c>
      <c r="C3609" s="9">
        <v>1599</v>
      </c>
      <c r="D3609" s="0">
        <v>10</v>
      </c>
      <c r="E3609" s="10">
        <f>HYPERLINK("http://www.lingerieopt.ru/images/original/0ed15d6d-1b9d-460a-a2af-e83f146034bf.jpg","Фото")</f>
      </c>
    </row>
    <row r="3610">
      <c r="A3610" s="7">
        <f>HYPERLINK("http://www.lingerieopt.ru/item/11453-soblaznitelnji-korsazh-plus-size-s-cvetochnjm-azhurom/","11453")</f>
      </c>
      <c r="B3610" s="8" t="s">
        <v>3594</v>
      </c>
      <c r="C3610" s="9">
        <v>1599</v>
      </c>
      <c r="D3610" s="0">
        <v>10</v>
      </c>
      <c r="E3610" s="10">
        <f>HYPERLINK("http://www.lingerieopt.ru/images/original/e7fe197d-9417-4f35-ac85-d8e8ff82f871.jpg","Фото")</f>
      </c>
    </row>
    <row r="3611">
      <c r="A3611" s="7">
        <f>HYPERLINK("http://www.lingerieopt.ru/item/11468-soblaznitelnji-korsazh-kiri-plus-size-s-kruzhevnoi-otdelkoi-i-strep-lentami/","11468")</f>
      </c>
      <c r="B3611" s="8" t="s">
        <v>3595</v>
      </c>
      <c r="C3611" s="9">
        <v>2990</v>
      </c>
      <c r="D3611" s="0">
        <v>1</v>
      </c>
      <c r="E3611" s="10">
        <f>HYPERLINK("http://www.lingerieopt.ru/images/original/9efc5c10-3d38-41bb-967f-9f671a1c148b.jpg","Фото")</f>
      </c>
    </row>
    <row r="3612">
      <c r="A3612" s="7">
        <f>HYPERLINK("http://www.lingerieopt.ru/item/11468-soblaznitelnji-korsazh-kiri-plus-size-s-kruzhevnoi-otdelkoi-i-strep-lentami/","11468")</f>
      </c>
      <c r="B3612" s="8" t="s">
        <v>3596</v>
      </c>
      <c r="C3612" s="9">
        <v>2990</v>
      </c>
      <c r="D3612" s="0">
        <v>6</v>
      </c>
      <c r="E3612" s="10">
        <f>HYPERLINK("http://www.lingerieopt.ru/images/original/9efc5c10-3d38-41bb-967f-9f671a1c148b.jpg","Фото")</f>
      </c>
    </row>
    <row r="3613">
      <c r="A3613" s="7">
        <f>HYPERLINK("http://www.lingerieopt.ru/item/11468-soblaznitelnji-korsazh-kiri-plus-size-s-kruzhevnoi-otdelkoi-i-strep-lentami/","11468")</f>
      </c>
      <c r="B3613" s="8" t="s">
        <v>3597</v>
      </c>
      <c r="C3613" s="9">
        <v>2990</v>
      </c>
      <c r="D3613" s="0">
        <v>2</v>
      </c>
      <c r="E3613" s="10">
        <f>HYPERLINK("http://www.lingerieopt.ru/images/original/9efc5c10-3d38-41bb-967f-9f671a1c148b.jpg","Фото")</f>
      </c>
    </row>
    <row r="3614">
      <c r="A3614" s="5"/>
      <c r="B3614" s="6" t="s">
        <v>3598</v>
      </c>
      <c r="C3614" s="5"/>
      <c r="D3614" s="5"/>
      <c r="E3614" s="5"/>
    </row>
    <row r="3615">
      <c r="A3615" s="7">
        <f>HYPERLINK("http://www.lingerieopt.ru/item/799-chernji-kostyum-dyavolicj/","799")</f>
      </c>
      <c r="B3615" s="8" t="s">
        <v>3599</v>
      </c>
      <c r="C3615" s="9">
        <v>1007</v>
      </c>
      <c r="D3615" s="0">
        <v>1</v>
      </c>
      <c r="E3615" s="10">
        <f>HYPERLINK("http://www.lingerieopt.ru/images/original/2ac9b742-4155-4115-9b30-4d0f47e26644.jpg","Фото")</f>
      </c>
    </row>
    <row r="3616">
      <c r="A3616" s="7">
        <f>HYPERLINK("http://www.lingerieopt.ru/item/817-cherni-kostyum-medsestrj/","817")</f>
      </c>
      <c r="B3616" s="8" t="s">
        <v>3600</v>
      </c>
      <c r="C3616" s="9">
        <v>1941</v>
      </c>
      <c r="D3616" s="0">
        <v>1</v>
      </c>
      <c r="E3616" s="10">
        <f>HYPERLINK("http://www.lingerieopt.ru/images/original/6525e45b-111a-4095-8ede-f23aeec9e4e7.jpg","Фото")</f>
      </c>
    </row>
    <row r="3617">
      <c r="A3617" s="7">
        <f>HYPERLINK("http://www.lingerieopt.ru/item/3678-ultrakorotkaya-glyancevaya-yubka-na-molnii/","3678")</f>
      </c>
      <c r="B3617" s="8" t="s">
        <v>3601</v>
      </c>
      <c r="C3617" s="9">
        <v>381</v>
      </c>
      <c r="D3617" s="0">
        <v>0</v>
      </c>
      <c r="E3617" s="10">
        <f>HYPERLINK("http://www.lingerieopt.ru/images/original/474677d4-e41e-4262-aa9c-934e2f74ae35.jpg","Фото")</f>
      </c>
    </row>
    <row r="3618">
      <c r="A3618" s="7">
        <f>HYPERLINK("http://www.lingerieopt.ru/item/3678-ultrakorotkaya-glyancevaya-yubka-na-molnii/","3678")</f>
      </c>
      <c r="B3618" s="8" t="s">
        <v>3602</v>
      </c>
      <c r="C3618" s="9">
        <v>381</v>
      </c>
      <c r="D3618" s="0">
        <v>0</v>
      </c>
      <c r="E3618" s="10">
        <f>HYPERLINK("http://www.lingerieopt.ru/images/original/474677d4-e41e-4262-aa9c-934e2f74ae35.jpg","Фото")</f>
      </c>
    </row>
    <row r="3619">
      <c r="A3619" s="7">
        <f>HYPERLINK("http://www.lingerieopt.ru/item/3678-ultrakorotkaya-glyancevaya-yubka-na-molnii/","3678")</f>
      </c>
      <c r="B3619" s="8" t="s">
        <v>3603</v>
      </c>
      <c r="C3619" s="9">
        <v>381</v>
      </c>
      <c r="D3619" s="0">
        <v>0</v>
      </c>
      <c r="E3619" s="10">
        <f>HYPERLINK("http://www.lingerieopt.ru/images/original/474677d4-e41e-4262-aa9c-934e2f74ae35.jpg","Фото")</f>
      </c>
    </row>
    <row r="3620">
      <c r="A3620" s="7">
        <f>HYPERLINK("http://www.lingerieopt.ru/item/3678-ultrakorotkaya-glyancevaya-yubka-na-molnii/","3678")</f>
      </c>
      <c r="B3620" s="8" t="s">
        <v>3604</v>
      </c>
      <c r="C3620" s="9">
        <v>381</v>
      </c>
      <c r="D3620" s="0">
        <v>0</v>
      </c>
      <c r="E3620" s="10">
        <f>HYPERLINK("http://www.lingerieopt.ru/images/original/474677d4-e41e-4262-aa9c-934e2f74ae35.jpg","Фото")</f>
      </c>
    </row>
    <row r="3621">
      <c r="A3621" s="7">
        <f>HYPERLINK("http://www.lingerieopt.ru/item/3678-ultrakorotkaya-glyancevaya-yubka-na-molnii/","3678")</f>
      </c>
      <c r="B3621" s="8" t="s">
        <v>3605</v>
      </c>
      <c r="C3621" s="9">
        <v>381</v>
      </c>
      <c r="D3621" s="0">
        <v>6</v>
      </c>
      <c r="E3621" s="10">
        <f>HYPERLINK("http://www.lingerieopt.ru/images/original/474677d4-e41e-4262-aa9c-934e2f74ae35.jpg","Фото")</f>
      </c>
    </row>
    <row r="3622">
      <c r="A3622" s="7">
        <f>HYPERLINK("http://www.lingerieopt.ru/item/3678-ultrakorotkaya-glyancevaya-yubka-na-molnii/","3678")</f>
      </c>
      <c r="B3622" s="8" t="s">
        <v>3606</v>
      </c>
      <c r="C3622" s="9">
        <v>381</v>
      </c>
      <c r="D3622" s="0">
        <v>0</v>
      </c>
      <c r="E3622" s="10">
        <f>HYPERLINK("http://www.lingerieopt.ru/images/original/474677d4-e41e-4262-aa9c-934e2f74ae35.jpg","Фото")</f>
      </c>
    </row>
    <row r="3623">
      <c r="A3623" s="7">
        <f>HYPERLINK("http://www.lingerieopt.ru/item/3680-korotkaya-plissirovannaya-yubka-cveta-metallik-s-molniei/","3680")</f>
      </c>
      <c r="B3623" s="8" t="s">
        <v>3607</v>
      </c>
      <c r="C3623" s="9">
        <v>190</v>
      </c>
      <c r="D3623" s="0">
        <v>30</v>
      </c>
      <c r="E3623" s="10">
        <f>HYPERLINK("http://www.lingerieopt.ru/images/original/a52d6169-00f2-4cc5-8265-2c8c4428c70d.jpg","Фото")</f>
      </c>
    </row>
    <row r="3624">
      <c r="A3624" s="7">
        <f>HYPERLINK("http://www.lingerieopt.ru/item/3680-korotkaya-plissirovannaya-yubka-cveta-metallik-s-molniei/","3680")</f>
      </c>
      <c r="B3624" s="8" t="s">
        <v>3608</v>
      </c>
      <c r="C3624" s="9">
        <v>190</v>
      </c>
      <c r="D3624" s="0">
        <v>30</v>
      </c>
      <c r="E3624" s="10">
        <f>HYPERLINK("http://www.lingerieopt.ru/images/original/a52d6169-00f2-4cc5-8265-2c8c4428c70d.jpg","Фото")</f>
      </c>
    </row>
    <row r="3625">
      <c r="A3625" s="7">
        <f>HYPERLINK("http://www.lingerieopt.ru/item/3680-korotkaya-plissirovannaya-yubka-cveta-metallik-s-molniei/","3680")</f>
      </c>
      <c r="B3625" s="8" t="s">
        <v>3609</v>
      </c>
      <c r="C3625" s="9">
        <v>190</v>
      </c>
      <c r="D3625" s="0">
        <v>31</v>
      </c>
      <c r="E3625" s="10">
        <f>HYPERLINK("http://www.lingerieopt.ru/images/original/a52d6169-00f2-4cc5-8265-2c8c4428c70d.jpg","Фото")</f>
      </c>
    </row>
    <row r="3626">
      <c r="A3626" s="7">
        <f>HYPERLINK("http://www.lingerieopt.ru/item/3807-chernaya-lakovaya-mini-yubka/","3807")</f>
      </c>
      <c r="B3626" s="8" t="s">
        <v>3610</v>
      </c>
      <c r="C3626" s="9">
        <v>3315</v>
      </c>
      <c r="D3626" s="0">
        <v>0</v>
      </c>
      <c r="E3626" s="10">
        <f>HYPERLINK("http://www.lingerieopt.ru/images/original/a54abc31-c4d1-476d-9446-e01edb451115.jpg","Фото")</f>
      </c>
    </row>
    <row r="3627">
      <c r="A3627" s="7">
        <f>HYPERLINK("http://www.lingerieopt.ru/item/3807-chernaya-lakovaya-mini-yubka/","3807")</f>
      </c>
      <c r="B3627" s="8" t="s">
        <v>3611</v>
      </c>
      <c r="C3627" s="9">
        <v>3315</v>
      </c>
      <c r="D3627" s="0">
        <v>0</v>
      </c>
      <c r="E3627" s="10">
        <f>HYPERLINK("http://www.lingerieopt.ru/images/original/a54abc31-c4d1-476d-9446-e01edb451115.jpg","Фото")</f>
      </c>
    </row>
    <row r="3628">
      <c r="A3628" s="7">
        <f>HYPERLINK("http://www.lingerieopt.ru/item/3807-chernaya-lakovaya-mini-yubka/","3807")</f>
      </c>
      <c r="B3628" s="8" t="s">
        <v>3612</v>
      </c>
      <c r="C3628" s="9">
        <v>3315</v>
      </c>
      <c r="D3628" s="0">
        <v>1</v>
      </c>
      <c r="E3628" s="10">
        <f>HYPERLINK("http://www.lingerieopt.ru/images/original/a54abc31-c4d1-476d-9446-e01edb451115.jpg","Фото")</f>
      </c>
    </row>
    <row r="3629">
      <c r="A3629" s="7">
        <f>HYPERLINK("http://www.lingerieopt.ru/item/4265-trusiki-stringi-s-cepochkoi-hard-love/","4265")</f>
      </c>
      <c r="B3629" s="8" t="s">
        <v>3613</v>
      </c>
      <c r="C3629" s="9">
        <v>1240</v>
      </c>
      <c r="D3629" s="0">
        <v>1</v>
      </c>
      <c r="E3629" s="10">
        <f>HYPERLINK("http://www.lingerieopt.ru/images/original/779cf236-4725-4409-8bc4-6c9803bd171a.jpg","Фото")</f>
      </c>
    </row>
    <row r="3630">
      <c r="A3630" s="7">
        <f>HYPERLINK("http://www.lingerieopt.ru/item/4291-korotkoe-plate-s-serebristoi-otdelkoi/","4291")</f>
      </c>
      <c r="B3630" s="8" t="s">
        <v>3614</v>
      </c>
      <c r="C3630" s="9">
        <v>4549</v>
      </c>
      <c r="D3630" s="0">
        <v>0</v>
      </c>
      <c r="E3630" s="10">
        <f>HYPERLINK("http://www.lingerieopt.ru/images/original/7476b463-7cb2-4962-baef-3aca443e173e.jpg","Фото")</f>
      </c>
    </row>
    <row r="3631">
      <c r="A3631" s="7">
        <f>HYPERLINK("http://www.lingerieopt.ru/item/4291-korotkoe-plate-s-serebristoi-otdelkoi/","4291")</f>
      </c>
      <c r="B3631" s="8" t="s">
        <v>3615</v>
      </c>
      <c r="C3631" s="9">
        <v>4549</v>
      </c>
      <c r="D3631" s="0">
        <v>1</v>
      </c>
      <c r="E3631" s="10">
        <f>HYPERLINK("http://www.lingerieopt.ru/images/original/7476b463-7cb2-4962-baef-3aca443e173e.jpg","Фото")</f>
      </c>
    </row>
    <row r="3632">
      <c r="A3632" s="7">
        <f>HYPERLINK("http://www.lingerieopt.ru/item/4291-korotkoe-plate-s-serebristoi-otdelkoi/","4291")</f>
      </c>
      <c r="B3632" s="8" t="s">
        <v>3616</v>
      </c>
      <c r="C3632" s="9">
        <v>4549</v>
      </c>
      <c r="D3632" s="0">
        <v>0</v>
      </c>
      <c r="E3632" s="10">
        <f>HYPERLINK("http://www.lingerieopt.ru/images/original/7476b463-7cb2-4962-baef-3aca443e173e.jpg","Фото")</f>
      </c>
    </row>
    <row r="3633">
      <c r="A3633" s="7">
        <f>HYPERLINK("http://www.lingerieopt.ru/item/4297-plate-s-lakovoi-vstavkoi/","4297")</f>
      </c>
      <c r="B3633" s="8" t="s">
        <v>3617</v>
      </c>
      <c r="C3633" s="9">
        <v>4549</v>
      </c>
      <c r="D3633" s="0">
        <v>1</v>
      </c>
      <c r="E3633" s="10">
        <f>HYPERLINK("http://www.lingerieopt.ru/images/original/cbd5e72e-da6d-4580-970c-0ad096091b01.jpg","Фото")</f>
      </c>
    </row>
    <row r="3634">
      <c r="A3634" s="7">
        <f>HYPERLINK("http://www.lingerieopt.ru/item/4297-plate-s-lakovoi-vstavkoi/","4297")</f>
      </c>
      <c r="B3634" s="8" t="s">
        <v>3618</v>
      </c>
      <c r="C3634" s="9">
        <v>4549</v>
      </c>
      <c r="D3634" s="0">
        <v>3</v>
      </c>
      <c r="E3634" s="10">
        <f>HYPERLINK("http://www.lingerieopt.ru/images/original/cbd5e72e-da6d-4580-970c-0ad096091b01.jpg","Фото")</f>
      </c>
    </row>
    <row r="3635">
      <c r="A3635" s="7">
        <f>HYPERLINK("http://www.lingerieopt.ru/item/4297-plate-s-lakovoi-vstavkoi/","4297")</f>
      </c>
      <c r="B3635" s="8" t="s">
        <v>3619</v>
      </c>
      <c r="C3635" s="9">
        <v>4549</v>
      </c>
      <c r="D3635" s="0">
        <v>0</v>
      </c>
      <c r="E3635" s="10">
        <f>HYPERLINK("http://www.lingerieopt.ru/images/original/cbd5e72e-da6d-4580-970c-0ad096091b01.jpg","Фото")</f>
      </c>
    </row>
    <row r="3636">
      <c r="A3636" s="7">
        <f>HYPERLINK("http://www.lingerieopt.ru/item/4301-chulki-s-krasivjm-uzorom-szadi/","4301")</f>
      </c>
      <c r="B3636" s="8" t="s">
        <v>3620</v>
      </c>
      <c r="C3636" s="9">
        <v>1949</v>
      </c>
      <c r="D3636" s="0">
        <v>6</v>
      </c>
      <c r="E3636" s="10">
        <f>HYPERLINK("http://www.lingerieopt.ru/images/original/37530635-0956-4284-a5f4-e2af1d4f38d1.jpg","Фото")</f>
      </c>
    </row>
    <row r="3637">
      <c r="A3637" s="7">
        <f>HYPERLINK("http://www.lingerieopt.ru/item/4376-poyas-pod-vinil-s-podvyazkami-dlya-chulok/","4376")</f>
      </c>
      <c r="B3637" s="8" t="s">
        <v>3621</v>
      </c>
      <c r="C3637" s="9">
        <v>2032</v>
      </c>
      <c r="D3637" s="0">
        <v>3</v>
      </c>
      <c r="E3637" s="10">
        <f>HYPERLINK("http://www.lingerieopt.ru/images/original/9eee1dae-8e0e-4244-bae9-07ff502acbe0.jpg","Фото")</f>
      </c>
    </row>
    <row r="3638">
      <c r="A3638" s="7">
        <f>HYPERLINK("http://www.lingerieopt.ru/item/4376-poyas-pod-vinil-s-podvyazkami-dlya-chulok/","4376")</f>
      </c>
      <c r="B3638" s="8" t="s">
        <v>3622</v>
      </c>
      <c r="C3638" s="9">
        <v>2032</v>
      </c>
      <c r="D3638" s="0">
        <v>6</v>
      </c>
      <c r="E3638" s="10">
        <f>HYPERLINK("http://www.lingerieopt.ru/images/original/9eee1dae-8e0e-4244-bae9-07ff502acbe0.jpg","Фото")</f>
      </c>
    </row>
    <row r="3639">
      <c r="A3639" s="7">
        <f>HYPERLINK("http://www.lingerieopt.ru/item/4376-poyas-pod-vinil-s-podvyazkami-dlya-chulok/","4376")</f>
      </c>
      <c r="B3639" s="8" t="s">
        <v>3623</v>
      </c>
      <c r="C3639" s="9">
        <v>2032</v>
      </c>
      <c r="D3639" s="0">
        <v>0</v>
      </c>
      <c r="E3639" s="10">
        <f>HYPERLINK("http://www.lingerieopt.ru/images/original/9eee1dae-8e0e-4244-bae9-07ff502acbe0.jpg","Фото")</f>
      </c>
    </row>
    <row r="3640">
      <c r="A3640" s="7">
        <f>HYPERLINK("http://www.lingerieopt.ru/item/4376-poyas-pod-vinil-s-podvyazkami-dlya-chulok/","4376")</f>
      </c>
      <c r="B3640" s="8" t="s">
        <v>3624</v>
      </c>
      <c r="C3640" s="9">
        <v>2032</v>
      </c>
      <c r="D3640" s="0">
        <v>0</v>
      </c>
      <c r="E3640" s="10">
        <f>HYPERLINK("http://www.lingerieopt.ru/images/original/9eee1dae-8e0e-4244-bae9-07ff502acbe0.jpg","Фото")</f>
      </c>
    </row>
    <row r="3641">
      <c r="A3641" s="7">
        <f>HYPERLINK("http://www.lingerieopt.ru/item/4647-ketsyuit-so-shnurovkoi-na-spine-i-kruzhevnoi-otdelkoi-po-lifu/","4647")</f>
      </c>
      <c r="B3641" s="8" t="s">
        <v>2821</v>
      </c>
      <c r="C3641" s="9">
        <v>2437</v>
      </c>
      <c r="D3641" s="0">
        <v>0</v>
      </c>
      <c r="E3641" s="10">
        <f>HYPERLINK("http://www.lingerieopt.ru/images/original/e8c7b521-c3c4-4065-a3fa-a4238dfcecd7.jpg","Фото")</f>
      </c>
    </row>
    <row r="3642">
      <c r="A3642" s="7">
        <f>HYPERLINK("http://www.lingerieopt.ru/item/4647-ketsyuit-so-shnurovkoi-na-spine-i-kruzhevnoi-otdelkoi-po-lifu/","4647")</f>
      </c>
      <c r="B3642" s="8" t="s">
        <v>2822</v>
      </c>
      <c r="C3642" s="9">
        <v>2437</v>
      </c>
      <c r="D3642" s="0">
        <v>6</v>
      </c>
      <c r="E3642" s="10">
        <f>HYPERLINK("http://www.lingerieopt.ru/images/original/e8c7b521-c3c4-4065-a3fa-a4238dfcecd7.jpg","Фото")</f>
      </c>
    </row>
    <row r="3643">
      <c r="A3643" s="7">
        <f>HYPERLINK("http://www.lingerieopt.ru/item/4750-plate-s-otkrjtoi-spinoi-beltis/","4750")</f>
      </c>
      <c r="B3643" s="8" t="s">
        <v>3625</v>
      </c>
      <c r="C3643" s="9">
        <v>1334</v>
      </c>
      <c r="D3643" s="0">
        <v>2</v>
      </c>
      <c r="E3643" s="10">
        <f>HYPERLINK("http://www.lingerieopt.ru/images/original/9b126a52-2260-4bc4-ac9d-80435baad5b2.jpg","Фото")</f>
      </c>
    </row>
    <row r="3644">
      <c r="A3644" s="7">
        <f>HYPERLINK("http://www.lingerieopt.ru/item/4750-plate-s-otkrjtoi-spinoi-beltis/","4750")</f>
      </c>
      <c r="B3644" s="8" t="s">
        <v>3626</v>
      </c>
      <c r="C3644" s="9">
        <v>1334</v>
      </c>
      <c r="D3644" s="0">
        <v>5</v>
      </c>
      <c r="E3644" s="10">
        <f>HYPERLINK("http://www.lingerieopt.ru/images/original/9b126a52-2260-4bc4-ac9d-80435baad5b2.jpg","Фото")</f>
      </c>
    </row>
    <row r="3645">
      <c r="A3645" s="7">
        <f>HYPERLINK("http://www.lingerieopt.ru/item/4750-plate-s-otkrjtoi-spinoi-beltis/","4750")</f>
      </c>
      <c r="B3645" s="8" t="s">
        <v>3627</v>
      </c>
      <c r="C3645" s="9">
        <v>1334</v>
      </c>
      <c r="D3645" s="0">
        <v>3</v>
      </c>
      <c r="E3645" s="10">
        <f>HYPERLINK("http://www.lingerieopt.ru/images/original/9b126a52-2260-4bc4-ac9d-80435baad5b2.jpg","Фото")</f>
      </c>
    </row>
    <row r="3646">
      <c r="A3646" s="7">
        <f>HYPERLINK("http://www.lingerieopt.ru/item/4750-plate-s-otkrjtoi-spinoi-beltis/","4750")</f>
      </c>
      <c r="B3646" s="8" t="s">
        <v>3628</v>
      </c>
      <c r="C3646" s="9">
        <v>1334</v>
      </c>
      <c r="D3646" s="0">
        <v>0</v>
      </c>
      <c r="E3646" s="10">
        <f>HYPERLINK("http://www.lingerieopt.ru/images/original/9b126a52-2260-4bc4-ac9d-80435baad5b2.jpg","Фото")</f>
      </c>
    </row>
    <row r="3647">
      <c r="A3647" s="7">
        <f>HYPERLINK("http://www.lingerieopt.ru/item/5932-plate-xymena-s-kolechkami-na-poyase/","5932")</f>
      </c>
      <c r="B3647" s="8" t="s">
        <v>3629</v>
      </c>
      <c r="C3647" s="9">
        <v>1474</v>
      </c>
      <c r="D3647" s="0">
        <v>30</v>
      </c>
      <c r="E3647" s="10">
        <f>HYPERLINK("http://www.lingerieopt.ru/images/original/621487c2-8f20-4251-956a-df297e9a4e31.jpg","Фото")</f>
      </c>
    </row>
    <row r="3648">
      <c r="A3648" s="7">
        <f>HYPERLINK("http://www.lingerieopt.ru/item/5932-plate-xymena-s-kolechkami-na-poyase/","5932")</f>
      </c>
      <c r="B3648" s="8" t="s">
        <v>3630</v>
      </c>
      <c r="C3648" s="9">
        <v>1474</v>
      </c>
      <c r="D3648" s="0">
        <v>61</v>
      </c>
      <c r="E3648" s="10">
        <f>HYPERLINK("http://www.lingerieopt.ru/images/original/621487c2-8f20-4251-956a-df297e9a4e31.jpg","Фото")</f>
      </c>
    </row>
    <row r="3649">
      <c r="A3649" s="7">
        <f>HYPERLINK("http://www.lingerieopt.ru/item/5933-oblegayuschee-plate-lea-s-effektom-mokrogo-bleska/","5933")</f>
      </c>
      <c r="B3649" s="8" t="s">
        <v>3631</v>
      </c>
      <c r="C3649" s="9">
        <v>1474</v>
      </c>
      <c r="D3649" s="0">
        <v>32</v>
      </c>
      <c r="E3649" s="10">
        <f>HYPERLINK("http://www.lingerieopt.ru/images/original/144e7a95-99a3-4bbb-aebb-ef8feab60f98.jpg","Фото")</f>
      </c>
    </row>
    <row r="3650">
      <c r="A3650" s="7">
        <f>HYPERLINK("http://www.lingerieopt.ru/item/5933-oblegayuschee-plate-lea-s-effektom-mokrogo-bleska/","5933")</f>
      </c>
      <c r="B3650" s="8" t="s">
        <v>3632</v>
      </c>
      <c r="C3650" s="9">
        <v>1474</v>
      </c>
      <c r="D3650" s="0">
        <v>22</v>
      </c>
      <c r="E3650" s="10">
        <f>HYPERLINK("http://www.lingerieopt.ru/images/original/144e7a95-99a3-4bbb-aebb-ef8feab60f98.jpg","Фото")</f>
      </c>
    </row>
    <row r="3651">
      <c r="A3651" s="7">
        <f>HYPERLINK("http://www.lingerieopt.ru/item/5940-kombinezon-debby-na-molnii/","5940")</f>
      </c>
      <c r="B3651" s="8" t="s">
        <v>2832</v>
      </c>
      <c r="C3651" s="9">
        <v>2530</v>
      </c>
      <c r="D3651" s="0">
        <v>5</v>
      </c>
      <c r="E3651" s="10">
        <f>HYPERLINK("http://www.lingerieopt.ru/images/original/e5cfead1-aa8a-4084-9ff3-9f4cca871bb2.jpg","Фото")</f>
      </c>
    </row>
    <row r="3652">
      <c r="A3652" s="7">
        <f>HYPERLINK("http://www.lingerieopt.ru/item/5940-kombinezon-debby-na-molnii/","5940")</f>
      </c>
      <c r="B3652" s="8" t="s">
        <v>2831</v>
      </c>
      <c r="C3652" s="9">
        <v>2530</v>
      </c>
      <c r="D3652" s="0">
        <v>5</v>
      </c>
      <c r="E3652" s="10">
        <f>HYPERLINK("http://www.lingerieopt.ru/images/original/e5cfead1-aa8a-4084-9ff3-9f4cca871bb2.jpg","Фото")</f>
      </c>
    </row>
    <row r="3653">
      <c r="A3653" s="7">
        <f>HYPERLINK("http://www.lingerieopt.ru/item/5944-korsazh-chantal-s-otstegivayuschimsya-volanom/","5944")</f>
      </c>
      <c r="B3653" s="8" t="s">
        <v>3211</v>
      </c>
      <c r="C3653" s="9">
        <v>1743</v>
      </c>
      <c r="D3653" s="0">
        <v>0</v>
      </c>
      <c r="E3653" s="10">
        <f>HYPERLINK("http://www.lingerieopt.ru/images/original/a6b67df7-af9e-486c-8af2-7f49480ec626.jpg","Фото")</f>
      </c>
    </row>
    <row r="3654">
      <c r="A3654" s="7">
        <f>HYPERLINK("http://www.lingerieopt.ru/item/5944-korsazh-chantal-s-otstegivayuschimsya-volanom/","5944")</f>
      </c>
      <c r="B3654" s="8" t="s">
        <v>3210</v>
      </c>
      <c r="C3654" s="9">
        <v>1743</v>
      </c>
      <c r="D3654" s="0">
        <v>8</v>
      </c>
      <c r="E3654" s="10">
        <f>HYPERLINK("http://www.lingerieopt.ru/images/original/a6b67df7-af9e-486c-8af2-7f49480ec626.jpg","Фото")</f>
      </c>
    </row>
    <row r="3655">
      <c r="A3655" s="7">
        <f>HYPERLINK("http://www.lingerieopt.ru/item/5944-korsazh-chantal-s-otstegivayuschimsya-volanom/","5944")</f>
      </c>
      <c r="B3655" s="8" t="s">
        <v>3209</v>
      </c>
      <c r="C3655" s="9">
        <v>1743</v>
      </c>
      <c r="D3655" s="0">
        <v>7</v>
      </c>
      <c r="E3655" s="10">
        <f>HYPERLINK("http://www.lingerieopt.ru/images/original/a6b67df7-af9e-486c-8af2-7f49480ec626.jpg","Фото")</f>
      </c>
    </row>
    <row r="3656">
      <c r="A3656" s="7">
        <f>HYPERLINK("http://www.lingerieopt.ru/item/5944-korsazh-chantal-s-otstegivayuschimsya-volanom/","5944")</f>
      </c>
      <c r="B3656" s="8" t="s">
        <v>3208</v>
      </c>
      <c r="C3656" s="9">
        <v>1743</v>
      </c>
      <c r="D3656" s="0">
        <v>5</v>
      </c>
      <c r="E3656" s="10">
        <f>HYPERLINK("http://www.lingerieopt.ru/images/original/a6b67df7-af9e-486c-8af2-7f49480ec626.jpg","Фото")</f>
      </c>
    </row>
    <row r="3657">
      <c r="A3657" s="7">
        <f>HYPERLINK("http://www.lingerieopt.ru/item/5944-korsazh-chantal-s-otstegivayuschimsya-volanom/","5944")</f>
      </c>
      <c r="B3657" s="8" t="s">
        <v>3207</v>
      </c>
      <c r="C3657" s="9">
        <v>1743</v>
      </c>
      <c r="D3657" s="0">
        <v>0</v>
      </c>
      <c r="E3657" s="10">
        <f>HYPERLINK("http://www.lingerieopt.ru/images/original/a6b67df7-af9e-486c-8af2-7f49480ec626.jpg","Фото")</f>
      </c>
    </row>
    <row r="3658">
      <c r="A3658" s="7">
        <f>HYPERLINK("http://www.lingerieopt.ru/item/5944-korsazh-chantal-s-otstegivayuschimsya-volanom/","5944")</f>
      </c>
      <c r="B3658" s="8" t="s">
        <v>3206</v>
      </c>
      <c r="C3658" s="9">
        <v>1743</v>
      </c>
      <c r="D3658" s="0">
        <v>6</v>
      </c>
      <c r="E3658" s="10">
        <f>HYPERLINK("http://www.lingerieopt.ru/images/original/a6b67df7-af9e-486c-8af2-7f49480ec626.jpg","Фото")</f>
      </c>
    </row>
    <row r="3659">
      <c r="A3659" s="7">
        <f>HYPERLINK("http://www.lingerieopt.ru/item/5945-bodi-blanche-na-molnii/","5945")</f>
      </c>
      <c r="B3659" s="8" t="s">
        <v>156</v>
      </c>
      <c r="C3659" s="9">
        <v>1591</v>
      </c>
      <c r="D3659" s="0">
        <v>22</v>
      </c>
      <c r="E3659" s="10">
        <f>HYPERLINK("http://www.lingerieopt.ru/images/original/982e02a6-21e8-4eb6-b492-8925af847472.jpg","Фото")</f>
      </c>
    </row>
    <row r="3660">
      <c r="A3660" s="7">
        <f>HYPERLINK("http://www.lingerieopt.ru/item/5945-bodi-blanche-na-molnii/","5945")</f>
      </c>
      <c r="B3660" s="8" t="s">
        <v>157</v>
      </c>
      <c r="C3660" s="9">
        <v>1591</v>
      </c>
      <c r="D3660" s="0">
        <v>37</v>
      </c>
      <c r="E3660" s="10">
        <f>HYPERLINK("http://www.lingerieopt.ru/images/original/982e02a6-21e8-4eb6-b492-8925af847472.jpg","Фото")</f>
      </c>
    </row>
    <row r="3661">
      <c r="A3661" s="7">
        <f>HYPERLINK("http://www.lingerieopt.ru/item/6279-bodi-claudia-so-shnurovkoi-na-grudi-i-setchatjmi-vstavkami/","6279")</f>
      </c>
      <c r="B3661" s="8" t="s">
        <v>169</v>
      </c>
      <c r="C3661" s="9">
        <v>2183</v>
      </c>
      <c r="D3661" s="0">
        <v>2</v>
      </c>
      <c r="E3661" s="10">
        <f>HYPERLINK("http://www.lingerieopt.ru/images/original/f9838898-8f54-48ba-947a-966acdbd983b.jpg","Фото")</f>
      </c>
    </row>
    <row r="3662">
      <c r="A3662" s="7">
        <f>HYPERLINK("http://www.lingerieopt.ru/item/6279-bodi-claudia-so-shnurovkoi-na-grudi-i-setchatjmi-vstavkami/","6279")</f>
      </c>
      <c r="B3662" s="8" t="s">
        <v>170</v>
      </c>
      <c r="C3662" s="9">
        <v>2183</v>
      </c>
      <c r="D3662" s="0">
        <v>4</v>
      </c>
      <c r="E3662" s="10">
        <f>HYPERLINK("http://www.lingerieopt.ru/images/original/f9838898-8f54-48ba-947a-966acdbd983b.jpg","Фото")</f>
      </c>
    </row>
    <row r="3663">
      <c r="A3663" s="7">
        <f>HYPERLINK("http://www.lingerieopt.ru/item/6281-bodi-evelyne-s-kontrastnoi-shnurovkoi-i-perchatkami/","6281")</f>
      </c>
      <c r="B3663" s="8" t="s">
        <v>173</v>
      </c>
      <c r="C3663" s="9">
        <v>1858</v>
      </c>
      <c r="D3663" s="0">
        <v>0</v>
      </c>
      <c r="E3663" s="10">
        <f>HYPERLINK("http://www.lingerieopt.ru/images/original/aaeff1a4-8c7d-422d-9a18-8712d04223d8.jpg","Фото")</f>
      </c>
    </row>
    <row r="3664">
      <c r="A3664" s="7">
        <f>HYPERLINK("http://www.lingerieopt.ru/item/6281-bodi-evelyne-s-kontrastnoi-shnurovkoi-i-perchatkami/","6281")</f>
      </c>
      <c r="B3664" s="8" t="s">
        <v>174</v>
      </c>
      <c r="C3664" s="9">
        <v>1858</v>
      </c>
      <c r="D3664" s="0">
        <v>3</v>
      </c>
      <c r="E3664" s="10">
        <f>HYPERLINK("http://www.lingerieopt.ru/images/original/aaeff1a4-8c7d-422d-9a18-8712d04223d8.jpg","Фото")</f>
      </c>
    </row>
    <row r="3665">
      <c r="A3665" s="7">
        <f>HYPERLINK("http://www.lingerieopt.ru/item/6282-bodi-inez-s-effektom-mokroi-tkani/","6282")</f>
      </c>
      <c r="B3665" s="8" t="s">
        <v>176</v>
      </c>
      <c r="C3665" s="9">
        <v>1858</v>
      </c>
      <c r="D3665" s="0">
        <v>12</v>
      </c>
      <c r="E3665" s="10">
        <f>HYPERLINK("http://www.lingerieopt.ru/images/original/ea8bd362-0476-494b-93d4-914f46e12593.jpg","Фото")</f>
      </c>
    </row>
    <row r="3666">
      <c r="A3666" s="7">
        <f>HYPERLINK("http://www.lingerieopt.ru/item/6282-bodi-inez-s-effektom-mokroi-tkani/","6282")</f>
      </c>
      <c r="B3666" s="8" t="s">
        <v>175</v>
      </c>
      <c r="C3666" s="9">
        <v>1858</v>
      </c>
      <c r="D3666" s="0">
        <v>4</v>
      </c>
      <c r="E3666" s="10">
        <f>HYPERLINK("http://www.lingerieopt.ru/images/original/ea8bd362-0476-494b-93d4-914f46e12593.jpg","Фото")</f>
      </c>
    </row>
    <row r="3667">
      <c r="A3667" s="7">
        <f>HYPERLINK("http://www.lingerieopt.ru/item/6285-bodi-zoe-s-azhurnjm-lifom-i-otkrjtoi-spinoi/","6285")</f>
      </c>
      <c r="B3667" s="8" t="s">
        <v>177</v>
      </c>
      <c r="C3667" s="9">
        <v>2045</v>
      </c>
      <c r="D3667" s="0">
        <v>1</v>
      </c>
      <c r="E3667" s="10">
        <f>HYPERLINK("http://www.lingerieopt.ru/images/original/e9666d06-a26d-493e-989a-8916767680c9.jpg","Фото")</f>
      </c>
    </row>
    <row r="3668">
      <c r="A3668" s="7">
        <f>HYPERLINK("http://www.lingerieopt.ru/item/6285-bodi-zoe-s-azhurnjm-lifom-i-otkrjtoi-spinoi/","6285")</f>
      </c>
      <c r="B3668" s="8" t="s">
        <v>178</v>
      </c>
      <c r="C3668" s="9">
        <v>2045</v>
      </c>
      <c r="D3668" s="0">
        <v>1</v>
      </c>
      <c r="E3668" s="10">
        <f>HYPERLINK("http://www.lingerieopt.ru/images/original/e9666d06-a26d-493e-989a-8916767680c9.jpg","Фото")</f>
      </c>
    </row>
    <row r="3669">
      <c r="A3669" s="7">
        <f>HYPERLINK("http://www.lingerieopt.ru/item/6287-kombinezon-ilse-s-prozrachnjmi-vstavkami/","6287")</f>
      </c>
      <c r="B3669" s="8" t="s">
        <v>2891</v>
      </c>
      <c r="C3669" s="9">
        <v>3160</v>
      </c>
      <c r="D3669" s="0">
        <v>20</v>
      </c>
      <c r="E3669" s="10">
        <f>HYPERLINK("http://www.lingerieopt.ru/images/original/9443161f-498d-458f-9d4e-5af80a9b182d.jpg","Фото")</f>
      </c>
    </row>
    <row r="3670">
      <c r="A3670" s="7">
        <f>HYPERLINK("http://www.lingerieopt.ru/item/6287-kombinezon-ilse-s-prozrachnjmi-vstavkami/","6287")</f>
      </c>
      <c r="B3670" s="8" t="s">
        <v>2892</v>
      </c>
      <c r="C3670" s="9">
        <v>3160</v>
      </c>
      <c r="D3670" s="0">
        <v>19</v>
      </c>
      <c r="E3670" s="10">
        <f>HYPERLINK("http://www.lingerieopt.ru/images/original/9443161f-498d-458f-9d4e-5af80a9b182d.jpg","Фото")</f>
      </c>
    </row>
    <row r="3671">
      <c r="A3671" s="7">
        <f>HYPERLINK("http://www.lingerieopt.ru/item/6289-komplekt-veronique-2-s-cepochkami/","6289")</f>
      </c>
      <c r="B3671" s="8" t="s">
        <v>1675</v>
      </c>
      <c r="C3671" s="9">
        <v>1956</v>
      </c>
      <c r="D3671" s="0">
        <v>8</v>
      </c>
      <c r="E3671" s="10">
        <f>HYPERLINK("http://www.lingerieopt.ru/images/original/c08f5878-ef9b-4e00-a8e3-4b662954695f.jpg","Фото")</f>
      </c>
    </row>
    <row r="3672">
      <c r="A3672" s="7">
        <f>HYPERLINK("http://www.lingerieopt.ru/item/6289-komplekt-veronique-2-s-cepochkami/","6289")</f>
      </c>
      <c r="B3672" s="8" t="s">
        <v>1674</v>
      </c>
      <c r="C3672" s="9">
        <v>1956</v>
      </c>
      <c r="D3672" s="0">
        <v>13</v>
      </c>
      <c r="E3672" s="10">
        <f>HYPERLINK("http://www.lingerieopt.ru/images/original/c08f5878-ef9b-4e00-a8e3-4b662954695f.jpg","Фото")</f>
      </c>
    </row>
    <row r="3673">
      <c r="A3673" s="7">
        <f>HYPERLINK("http://www.lingerieopt.ru/item/6293-komplekt-amanda-s-uzenkimi-vstavkami-setki/","6293")</f>
      </c>
      <c r="B3673" s="8" t="s">
        <v>1683</v>
      </c>
      <c r="C3673" s="9">
        <v>2183</v>
      </c>
      <c r="D3673" s="0">
        <v>23</v>
      </c>
      <c r="E3673" s="10">
        <f>HYPERLINK("http://www.lingerieopt.ru/images/original/e84fc6a2-6fc0-4767-9fb6-2d529bd3c302.jpg","Фото")</f>
      </c>
    </row>
    <row r="3674">
      <c r="A3674" s="7">
        <f>HYPERLINK("http://www.lingerieopt.ru/item/6293-komplekt-amanda-s-uzenkimi-vstavkami-setki/","6293")</f>
      </c>
      <c r="B3674" s="8" t="s">
        <v>1681</v>
      </c>
      <c r="C3674" s="9">
        <v>2183</v>
      </c>
      <c r="D3674" s="0">
        <v>10</v>
      </c>
      <c r="E3674" s="10">
        <f>HYPERLINK("http://www.lingerieopt.ru/images/original/e84fc6a2-6fc0-4767-9fb6-2d529bd3c302.jpg","Фото")</f>
      </c>
    </row>
    <row r="3675">
      <c r="A3675" s="7">
        <f>HYPERLINK("http://www.lingerieopt.ru/item/6293-komplekt-amanda-s-uzenkimi-vstavkami-setki/","6293")</f>
      </c>
      <c r="B3675" s="8" t="s">
        <v>1682</v>
      </c>
      <c r="C3675" s="9">
        <v>2183</v>
      </c>
      <c r="D3675" s="0">
        <v>19</v>
      </c>
      <c r="E3675" s="10">
        <f>HYPERLINK("http://www.lingerieopt.ru/images/original/e84fc6a2-6fc0-4767-9fb6-2d529bd3c302.jpg","Фото")</f>
      </c>
    </row>
    <row r="3676">
      <c r="A3676" s="7">
        <f>HYPERLINK("http://www.lingerieopt.ru/item/6293-komplekt-amanda-s-uzenkimi-vstavkami-setki/","6293")</f>
      </c>
      <c r="B3676" s="8" t="s">
        <v>1680</v>
      </c>
      <c r="C3676" s="9">
        <v>2183</v>
      </c>
      <c r="D3676" s="0">
        <v>14</v>
      </c>
      <c r="E3676" s="10">
        <f>HYPERLINK("http://www.lingerieopt.ru/images/original/e84fc6a2-6fc0-4767-9fb6-2d529bd3c302.jpg","Фото")</f>
      </c>
    </row>
    <row r="3677">
      <c r="A3677" s="7">
        <f>HYPERLINK("http://www.lingerieopt.ru/item/6298-plate-beatrix-s-otkrjtoi-grudyu/","6298")</f>
      </c>
      <c r="B3677" s="8" t="s">
        <v>3633</v>
      </c>
      <c r="C3677" s="9">
        <v>1812</v>
      </c>
      <c r="D3677" s="0">
        <v>10</v>
      </c>
      <c r="E3677" s="10">
        <f>HYPERLINK("http://www.lingerieopt.ru/images/original/f9084482-032f-4fe6-a271-7a09305c1f02.jpg","Фото")</f>
      </c>
    </row>
    <row r="3678">
      <c r="A3678" s="7">
        <f>HYPERLINK("http://www.lingerieopt.ru/item/6298-plate-beatrix-s-otkrjtoi-grudyu/","6298")</f>
      </c>
      <c r="B3678" s="8" t="s">
        <v>3634</v>
      </c>
      <c r="C3678" s="9">
        <v>1812</v>
      </c>
      <c r="D3678" s="0">
        <v>5</v>
      </c>
      <c r="E3678" s="10">
        <f>HYPERLINK("http://www.lingerieopt.ru/images/original/f9084482-032f-4fe6-a271-7a09305c1f02.jpg","Фото")</f>
      </c>
    </row>
    <row r="3679">
      <c r="A3679" s="7">
        <f>HYPERLINK("http://www.lingerieopt.ru/item/6298-plate-beatrix-s-otkrjtoi-grudyu/","6298")</f>
      </c>
      <c r="B3679" s="8" t="s">
        <v>3635</v>
      </c>
      <c r="C3679" s="9">
        <v>1812</v>
      </c>
      <c r="D3679" s="0">
        <v>14</v>
      </c>
      <c r="E3679" s="10">
        <f>HYPERLINK("http://www.lingerieopt.ru/images/original/f9084482-032f-4fe6-a271-7a09305c1f02.jpg","Фото")</f>
      </c>
    </row>
    <row r="3680">
      <c r="A3680" s="7">
        <f>HYPERLINK("http://www.lingerieopt.ru/item/6299-dlinnoe-plate-dorothea-s-vjrezami-po-vsei-dline/","6299")</f>
      </c>
      <c r="B3680" s="8" t="s">
        <v>3636</v>
      </c>
      <c r="C3680" s="9">
        <v>3160</v>
      </c>
      <c r="D3680" s="0">
        <v>20</v>
      </c>
      <c r="E3680" s="10">
        <f>HYPERLINK("http://www.lingerieopt.ru/images/original/3e91d3ab-7949-4475-99b1-e5c3602b73a6.jpg","Фото")</f>
      </c>
    </row>
    <row r="3681">
      <c r="A3681" s="7">
        <f>HYPERLINK("http://www.lingerieopt.ru/item/6299-dlinnoe-plate-dorothea-s-vjrezami-po-vsei-dline/","6299")</f>
      </c>
      <c r="B3681" s="8" t="s">
        <v>3637</v>
      </c>
      <c r="C3681" s="9">
        <v>3160</v>
      </c>
      <c r="D3681" s="0">
        <v>15</v>
      </c>
      <c r="E3681" s="10">
        <f>HYPERLINK("http://www.lingerieopt.ru/images/original/3e91d3ab-7949-4475-99b1-e5c3602b73a6.jpg","Фото")</f>
      </c>
    </row>
    <row r="3682">
      <c r="A3682" s="7">
        <f>HYPERLINK("http://www.lingerieopt.ru/item/6304-otkrovennoe-plate-ursel-s-poluotkrjtoi-popkoi/","6304")</f>
      </c>
      <c r="B3682" s="8" t="s">
        <v>3638</v>
      </c>
      <c r="C3682" s="9">
        <v>2358</v>
      </c>
      <c r="D3682" s="0">
        <v>20</v>
      </c>
      <c r="E3682" s="10">
        <f>HYPERLINK("http://www.lingerieopt.ru/images/original/48e274d6-dce8-40ea-8753-071f900da7cf.jpg","Фото")</f>
      </c>
    </row>
    <row r="3683">
      <c r="A3683" s="7">
        <f>HYPERLINK("http://www.lingerieopt.ru/item/6304-otkrovennoe-plate-ursel-s-poluotkrjtoi-popkoi/","6304")</f>
      </c>
      <c r="B3683" s="8" t="s">
        <v>3639</v>
      </c>
      <c r="C3683" s="9">
        <v>2358</v>
      </c>
      <c r="D3683" s="0">
        <v>12</v>
      </c>
      <c r="E3683" s="10">
        <f>HYPERLINK("http://www.lingerieopt.ru/images/original/48e274d6-dce8-40ea-8753-071f900da7cf.jpg","Фото")</f>
      </c>
    </row>
    <row r="3684">
      <c r="A3684" s="7">
        <f>HYPERLINK("http://www.lingerieopt.ru/item/6305-dvuhstoronnee-plate-s-cepyami-veronique/","6305")</f>
      </c>
      <c r="B3684" s="8" t="s">
        <v>3640</v>
      </c>
      <c r="C3684" s="9">
        <v>2249</v>
      </c>
      <c r="D3684" s="0">
        <v>8</v>
      </c>
      <c r="E3684" s="10">
        <f>HYPERLINK("http://www.lingerieopt.ru/images/original/bf0df199-030b-4d8d-ab56-86f21c780a89.jpg","Фото")</f>
      </c>
    </row>
    <row r="3685">
      <c r="A3685" s="7">
        <f>HYPERLINK("http://www.lingerieopt.ru/item/6305-dvuhstoronnee-plate-s-cepyami-veronique/","6305")</f>
      </c>
      <c r="B3685" s="8" t="s">
        <v>3641</v>
      </c>
      <c r="C3685" s="9">
        <v>2249</v>
      </c>
      <c r="D3685" s="0">
        <v>20</v>
      </c>
      <c r="E3685" s="10">
        <f>HYPERLINK("http://www.lingerieopt.ru/images/original/bf0df199-030b-4d8d-ab56-86f21c780a89.jpg","Фото")</f>
      </c>
    </row>
    <row r="3686">
      <c r="A3686" s="7">
        <f>HYPERLINK("http://www.lingerieopt.ru/item/6309-bodi-isabelle-s-prozrachnoi-vstavkoi-na-licevoi-chasti/","6309")</f>
      </c>
      <c r="B3686" s="8" t="s">
        <v>184</v>
      </c>
      <c r="C3686" s="9">
        <v>2055</v>
      </c>
      <c r="D3686" s="0">
        <v>20</v>
      </c>
      <c r="E3686" s="10">
        <f>HYPERLINK("http://www.lingerieopt.ru/images/original/199e89aa-0823-4bf7-a60d-22e8424699b8.jpg","Фото")</f>
      </c>
    </row>
    <row r="3687">
      <c r="A3687" s="7">
        <f>HYPERLINK("http://www.lingerieopt.ru/item/6309-bodi-isabelle-s-prozrachnoi-vstavkoi-na-licevoi-chasti/","6309")</f>
      </c>
      <c r="B3687" s="8" t="s">
        <v>185</v>
      </c>
      <c r="C3687" s="9">
        <v>2055</v>
      </c>
      <c r="D3687" s="0">
        <v>0</v>
      </c>
      <c r="E3687" s="10">
        <f>HYPERLINK("http://www.lingerieopt.ru/images/original/199e89aa-0823-4bf7-a60d-22e8424699b8.jpg","Фото")</f>
      </c>
    </row>
    <row r="3688">
      <c r="A3688" s="7">
        <f>HYPERLINK("http://www.lingerieopt.ru/item/6318-pikantnoe-plate-anette-s-cepochkami/","6318")</f>
      </c>
      <c r="B3688" s="8" t="s">
        <v>3642</v>
      </c>
      <c r="C3688" s="9">
        <v>2309</v>
      </c>
      <c r="D3688" s="0">
        <v>11</v>
      </c>
      <c r="E3688" s="10">
        <f>HYPERLINK("http://www.lingerieopt.ru/images/original/e28e2715-402d-40f5-9e7d-607a65cd28ce.jpg","Фото")</f>
      </c>
    </row>
    <row r="3689">
      <c r="A3689" s="7">
        <f>HYPERLINK("http://www.lingerieopt.ru/item/6318-pikantnoe-plate-anette-s-cepochkami/","6318")</f>
      </c>
      <c r="B3689" s="8" t="s">
        <v>3643</v>
      </c>
      <c r="C3689" s="9">
        <v>2309</v>
      </c>
      <c r="D3689" s="0">
        <v>4</v>
      </c>
      <c r="E3689" s="10">
        <f>HYPERLINK("http://www.lingerieopt.ru/images/original/e28e2715-402d-40f5-9e7d-607a65cd28ce.jpg","Фото")</f>
      </c>
    </row>
    <row r="3690">
      <c r="A3690" s="7">
        <f>HYPERLINK("http://www.lingerieopt.ru/item/6388-soblaznitelnoe-bodi-hannah-s-krasnjmi-shnurovkami-i-perchatkami/","6388")</f>
      </c>
      <c r="B3690" s="8" t="s">
        <v>194</v>
      </c>
      <c r="C3690" s="9">
        <v>2152</v>
      </c>
      <c r="D3690" s="0">
        <v>1</v>
      </c>
      <c r="E3690" s="10">
        <f>HYPERLINK("http://www.lingerieopt.ru/images/original/1237d5bf-6e0a-42e7-884e-d7fc74a2f466.jpg","Фото")</f>
      </c>
    </row>
    <row r="3691">
      <c r="A3691" s="7">
        <f>HYPERLINK("http://www.lingerieopt.ru/item/6395-komplekt-amanda-premium-s-uzkimi-vstavkami-setki-i-chulkami/","6395")</f>
      </c>
      <c r="B3691" s="8" t="s">
        <v>1735</v>
      </c>
      <c r="C3691" s="9">
        <v>2601</v>
      </c>
      <c r="D3691" s="0">
        <v>5</v>
      </c>
      <c r="E3691" s="10">
        <f>HYPERLINK("http://www.lingerieopt.ru/images/original/f0ca2514-e1b8-4354-8098-5fac4be2a309.jpg","Фото")</f>
      </c>
    </row>
    <row r="3692">
      <c r="A3692" s="7">
        <f>HYPERLINK("http://www.lingerieopt.ru/item/6395-komplekt-amanda-premium-s-uzkimi-vstavkami-setki-i-chulkami/","6395")</f>
      </c>
      <c r="B3692" s="8" t="s">
        <v>1734</v>
      </c>
      <c r="C3692" s="9">
        <v>2601</v>
      </c>
      <c r="D3692" s="0">
        <v>9</v>
      </c>
      <c r="E3692" s="10">
        <f>HYPERLINK("http://www.lingerieopt.ru/images/original/f0ca2514-e1b8-4354-8098-5fac4be2a309.jpg","Фото")</f>
      </c>
    </row>
    <row r="3693">
      <c r="A3693" s="7">
        <f>HYPERLINK("http://www.lingerieopt.ru/item/6397-korsazh-elvire-premium-s-tonkimi-poloskami-setki-i-chulkami-v-komplekte/","6397")</f>
      </c>
      <c r="B3693" s="8" t="s">
        <v>3247</v>
      </c>
      <c r="C3693" s="9">
        <v>2789</v>
      </c>
      <c r="D3693" s="0">
        <v>8</v>
      </c>
      <c r="E3693" s="10">
        <f>HYPERLINK("http://www.lingerieopt.ru/images/original/c8583825-c11c-47b6-8b2f-9d43367f7e06.jpg","Фото")</f>
      </c>
    </row>
    <row r="3694">
      <c r="A3694" s="7">
        <f>HYPERLINK("http://www.lingerieopt.ru/item/6397-korsazh-elvire-premium-s-tonkimi-poloskami-setki-i-chulkami-v-komplekte/","6397")</f>
      </c>
      <c r="B3694" s="8" t="s">
        <v>3249</v>
      </c>
      <c r="C3694" s="9">
        <v>2789</v>
      </c>
      <c r="D3694" s="0">
        <v>8</v>
      </c>
      <c r="E3694" s="10">
        <f>HYPERLINK("http://www.lingerieopt.ru/images/original/c8583825-c11c-47b6-8b2f-9d43367f7e06.jpg","Фото")</f>
      </c>
    </row>
    <row r="3695">
      <c r="A3695" s="7">
        <f>HYPERLINK("http://www.lingerieopt.ru/item/6397-korsazh-elvire-premium-s-tonkimi-poloskami-setki-i-chulkami-v-komplekte/","6397")</f>
      </c>
      <c r="B3695" s="8" t="s">
        <v>3250</v>
      </c>
      <c r="C3695" s="9">
        <v>2789</v>
      </c>
      <c r="D3695" s="0">
        <v>10</v>
      </c>
      <c r="E3695" s="10">
        <f>HYPERLINK("http://www.lingerieopt.ru/images/original/c8583825-c11c-47b6-8b2f-9d43367f7e06.jpg","Фото")</f>
      </c>
    </row>
    <row r="3696">
      <c r="A3696" s="7">
        <f>HYPERLINK("http://www.lingerieopt.ru/item/6397-korsazh-elvire-premium-s-tonkimi-poloskami-setki-i-chulkami-v-komplekte/","6397")</f>
      </c>
      <c r="B3696" s="8" t="s">
        <v>3248</v>
      </c>
      <c r="C3696" s="9">
        <v>2789</v>
      </c>
      <c r="D3696" s="0">
        <v>19</v>
      </c>
      <c r="E3696" s="10">
        <f>HYPERLINK("http://www.lingerieopt.ru/images/original/c8583825-c11c-47b6-8b2f-9d43367f7e06.jpg","Фото")</f>
      </c>
    </row>
    <row r="3697">
      <c r="A3697" s="7">
        <f>HYPERLINK("http://www.lingerieopt.ru/item/6400-plate-iris-premium-s-korsetnoi-chastyu-i-chulkami/","6400")</f>
      </c>
      <c r="B3697" s="8" t="s">
        <v>3644</v>
      </c>
      <c r="C3697" s="9">
        <v>3346</v>
      </c>
      <c r="D3697" s="0">
        <v>2</v>
      </c>
      <c r="E3697" s="10">
        <f>HYPERLINK("http://www.lingerieopt.ru/images/original/9c0e617b-328d-4b01-8035-a8692ac7f3b5.jpg","Фото")</f>
      </c>
    </row>
    <row r="3698">
      <c r="A3698" s="7">
        <f>HYPERLINK("http://www.lingerieopt.ru/item/6400-plate-iris-premium-s-korsetnoi-chastyu-i-chulkami/","6400")</f>
      </c>
      <c r="B3698" s="8" t="s">
        <v>3645</v>
      </c>
      <c r="C3698" s="9">
        <v>3346</v>
      </c>
      <c r="D3698" s="0">
        <v>3</v>
      </c>
      <c r="E3698" s="10">
        <f>HYPERLINK("http://www.lingerieopt.ru/images/original/9c0e617b-328d-4b01-8035-a8692ac7f3b5.jpg","Фото")</f>
      </c>
    </row>
    <row r="3699">
      <c r="A3699" s="7">
        <f>HYPERLINK("http://www.lingerieopt.ru/item/6402-plate-veronique-3-s-effektom-mokroi-tkani/","6402")</f>
      </c>
      <c r="B3699" s="8" t="s">
        <v>3646</v>
      </c>
      <c r="C3699" s="9">
        <v>2249</v>
      </c>
      <c r="D3699" s="0">
        <v>2</v>
      </c>
      <c r="E3699" s="10">
        <f>HYPERLINK("http://www.lingerieopt.ru/images/original/fc18e8ac-6964-44a4-a645-da02c4f9407b.jpg","Фото")</f>
      </c>
    </row>
    <row r="3700">
      <c r="A3700" s="7">
        <f>HYPERLINK("http://www.lingerieopt.ru/item/6402-plate-veronique-3-s-effektom-mokroi-tkani/","6402")</f>
      </c>
      <c r="B3700" s="8" t="s">
        <v>3647</v>
      </c>
      <c r="C3700" s="9">
        <v>2249</v>
      </c>
      <c r="D3700" s="0">
        <v>17</v>
      </c>
      <c r="E3700" s="10">
        <f>HYPERLINK("http://www.lingerieopt.ru/images/original/fc18e8ac-6964-44a4-a645-da02c4f9407b.jpg","Фото")</f>
      </c>
    </row>
    <row r="3701">
      <c r="A3701" s="7">
        <f>HYPERLINK("http://www.lingerieopt.ru/item/6579-kozhanje-narukavniki-na-shnurovke/","6579")</f>
      </c>
      <c r="B3701" s="8" t="s">
        <v>3648</v>
      </c>
      <c r="C3701" s="9">
        <v>3431</v>
      </c>
      <c r="D3701" s="0">
        <v>1</v>
      </c>
      <c r="E3701" s="10">
        <f>HYPERLINK("http://www.lingerieopt.ru/images/original/99065dfe-e158-4306-bbb5-9f67edaed637.jpg","Фото")</f>
      </c>
    </row>
    <row r="3702">
      <c r="A3702" s="7">
        <f>HYPERLINK("http://www.lingerieopt.ru/item/6624-igrivoe-bodi-cassandra-s-zastezhkami-molniyami/","6624")</f>
      </c>
      <c r="B3702" s="8" t="s">
        <v>206</v>
      </c>
      <c r="C3702" s="9">
        <v>1521</v>
      </c>
      <c r="D3702" s="0">
        <v>16</v>
      </c>
      <c r="E3702" s="10">
        <f>HYPERLINK("http://www.lingerieopt.ru/images/original/717b5a1e-f1a5-458f-90c6-35f105797fcc.jpg","Фото")</f>
      </c>
    </row>
    <row r="3703">
      <c r="A3703" s="7">
        <f>HYPERLINK("http://www.lingerieopt.ru/item/6624-igrivoe-bodi-cassandra-s-zastezhkami-molniyami/","6624")</f>
      </c>
      <c r="B3703" s="8" t="s">
        <v>207</v>
      </c>
      <c r="C3703" s="9">
        <v>1521</v>
      </c>
      <c r="D3703" s="0">
        <v>6</v>
      </c>
      <c r="E3703" s="10">
        <f>HYPERLINK("http://www.lingerieopt.ru/images/original/717b5a1e-f1a5-458f-90c6-35f105797fcc.jpg","Фото")</f>
      </c>
    </row>
    <row r="3704">
      <c r="A3704" s="7">
        <f>HYPERLINK("http://www.lingerieopt.ru/item/6732-derzkoe-plate-martha-s-oborkami/","6732")</f>
      </c>
      <c r="B3704" s="8" t="s">
        <v>3649</v>
      </c>
      <c r="C3704" s="9">
        <v>3013</v>
      </c>
      <c r="D3704" s="0">
        <v>3</v>
      </c>
      <c r="E3704" s="10">
        <f>HYPERLINK("http://www.lingerieopt.ru/images/original/d08cd9d9-77de-4d20-b987-562aa042406c.jpg","Фото")</f>
      </c>
    </row>
    <row r="3705">
      <c r="A3705" s="7">
        <f>HYPERLINK("http://www.lingerieopt.ru/item/6733-plate-martha-premium-v-komplekte-s-chulkami/","6733")</f>
      </c>
      <c r="B3705" s="8" t="s">
        <v>3650</v>
      </c>
      <c r="C3705" s="9">
        <v>3299</v>
      </c>
      <c r="D3705" s="0">
        <v>3</v>
      </c>
      <c r="E3705" s="10">
        <f>HYPERLINK("http://www.lingerieopt.ru/images/original/f41a7a05-d3e0-4c97-8126-4b15106d3b8c.jpg","Фото")</f>
      </c>
    </row>
    <row r="3706">
      <c r="A3706" s="7">
        <f>HYPERLINK("http://www.lingerieopt.ru/item/6920-bodi-miss-whiplash-na-molnii-vo-vsyu-dlinu/","6920")</f>
      </c>
      <c r="B3706" s="8" t="s">
        <v>218</v>
      </c>
      <c r="C3706" s="9">
        <v>2107</v>
      </c>
      <c r="D3706" s="0">
        <v>0</v>
      </c>
      <c r="E3706" s="10">
        <f>HYPERLINK("http://www.lingerieopt.ru/images/original/b9eb7dfe-73b4-46ca-89f1-6608994039e4.jpg","Фото")</f>
      </c>
    </row>
    <row r="3707">
      <c r="A3707" s="7">
        <f>HYPERLINK("http://www.lingerieopt.ru/item/6920-bodi-miss-whiplash-na-molnii-vo-vsyu-dlinu/","6920")</f>
      </c>
      <c r="B3707" s="8" t="s">
        <v>217</v>
      </c>
      <c r="C3707" s="9">
        <v>2107</v>
      </c>
      <c r="D3707" s="0">
        <v>3</v>
      </c>
      <c r="E3707" s="10">
        <f>HYPERLINK("http://www.lingerieopt.ru/images/original/b9eb7dfe-73b4-46ca-89f1-6608994039e4.jpg","Фото")</f>
      </c>
    </row>
    <row r="3708">
      <c r="A3708" s="7">
        <f>HYPERLINK("http://www.lingerieopt.ru/item/6920-bodi-miss-whiplash-na-molnii-vo-vsyu-dlinu/","6920")</f>
      </c>
      <c r="B3708" s="8" t="s">
        <v>219</v>
      </c>
      <c r="C3708" s="9">
        <v>2107</v>
      </c>
      <c r="D3708" s="0">
        <v>3</v>
      </c>
      <c r="E3708" s="10">
        <f>HYPERLINK("http://www.lingerieopt.ru/images/original/b9eb7dfe-73b4-46ca-89f1-6608994039e4.jpg","Фото")</f>
      </c>
    </row>
    <row r="3709">
      <c r="A3709" s="7">
        <f>HYPERLINK("http://www.lingerieopt.ru/item/7194-bebi-doll-tsuki-s-otkrjtoi-spinoi-i-verevkami-dlya-svyazjvaniya/","7194")</f>
      </c>
      <c r="B3709" s="8" t="s">
        <v>3651</v>
      </c>
      <c r="C3709" s="9">
        <v>3341</v>
      </c>
      <c r="D3709" s="0">
        <v>5</v>
      </c>
      <c r="E3709" s="10">
        <f>HYPERLINK("http://www.lingerieopt.ru/images/original/d0ea5bec-3adf-4362-9463-94ba6ab054a9.jpg","Фото")</f>
      </c>
    </row>
    <row r="3710">
      <c r="A3710" s="7">
        <f>HYPERLINK("http://www.lingerieopt.ru/item/7196-komplekt-belya-masuyo-s-verevkami-dlya-svyazjvaniya/","7196")</f>
      </c>
      <c r="B3710" s="8" t="s">
        <v>1864</v>
      </c>
      <c r="C3710" s="9">
        <v>2746</v>
      </c>
      <c r="D3710" s="0">
        <v>7</v>
      </c>
      <c r="E3710" s="10">
        <f>HYPERLINK("http://www.lingerieopt.ru/images/original/6bd99f83-e5d3-47d8-bd5a-1bf6bc138dd8.jpg","Фото")</f>
      </c>
    </row>
    <row r="3711">
      <c r="A3711" s="7">
        <f>HYPERLINK("http://www.lingerieopt.ru/item/7197-komplekt-belya-shinju-s-verevkami-dlya-svyazjvaniya/","7197")</f>
      </c>
      <c r="B3711" s="8" t="s">
        <v>1865</v>
      </c>
      <c r="C3711" s="9">
        <v>3399</v>
      </c>
      <c r="D3711" s="0">
        <v>5</v>
      </c>
      <c r="E3711" s="10">
        <f>HYPERLINK("http://www.lingerieopt.ru/images/original/8c9d80b1-0d13-4a05-8c58-9b5425c99c4e.jpg","Фото")</f>
      </c>
    </row>
    <row r="3712">
      <c r="A3712" s="7">
        <f>HYPERLINK("http://www.lingerieopt.ru/item/7205-bodi-agnes-s-setchatjmi-vstavkami-pazhami-dlya-chulok-i-aloi-shnurovkoi-na-spinke/","7205")</f>
      </c>
      <c r="B3712" s="8" t="s">
        <v>244</v>
      </c>
      <c r="C3712" s="9">
        <v>2544</v>
      </c>
      <c r="D3712" s="0">
        <v>5</v>
      </c>
      <c r="E3712" s="10">
        <f>HYPERLINK("http://www.lingerieopt.ru/images/original/7524cc50-5803-4bf7-abb2-c82eef644ca3.jpg","Фото")</f>
      </c>
    </row>
    <row r="3713">
      <c r="A3713" s="7">
        <f>HYPERLINK("http://www.lingerieopt.ru/item/7386-komplekt-belya-sakura-s-verevkami-dlya-svyazjvaniya/","7386")</f>
      </c>
      <c r="B3713" s="8" t="s">
        <v>1920</v>
      </c>
      <c r="C3713" s="9">
        <v>2983</v>
      </c>
      <c r="D3713" s="0">
        <v>4</v>
      </c>
      <c r="E3713" s="10">
        <f>HYPERLINK("http://www.lingerieopt.ru/images/original/9ceafdb0-55ac-45e1-a0f7-714e74a8190f.jpg","Фото")</f>
      </c>
    </row>
    <row r="3714">
      <c r="A3714" s="7">
        <f>HYPERLINK("http://www.lingerieopt.ru/item/7452-dlinnoe-plate-jacqueline-s-glubokim-dekolte-i-vjrezom-na-spine/","7452")</f>
      </c>
      <c r="B3714" s="8" t="s">
        <v>3652</v>
      </c>
      <c r="C3714" s="9">
        <v>3221</v>
      </c>
      <c r="D3714" s="0">
        <v>7</v>
      </c>
      <c r="E3714" s="10">
        <f>HYPERLINK("http://www.lingerieopt.ru/images/original/4992e64d-851b-495c-935d-c040deb4b904.jpg","Фото")</f>
      </c>
    </row>
    <row r="3715">
      <c r="A3715" s="7">
        <f>HYPERLINK("http://www.lingerieopt.ru/item/7452-dlinnoe-plate-jacqueline-s-glubokim-dekolte-i-vjrezom-na-spine/","7452")</f>
      </c>
      <c r="B3715" s="8" t="s">
        <v>3653</v>
      </c>
      <c r="C3715" s="9">
        <v>3221</v>
      </c>
      <c r="D3715" s="0">
        <v>7</v>
      </c>
      <c r="E3715" s="10">
        <f>HYPERLINK("http://www.lingerieopt.ru/images/original/4992e64d-851b-495c-935d-c040deb4b904.jpg","Фото")</f>
      </c>
    </row>
    <row r="3716">
      <c r="A3716" s="7">
        <f>HYPERLINK("http://www.lingerieopt.ru/item/7452-dlinnoe-plate-jacqueline-s-glubokim-dekolte-i-vjrezom-na-spine/","7452")</f>
      </c>
      <c r="B3716" s="8" t="s">
        <v>3654</v>
      </c>
      <c r="C3716" s="9">
        <v>3221</v>
      </c>
      <c r="D3716" s="0">
        <v>5</v>
      </c>
      <c r="E3716" s="10">
        <f>HYPERLINK("http://www.lingerieopt.ru/images/original/4992e64d-851b-495c-935d-c040deb4b904.jpg","Фото")</f>
      </c>
    </row>
    <row r="3717">
      <c r="A3717" s="7">
        <f>HYPERLINK("http://www.lingerieopt.ru/item/7708-komplekt-belya-sinsita-pod-glyancevuyu-kozhu-s-cepyami/","7708")</f>
      </c>
      <c r="B3717" s="8" t="s">
        <v>1956</v>
      </c>
      <c r="C3717" s="9">
        <v>1828</v>
      </c>
      <c r="D3717" s="0">
        <v>2</v>
      </c>
      <c r="E3717" s="10">
        <f>HYPERLINK("http://www.lingerieopt.ru/images/original/ea20efb3-3827-4e0e-93c9-6ea9e80f441b.jpg","Фото")</f>
      </c>
    </row>
    <row r="3718">
      <c r="A3718" s="7">
        <f>HYPERLINK("http://www.lingerieopt.ru/item/7708-komplekt-belya-sinsita-pod-glyancevuyu-kozhu-s-cepyami/","7708")</f>
      </c>
      <c r="B3718" s="8" t="s">
        <v>1957</v>
      </c>
      <c r="C3718" s="9">
        <v>1828</v>
      </c>
      <c r="D3718" s="0">
        <v>0</v>
      </c>
      <c r="E3718" s="10">
        <f>HYPERLINK("http://www.lingerieopt.ru/images/original/ea20efb3-3827-4e0e-93c9-6ea9e80f441b.jpg","Фото")</f>
      </c>
    </row>
    <row r="3719">
      <c r="A3719" s="7">
        <f>HYPERLINK("http://www.lingerieopt.ru/item/7730-teddi-scandalia-iz-materiala-s-wet-effektom/","7730")</f>
      </c>
      <c r="B3719" s="8" t="s">
        <v>297</v>
      </c>
      <c r="C3719" s="9">
        <v>1152</v>
      </c>
      <c r="D3719" s="0">
        <v>3</v>
      </c>
      <c r="E3719" s="10">
        <f>HYPERLINK("http://www.lingerieopt.ru/images/original/1a333620-3cca-47da-8b15-89c967cec95a.jpg","Фото")</f>
      </c>
    </row>
    <row r="3720">
      <c r="A3720" s="7">
        <f>HYPERLINK("http://www.lingerieopt.ru/item/7730-teddi-scandalia-iz-materiala-s-wet-effektom/","7730")</f>
      </c>
      <c r="B3720" s="8" t="s">
        <v>296</v>
      </c>
      <c r="C3720" s="9">
        <v>1152</v>
      </c>
      <c r="D3720" s="0">
        <v>1</v>
      </c>
      <c r="E3720" s="10">
        <f>HYPERLINK("http://www.lingerieopt.ru/images/original/1a333620-3cca-47da-8b15-89c967cec95a.jpg","Фото")</f>
      </c>
    </row>
    <row r="3721">
      <c r="A3721" s="7">
        <f>HYPERLINK("http://www.lingerieopt.ru/item/8267-chernji-choker-so-shnurovkoi-berra/","8267")</f>
      </c>
      <c r="B3721" s="8" t="s">
        <v>3655</v>
      </c>
      <c r="C3721" s="9">
        <v>659</v>
      </c>
      <c r="D3721" s="0">
        <v>16</v>
      </c>
      <c r="E3721" s="10">
        <f>HYPERLINK("http://www.lingerieopt.ru/images/original/c1d78e80-a32b-4ec6-8ffc-2737401cdc2f.jpg","Фото")</f>
      </c>
    </row>
    <row r="3722">
      <c r="A3722" s="7">
        <f>HYPERLINK("http://www.lingerieopt.ru/item/8304-chernji-korsazh-sexy-pony-s-konskim-hvostom-i-aksessuarami/","8304")</f>
      </c>
      <c r="B3722" s="8" t="s">
        <v>3332</v>
      </c>
      <c r="C3722" s="9">
        <v>2607</v>
      </c>
      <c r="D3722" s="0">
        <v>0</v>
      </c>
      <c r="E3722" s="10">
        <f>HYPERLINK("http://www.lingerieopt.ru/images/original/c9e3cc42-717e-4551-8307-3683bc43a5a0.jpg","Фото")</f>
      </c>
    </row>
    <row r="3723">
      <c r="A3723" s="7">
        <f>HYPERLINK("http://www.lingerieopt.ru/item/8304-chernji-korsazh-sexy-pony-s-konskim-hvostom-i-aksessuarami/","8304")</f>
      </c>
      <c r="B3723" s="8" t="s">
        <v>3333</v>
      </c>
      <c r="C3723" s="9">
        <v>2607</v>
      </c>
      <c r="D3723" s="0">
        <v>4</v>
      </c>
      <c r="E3723" s="10">
        <f>HYPERLINK("http://www.lingerieopt.ru/images/original/c9e3cc42-717e-4551-8307-3683bc43a5a0.jpg","Фото")</f>
      </c>
    </row>
    <row r="3724">
      <c r="A3724" s="7">
        <f>HYPERLINK("http://www.lingerieopt.ru/item/8458-pikantnji-komplekt-belya-s-cepochkami/","8458")</f>
      </c>
      <c r="B3724" s="8" t="s">
        <v>1980</v>
      </c>
      <c r="C3724" s="9">
        <v>1585</v>
      </c>
      <c r="D3724" s="0">
        <v>10</v>
      </c>
      <c r="E3724" s="10">
        <f>HYPERLINK("http://www.lingerieopt.ru/images/original/b9b225bc-5cd7-4745-822c-6817cbc1b0f9.jpg","Фото")</f>
      </c>
    </row>
    <row r="3725">
      <c r="A3725" s="7">
        <f>HYPERLINK("http://www.lingerieopt.ru/item/8494-effektnoe-bodi-jean-iz-tkani-s-mokrjm-bleskom/","8494")</f>
      </c>
      <c r="B3725" s="8" t="s">
        <v>326</v>
      </c>
      <c r="C3725" s="9">
        <v>1299</v>
      </c>
      <c r="D3725" s="0">
        <v>3</v>
      </c>
      <c r="E3725" s="10">
        <f>HYPERLINK("http://www.lingerieopt.ru/images/original/cd714bca-f747-4361-9be2-5ecc94bc8490.jpg","Фото")</f>
      </c>
    </row>
    <row r="3726">
      <c r="A3726" s="7">
        <f>HYPERLINK("http://www.lingerieopt.ru/item/8494-effektnoe-bodi-jean-iz-tkani-s-mokrjm-bleskom/","8494")</f>
      </c>
      <c r="B3726" s="8" t="s">
        <v>327</v>
      </c>
      <c r="C3726" s="9">
        <v>1299</v>
      </c>
      <c r="D3726" s="0">
        <v>2</v>
      </c>
      <c r="E3726" s="10">
        <f>HYPERLINK("http://www.lingerieopt.ru/images/original/cd714bca-f747-4361-9be2-5ecc94bc8490.jpg","Фото")</f>
      </c>
    </row>
    <row r="3727">
      <c r="A3727" s="7">
        <f>HYPERLINK("http://www.lingerieopt.ru/item/8526-soblaznitelnoe-bodi-clover-s-effektom-wetlook/","8526")</f>
      </c>
      <c r="B3727" s="8" t="s">
        <v>339</v>
      </c>
      <c r="C3727" s="9">
        <v>1299</v>
      </c>
      <c r="D3727" s="0">
        <v>8</v>
      </c>
      <c r="E3727" s="10">
        <f>HYPERLINK("http://www.lingerieopt.ru/images/original/0bfa16be-465f-44f4-9b4b-9b96ecacb947.jpg","Фото")</f>
      </c>
    </row>
    <row r="3728">
      <c r="A3728" s="7">
        <f>HYPERLINK("http://www.lingerieopt.ru/item/8526-soblaznitelnoe-bodi-clover-s-effektom-wetlook/","8526")</f>
      </c>
      <c r="B3728" s="8" t="s">
        <v>340</v>
      </c>
      <c r="C3728" s="9">
        <v>1299</v>
      </c>
      <c r="D3728" s="0">
        <v>8</v>
      </c>
      <c r="E3728" s="10">
        <f>HYPERLINK("http://www.lingerieopt.ru/images/original/0bfa16be-465f-44f4-9b4b-9b96ecacb947.jpg","Фото")</f>
      </c>
    </row>
    <row r="3729">
      <c r="A3729" s="7">
        <f>HYPERLINK("http://www.lingerieopt.ru/item/8897-bodi-s-bahromoi-na-life/","8897")</f>
      </c>
      <c r="B3729" s="8" t="s">
        <v>398</v>
      </c>
      <c r="C3729" s="9">
        <v>1937</v>
      </c>
      <c r="D3729" s="0">
        <v>9</v>
      </c>
      <c r="E3729" s="10">
        <f>HYPERLINK("http://www.lingerieopt.ru/images/original/a306fdce-66a9-4d5b-ae5d-ac9ad86d33c6.jpg","Фото")</f>
      </c>
    </row>
    <row r="3730">
      <c r="A3730" s="7">
        <f>HYPERLINK("http://www.lingerieopt.ru/item/8897-bodi-s-bahromoi-na-life/","8897")</f>
      </c>
      <c r="B3730" s="8" t="s">
        <v>399</v>
      </c>
      <c r="C3730" s="9">
        <v>1937</v>
      </c>
      <c r="D3730" s="0">
        <v>8</v>
      </c>
      <c r="E3730" s="10">
        <f>HYPERLINK("http://www.lingerieopt.ru/images/original/a306fdce-66a9-4d5b-ae5d-ac9ad86d33c6.jpg","Фото")</f>
      </c>
    </row>
    <row r="3731">
      <c r="A3731" s="7">
        <f>HYPERLINK("http://www.lingerieopt.ru/item/8898-bodi-s-otkrjtoi-grudyu-i-lentami-po-nogam/","8898")</f>
      </c>
      <c r="B3731" s="8" t="s">
        <v>400</v>
      </c>
      <c r="C3731" s="9">
        <v>2242</v>
      </c>
      <c r="D3731" s="0">
        <v>12</v>
      </c>
      <c r="E3731" s="10">
        <f>HYPERLINK("http://www.lingerieopt.ru/images/original/65e2046d-96a1-43c3-ac67-88c4085d806a.jpg","Фото")</f>
      </c>
    </row>
    <row r="3732">
      <c r="A3732" s="7">
        <f>HYPERLINK("http://www.lingerieopt.ru/item/8898-bodi-s-otkrjtoi-grudyu-i-lentami-po-nogam/","8898")</f>
      </c>
      <c r="B3732" s="8" t="s">
        <v>401</v>
      </c>
      <c r="C3732" s="9">
        <v>2242</v>
      </c>
      <c r="D3732" s="0">
        <v>5</v>
      </c>
      <c r="E3732" s="10">
        <f>HYPERLINK("http://www.lingerieopt.ru/images/original/65e2046d-96a1-43c3-ac67-88c4085d806a.jpg","Фото")</f>
      </c>
    </row>
    <row r="3733">
      <c r="A3733" s="7">
        <f>HYPERLINK("http://www.lingerieopt.ru/item/9052-kepka-iz-ekokozhi/","9052")</f>
      </c>
      <c r="B3733" s="8" t="s">
        <v>3656</v>
      </c>
      <c r="C3733" s="9">
        <v>744</v>
      </c>
      <c r="D3733" s="0">
        <v>15</v>
      </c>
      <c r="E3733" s="10">
        <f>HYPERLINK("http://www.lingerieopt.ru/images/original/bbe3c058-29b3-4a07-abf6-236159a076a7.jpg","Фото")</f>
      </c>
    </row>
    <row r="3734">
      <c r="A3734" s="7">
        <f>HYPERLINK("http://www.lingerieopt.ru/item/9271-chernaya-pilotka-iz-iskusstvennoi-kozhi/","9271")</f>
      </c>
      <c r="B3734" s="8" t="s">
        <v>3657</v>
      </c>
      <c r="C3734" s="9">
        <v>744</v>
      </c>
      <c r="D3734" s="0">
        <v>10</v>
      </c>
      <c r="E3734" s="10">
        <f>HYPERLINK("http://www.lingerieopt.ru/images/original/cf5939a5-08f7-46e9-9a84-36584dd4a498.jpg","Фото")</f>
      </c>
    </row>
    <row r="3735">
      <c r="A3735" s="7">
        <f>HYPERLINK("http://www.lingerieopt.ru/item/9656-komplekt-belya-capri-iz-tkani-s-wet-effektom/","9656")</f>
      </c>
      <c r="B3735" s="8" t="s">
        <v>2334</v>
      </c>
      <c r="C3735" s="9">
        <v>1299</v>
      </c>
      <c r="D3735" s="0">
        <v>4</v>
      </c>
      <c r="E3735" s="10">
        <f>HYPERLINK("http://www.lingerieopt.ru/images/original/b9c2d698-a321-4cd5-9805-3fead88fbb0d.jpg","Фото")</f>
      </c>
    </row>
    <row r="3736">
      <c r="A3736" s="7">
        <f>HYPERLINK("http://www.lingerieopt.ru/item/9656-komplekt-belya-capri-iz-tkani-s-wet-effektom/","9656")</f>
      </c>
      <c r="B3736" s="8" t="s">
        <v>2335</v>
      </c>
      <c r="C3736" s="9">
        <v>1299</v>
      </c>
      <c r="D3736" s="0">
        <v>0</v>
      </c>
      <c r="E3736" s="10">
        <f>HYPERLINK("http://www.lingerieopt.ru/images/original/b9c2d698-a321-4cd5-9805-3fead88fbb0d.jpg","Фото")</f>
      </c>
    </row>
    <row r="3737">
      <c r="A3737" s="7">
        <f>HYPERLINK("http://www.lingerieopt.ru/item/9657-strogii-komplekt-belya-capri-plus-size-iz-tkani-s-wet-effektom/","9657")</f>
      </c>
      <c r="B3737" s="8" t="s">
        <v>2336</v>
      </c>
      <c r="C3737" s="9">
        <v>1299</v>
      </c>
      <c r="D3737" s="0">
        <v>1</v>
      </c>
      <c r="E3737" s="10">
        <f>HYPERLINK("http://www.lingerieopt.ru/images/original/178a884c-58a8-478e-bdf6-f3813708a035.jpg","Фото")</f>
      </c>
    </row>
    <row r="3738">
      <c r="A3738" s="7">
        <f>HYPERLINK("http://www.lingerieopt.ru/item/9663-soblaznitelnji-komplekt-belya-neddy-s-wet-effektom/","9663")</f>
      </c>
      <c r="B3738" s="8" t="s">
        <v>2338</v>
      </c>
      <c r="C3738" s="9">
        <v>1299</v>
      </c>
      <c r="D3738" s="0">
        <v>2</v>
      </c>
      <c r="E3738" s="10">
        <f>HYPERLINK("http://www.lingerieopt.ru/images/original/bb146fba-06e4-48fe-8c45-9e2ed78d36d9.jpg","Фото")</f>
      </c>
    </row>
    <row r="3739">
      <c r="A3739" s="7">
        <f>HYPERLINK("http://www.lingerieopt.ru/item/9663-soblaznitelnji-komplekt-belya-neddy-s-wet-effektom/","9663")</f>
      </c>
      <c r="B3739" s="8" t="s">
        <v>2339</v>
      </c>
      <c r="C3739" s="9">
        <v>1299</v>
      </c>
      <c r="D3739" s="0">
        <v>0</v>
      </c>
      <c r="E3739" s="10">
        <f>HYPERLINK("http://www.lingerieopt.ru/images/original/bb146fba-06e4-48fe-8c45-9e2ed78d36d9.jpg","Фото")</f>
      </c>
    </row>
    <row r="3740">
      <c r="A3740" s="7">
        <f>HYPERLINK("http://www.lingerieopt.ru/item/9681-plate-chantal-plus-size-s-otstegivayuschimsya-volanom/","9681")</f>
      </c>
      <c r="B3740" s="8" t="s">
        <v>3658</v>
      </c>
      <c r="C3740" s="9">
        <v>1743</v>
      </c>
      <c r="D3740" s="0">
        <v>2</v>
      </c>
      <c r="E3740" s="10">
        <f>HYPERLINK("http://www.lingerieopt.ru/images/original/ddb7aa18-a243-4cd6-85ff-7f9d7f4393fe.jpg","Фото")</f>
      </c>
    </row>
    <row r="3741">
      <c r="A3741" s="7">
        <f>HYPERLINK("http://www.lingerieopt.ru/item/9681-plate-chantal-plus-size-s-otstegivayuschimsya-volanom/","9681")</f>
      </c>
      <c r="B3741" s="8" t="s">
        <v>3659</v>
      </c>
      <c r="C3741" s="9">
        <v>1743</v>
      </c>
      <c r="D3741" s="0">
        <v>2</v>
      </c>
      <c r="E3741" s="10">
        <f>HYPERLINK("http://www.lingerieopt.ru/images/original/ddb7aa18-a243-4cd6-85ff-7f9d7f4393fe.jpg","Фото")</f>
      </c>
    </row>
    <row r="3742">
      <c r="A3742" s="7">
        <f>HYPERLINK("http://www.lingerieopt.ru/item/9682-soblaznitelnoe-bodi-fanny-s-molniyami/","9682")</f>
      </c>
      <c r="B3742" s="8" t="s">
        <v>567</v>
      </c>
      <c r="C3742" s="9">
        <v>1521</v>
      </c>
      <c r="D3742" s="0">
        <v>3</v>
      </c>
      <c r="E3742" s="10">
        <f>HYPERLINK("http://www.lingerieopt.ru/images/original/fa4609cf-f3bf-4b1f-a722-d491a077cc09.jpg","Фото")</f>
      </c>
    </row>
    <row r="3743">
      <c r="A3743" s="7">
        <f>HYPERLINK("http://www.lingerieopt.ru/item/9682-soblaznitelnoe-bodi-fanny-s-molniyami/","9682")</f>
      </c>
      <c r="B3743" s="8" t="s">
        <v>562</v>
      </c>
      <c r="C3743" s="9">
        <v>1521</v>
      </c>
      <c r="D3743" s="0">
        <v>3</v>
      </c>
      <c r="E3743" s="10">
        <f>HYPERLINK("http://www.lingerieopt.ru/images/original/fa4609cf-f3bf-4b1f-a722-d491a077cc09.jpg","Фото")</f>
      </c>
    </row>
    <row r="3744">
      <c r="A3744" s="7">
        <f>HYPERLINK("http://www.lingerieopt.ru/item/9682-soblaznitelnoe-bodi-fanny-s-molniyami/","9682")</f>
      </c>
      <c r="B3744" s="8" t="s">
        <v>563</v>
      </c>
      <c r="C3744" s="9">
        <v>1521</v>
      </c>
      <c r="D3744" s="0">
        <v>3</v>
      </c>
      <c r="E3744" s="10">
        <f>HYPERLINK("http://www.lingerieopt.ru/images/original/fa4609cf-f3bf-4b1f-a722-d491a077cc09.jpg","Фото")</f>
      </c>
    </row>
    <row r="3745">
      <c r="A3745" s="7">
        <f>HYPERLINK("http://www.lingerieopt.ru/item/9682-soblaznitelnoe-bodi-fanny-s-molniyami/","9682")</f>
      </c>
      <c r="B3745" s="8" t="s">
        <v>564</v>
      </c>
      <c r="C3745" s="9">
        <v>1521</v>
      </c>
      <c r="D3745" s="0">
        <v>3</v>
      </c>
      <c r="E3745" s="10">
        <f>HYPERLINK("http://www.lingerieopt.ru/images/original/fa4609cf-f3bf-4b1f-a722-d491a077cc09.jpg","Фото")</f>
      </c>
    </row>
    <row r="3746">
      <c r="A3746" s="7">
        <f>HYPERLINK("http://www.lingerieopt.ru/item/9682-soblaznitelnoe-bodi-fanny-s-molniyami/","9682")</f>
      </c>
      <c r="B3746" s="8" t="s">
        <v>566</v>
      </c>
      <c r="C3746" s="9">
        <v>1521</v>
      </c>
      <c r="D3746" s="0">
        <v>5</v>
      </c>
      <c r="E3746" s="10">
        <f>HYPERLINK("http://www.lingerieopt.ru/images/original/fa4609cf-f3bf-4b1f-a722-d491a077cc09.jpg","Фото")</f>
      </c>
    </row>
    <row r="3747">
      <c r="A3747" s="7">
        <f>HYPERLINK("http://www.lingerieopt.ru/item/9682-soblaznitelnoe-bodi-fanny-s-molniyami/","9682")</f>
      </c>
      <c r="B3747" s="8" t="s">
        <v>565</v>
      </c>
      <c r="C3747" s="9">
        <v>1521</v>
      </c>
      <c r="D3747" s="0">
        <v>0</v>
      </c>
      <c r="E3747" s="10">
        <f>HYPERLINK("http://www.lingerieopt.ru/images/original/fa4609cf-f3bf-4b1f-a722-d491a077cc09.jpg","Фото")</f>
      </c>
    </row>
    <row r="3748">
      <c r="A3748" s="7">
        <f>HYPERLINK("http://www.lingerieopt.ru/item/9683-soblaznitelnoe-bodi-fanny-plus-size-s-molniyami/","9683")</f>
      </c>
      <c r="B3748" s="8" t="s">
        <v>569</v>
      </c>
      <c r="C3748" s="9">
        <v>1521</v>
      </c>
      <c r="D3748" s="0">
        <v>2</v>
      </c>
      <c r="E3748" s="10">
        <f>HYPERLINK("http://www.lingerieopt.ru/images/original/a83debae-90ac-428e-9f29-2fac66c0bcaf.jpg","Фото")</f>
      </c>
    </row>
    <row r="3749">
      <c r="A3749" s="7">
        <f>HYPERLINK("http://www.lingerieopt.ru/item/9683-soblaznitelnoe-bodi-fanny-plus-size-s-molniyami/","9683")</f>
      </c>
      <c r="B3749" s="8" t="s">
        <v>568</v>
      </c>
      <c r="C3749" s="9">
        <v>1521</v>
      </c>
      <c r="D3749" s="0">
        <v>0</v>
      </c>
      <c r="E3749" s="10">
        <f>HYPERLINK("http://www.lingerieopt.ru/images/original/a83debae-90ac-428e-9f29-2fac66c0bcaf.jpg","Фото")</f>
      </c>
    </row>
    <row r="3750">
      <c r="A3750" s="7">
        <f>HYPERLINK("http://www.lingerieopt.ru/item/9683-soblaznitelnoe-bodi-fanny-plus-size-s-molniyami/","9683")</f>
      </c>
      <c r="B3750" s="8" t="s">
        <v>570</v>
      </c>
      <c r="C3750" s="9">
        <v>1521</v>
      </c>
      <c r="D3750" s="0">
        <v>2</v>
      </c>
      <c r="E3750" s="10">
        <f>HYPERLINK("http://www.lingerieopt.ru/images/original/a83debae-90ac-428e-9f29-2fac66c0bcaf.jpg","Фото")</f>
      </c>
    </row>
    <row r="3751">
      <c r="A3751" s="7">
        <f>HYPERLINK("http://www.lingerieopt.ru/item/9705-poluprozrachnoe-bodi-avril-so-shnurovkoi/","9705")</f>
      </c>
      <c r="B3751" s="8" t="s">
        <v>573</v>
      </c>
      <c r="C3751" s="9">
        <v>1193</v>
      </c>
      <c r="D3751" s="0">
        <v>5</v>
      </c>
      <c r="E3751" s="10">
        <f>HYPERLINK("http://www.lingerieopt.ru/images/original/9a230f7c-fedf-4bc7-b82c-d70580ed3f69.jpg","Фото")</f>
      </c>
    </row>
    <row r="3752">
      <c r="A3752" s="7">
        <f>HYPERLINK("http://www.lingerieopt.ru/item/9705-poluprozrachnoe-bodi-avril-so-shnurovkoi/","9705")</f>
      </c>
      <c r="B3752" s="8" t="s">
        <v>574</v>
      </c>
      <c r="C3752" s="9">
        <v>1193</v>
      </c>
      <c r="D3752" s="0">
        <v>6</v>
      </c>
      <c r="E3752" s="10">
        <f>HYPERLINK("http://www.lingerieopt.ru/images/original/9a230f7c-fedf-4bc7-b82c-d70580ed3f69.jpg","Фото")</f>
      </c>
    </row>
    <row r="3753">
      <c r="A3753" s="7">
        <f>HYPERLINK("http://www.lingerieopt.ru/item/9706-poluprozrachnoe-bodi-avril-plus-size-so-shnurovkoi/","9706")</f>
      </c>
      <c r="B3753" s="8" t="s">
        <v>575</v>
      </c>
      <c r="C3753" s="9">
        <v>1193</v>
      </c>
      <c r="D3753" s="0">
        <v>4</v>
      </c>
      <c r="E3753" s="10">
        <f>HYPERLINK("http://www.lingerieopt.ru/images/original/e5829b74-fcd5-46d1-8498-b39b108eefd3.jpg","Фото")</f>
      </c>
    </row>
    <row r="3754">
      <c r="A3754" s="7">
        <f>HYPERLINK("http://www.lingerieopt.ru/item/9707-korset-catty-plus-size-iz-materiala-s-vinilovjm-napjleniem/","9707")</f>
      </c>
      <c r="B3754" s="8" t="s">
        <v>3418</v>
      </c>
      <c r="C3754" s="9">
        <v>1626</v>
      </c>
      <c r="D3754" s="0">
        <v>2</v>
      </c>
      <c r="E3754" s="10">
        <f>HYPERLINK("http://www.lingerieopt.ru/images/original/1b2e0c4f-98b9-4e5d-bed4-e7f23f409b14.jpg","Фото")</f>
      </c>
    </row>
    <row r="3755">
      <c r="A3755" s="7">
        <f>HYPERLINK("http://www.lingerieopt.ru/item/9708-korset-bes-so-shnurovkoi-speredi-i-pazhami-dlya-chulok/","9708")</f>
      </c>
      <c r="B3755" s="8" t="s">
        <v>3419</v>
      </c>
      <c r="C3755" s="9">
        <v>1451</v>
      </c>
      <c r="D3755" s="0">
        <v>4</v>
      </c>
      <c r="E3755" s="10">
        <f>HYPERLINK("http://www.lingerieopt.ru/images/original/25df2ee8-c7d6-4216-8b9d-64b9e9a97b96.jpg","Фото")</f>
      </c>
    </row>
    <row r="3756">
      <c r="A3756" s="7">
        <f>HYPERLINK("http://www.lingerieopt.ru/item/9708-korset-bes-so-shnurovkoi-speredi-i-pazhami-dlya-chulok/","9708")</f>
      </c>
      <c r="B3756" s="8" t="s">
        <v>3420</v>
      </c>
      <c r="C3756" s="9">
        <v>1451</v>
      </c>
      <c r="D3756" s="0">
        <v>5</v>
      </c>
      <c r="E3756" s="10">
        <f>HYPERLINK("http://www.lingerieopt.ru/images/original/25df2ee8-c7d6-4216-8b9d-64b9e9a97b96.jpg","Фото")</f>
      </c>
    </row>
    <row r="3757">
      <c r="A3757" s="7">
        <f>HYPERLINK("http://www.lingerieopt.ru/item/9730-eroticheskoe-wet-look-plate-jasmin-plus-size-so-shleifom/","9730")</f>
      </c>
      <c r="B3757" s="8" t="s">
        <v>3660</v>
      </c>
      <c r="C3757" s="9">
        <v>2242</v>
      </c>
      <c r="D3757" s="0">
        <v>4</v>
      </c>
      <c r="E3757" s="10">
        <f>HYPERLINK("http://www.lingerieopt.ru/images/original/02d0dc24-1471-4ff7-882c-a316a07d11ae.jpg","Фото")</f>
      </c>
    </row>
    <row r="3758">
      <c r="A3758" s="7">
        <f>HYPERLINK("http://www.lingerieopt.ru/item/9733-soblaznitelnji-komplekt-belya-isa-so-shnurovkami/","9733")</f>
      </c>
      <c r="B3758" s="8" t="s">
        <v>2363</v>
      </c>
      <c r="C3758" s="9">
        <v>1439</v>
      </c>
      <c r="D3758" s="0">
        <v>6</v>
      </c>
      <c r="E3758" s="10">
        <f>HYPERLINK("http://www.lingerieopt.ru/images/original/3243d6f8-3968-47d3-b815-b6e52900ff69.jpg","Фото")</f>
      </c>
    </row>
    <row r="3759">
      <c r="A3759" s="7">
        <f>HYPERLINK("http://www.lingerieopt.ru/item/9733-soblaznitelnji-komplekt-belya-isa-so-shnurovkami/","9733")</f>
      </c>
      <c r="B3759" s="8" t="s">
        <v>2364</v>
      </c>
      <c r="C3759" s="9">
        <v>1439</v>
      </c>
      <c r="D3759" s="0">
        <v>8</v>
      </c>
      <c r="E3759" s="10">
        <f>HYPERLINK("http://www.lingerieopt.ru/images/original/3243d6f8-3968-47d3-b815-b6e52900ff69.jpg","Фото")</f>
      </c>
    </row>
    <row r="3760">
      <c r="A3760" s="7">
        <f>HYPERLINK("http://www.lingerieopt.ru/item/9745-korsazh-bez-bretelei-zola-plus-size-s-prozrachnoi-vstavkoi-po-centru/","9745")</f>
      </c>
      <c r="B3760" s="8" t="s">
        <v>3427</v>
      </c>
      <c r="C3760" s="9">
        <v>1140</v>
      </c>
      <c r="D3760" s="0">
        <v>3</v>
      </c>
      <c r="E3760" s="10">
        <f>HYPERLINK("http://www.lingerieopt.ru/images/original/355d8381-6017-4e04-813e-6ffbac405ca2.jpg","Фото")</f>
      </c>
    </row>
    <row r="3761">
      <c r="A3761" s="7">
        <f>HYPERLINK("http://www.lingerieopt.ru/item/9746-vjzjvayuschee-bodi-blanche-na-molnii/","9746")</f>
      </c>
      <c r="B3761" s="8" t="s">
        <v>579</v>
      </c>
      <c r="C3761" s="9">
        <v>1591</v>
      </c>
      <c r="D3761" s="0">
        <v>7</v>
      </c>
      <c r="E3761" s="10">
        <f>HYPERLINK("http://www.lingerieopt.ru/images/original/9fd5e40a-d318-4930-b504-0f9f0f40877e.jpg","Фото")</f>
      </c>
    </row>
    <row r="3762">
      <c r="A3762" s="7">
        <f>HYPERLINK("http://www.lingerieopt.ru/item/9750-igrivoe-bodi-s-zastezhkami-molniyami-cassandra/","9750")</f>
      </c>
      <c r="B3762" s="8" t="s">
        <v>580</v>
      </c>
      <c r="C3762" s="9">
        <v>1521</v>
      </c>
      <c r="D3762" s="0">
        <v>4</v>
      </c>
      <c r="E3762" s="10">
        <f>HYPERLINK("http://www.lingerieopt.ru/images/original/29b8bc0f-8b24-4954-b5ee-6e2260127422.jpg","Фото")</f>
      </c>
    </row>
    <row r="3763">
      <c r="A3763" s="7">
        <f>HYPERLINK("http://www.lingerieopt.ru/item/9765-kombinezon-iz-eko-kozhi-debby-short/","9765")</f>
      </c>
      <c r="B3763" s="8" t="s">
        <v>3033</v>
      </c>
      <c r="C3763" s="9">
        <v>2450</v>
      </c>
      <c r="D3763" s="0">
        <v>0</v>
      </c>
      <c r="E3763" s="10">
        <f>HYPERLINK("http://www.lingerieopt.ru/images/original/d2c4db86-5f98-4221-a279-06b29e5995e0.jpg","Фото")</f>
      </c>
    </row>
    <row r="3764">
      <c r="A3764" s="7">
        <f>HYPERLINK("http://www.lingerieopt.ru/item/9765-kombinezon-iz-eko-kozhi-debby-short/","9765")</f>
      </c>
      <c r="B3764" s="8" t="s">
        <v>3034</v>
      </c>
      <c r="C3764" s="9">
        <v>2450</v>
      </c>
      <c r="D3764" s="0">
        <v>7</v>
      </c>
      <c r="E3764" s="10">
        <f>HYPERLINK("http://www.lingerieopt.ru/images/original/d2c4db86-5f98-4221-a279-06b29e5995e0.jpg","Фото")</f>
      </c>
    </row>
    <row r="3765">
      <c r="A3765" s="7">
        <f>HYPERLINK("http://www.lingerieopt.ru/item/10147-trusiki-doris-metallic-s-otkrjtoi-popkoi/","10147")</f>
      </c>
      <c r="B3765" s="8" t="s">
        <v>3661</v>
      </c>
      <c r="C3765" s="9">
        <v>622</v>
      </c>
      <c r="D3765" s="0">
        <v>10</v>
      </c>
      <c r="E3765" s="10">
        <f>HYPERLINK("http://www.lingerieopt.ru/images/original/371d3b0b-5d4c-4c3b-9043-c3d13d655b46.jpg","Фото")</f>
      </c>
    </row>
    <row r="3766">
      <c r="A3766" s="7">
        <f>HYPERLINK("http://www.lingerieopt.ru/item/10147-trusiki-doris-metallic-s-otkrjtoi-popkoi/","10147")</f>
      </c>
      <c r="B3766" s="8" t="s">
        <v>3662</v>
      </c>
      <c r="C3766" s="9">
        <v>622</v>
      </c>
      <c r="D3766" s="0">
        <v>8</v>
      </c>
      <c r="E3766" s="10">
        <f>HYPERLINK("http://www.lingerieopt.ru/images/original/371d3b0b-5d4c-4c3b-9043-c3d13d655b46.jpg","Фото")</f>
      </c>
    </row>
    <row r="3767">
      <c r="A3767" s="7">
        <f>HYPERLINK("http://www.lingerieopt.ru/item/10148-effektnji-korset-dorothy-s-yubochkoi/","10148")</f>
      </c>
      <c r="B3767" s="8" t="s">
        <v>3476</v>
      </c>
      <c r="C3767" s="9">
        <v>1685</v>
      </c>
      <c r="D3767" s="0">
        <v>0</v>
      </c>
      <c r="E3767" s="10">
        <f>HYPERLINK("http://www.lingerieopt.ru/images/original/13d2186b-ae1b-44e0-84da-6afa108d1f08.jpg","Фото")</f>
      </c>
    </row>
    <row r="3768">
      <c r="A3768" s="7">
        <f>HYPERLINK("http://www.lingerieopt.ru/item/10148-effektnji-korset-dorothy-s-yubochkoi/","10148")</f>
      </c>
      <c r="B3768" s="8" t="s">
        <v>3475</v>
      </c>
      <c r="C3768" s="9">
        <v>1685</v>
      </c>
      <c r="D3768" s="0">
        <v>9</v>
      </c>
      <c r="E3768" s="10">
        <f>HYPERLINK("http://www.lingerieopt.ru/images/original/13d2186b-ae1b-44e0-84da-6afa108d1f08.jpg","Фото")</f>
      </c>
    </row>
    <row r="3769">
      <c r="A3769" s="7">
        <f>HYPERLINK("http://www.lingerieopt.ru/item/10229-korset-catty-iz-materiala-s-vinilovjm-napjleniem/","10229")</f>
      </c>
      <c r="B3769" s="8" t="s">
        <v>3495</v>
      </c>
      <c r="C3769" s="9">
        <v>1626</v>
      </c>
      <c r="D3769" s="0">
        <v>5</v>
      </c>
      <c r="E3769" s="10">
        <f>HYPERLINK("http://www.lingerieopt.ru/images/original/4d6b4bce-a4d3-44f8-b555-43afa6e9ab9f.jpg","Фото")</f>
      </c>
    </row>
    <row r="3770">
      <c r="A3770" s="7">
        <f>HYPERLINK("http://www.lingerieopt.ru/item/10229-korset-catty-iz-materiala-s-vinilovjm-napjleniem/","10229")</f>
      </c>
      <c r="B3770" s="8" t="s">
        <v>3496</v>
      </c>
      <c r="C3770" s="9">
        <v>1626</v>
      </c>
      <c r="D3770" s="0">
        <v>8</v>
      </c>
      <c r="E3770" s="10">
        <f>HYPERLINK("http://www.lingerieopt.ru/images/original/4d6b4bce-a4d3-44f8-b555-43afa6e9ab9f.jpg","Фото")</f>
      </c>
    </row>
    <row r="3771">
      <c r="A3771" s="7">
        <f>HYPERLINK("http://www.lingerieopt.ru/item/10253-lakovji-komplekt-belya-arielle-iz-3-predmetov/","10253")</f>
      </c>
      <c r="B3771" s="8" t="s">
        <v>2489</v>
      </c>
      <c r="C3771" s="9">
        <v>2829</v>
      </c>
      <c r="D3771" s="0">
        <v>4</v>
      </c>
      <c r="E3771" s="10">
        <f>HYPERLINK("http://www.lingerieopt.ru/images/original/e036af8f-4ff6-4f99-b8bb-c4a6b06eccb5.jpg","Фото")</f>
      </c>
    </row>
    <row r="3772">
      <c r="A3772" s="7">
        <f>HYPERLINK("http://www.lingerieopt.ru/item/10253-lakovji-komplekt-belya-arielle-iz-3-predmetov/","10253")</f>
      </c>
      <c r="B3772" s="8" t="s">
        <v>2491</v>
      </c>
      <c r="C3772" s="9">
        <v>2829</v>
      </c>
      <c r="D3772" s="0">
        <v>5</v>
      </c>
      <c r="E3772" s="10">
        <f>HYPERLINK("http://www.lingerieopt.ru/images/original/e036af8f-4ff6-4f99-b8bb-c4a6b06eccb5.jpg","Фото")</f>
      </c>
    </row>
    <row r="3773">
      <c r="A3773" s="7">
        <f>HYPERLINK("http://www.lingerieopt.ru/item/10253-lakovji-komplekt-belya-arielle-iz-3-predmetov/","10253")</f>
      </c>
      <c r="B3773" s="8" t="s">
        <v>2490</v>
      </c>
      <c r="C3773" s="9">
        <v>2829</v>
      </c>
      <c r="D3773" s="0">
        <v>2</v>
      </c>
      <c r="E3773" s="10">
        <f>HYPERLINK("http://www.lingerieopt.ru/images/original/e036af8f-4ff6-4f99-b8bb-c4a6b06eccb5.jpg","Фото")</f>
      </c>
    </row>
    <row r="3774">
      <c r="A3774" s="7">
        <f>HYPERLINK("http://www.lingerieopt.ru/item/10253-lakovji-komplekt-belya-arielle-iz-3-predmetov/","10253")</f>
      </c>
      <c r="B3774" s="8" t="s">
        <v>2492</v>
      </c>
      <c r="C3774" s="9">
        <v>2829</v>
      </c>
      <c r="D3774" s="0">
        <v>7</v>
      </c>
      <c r="E3774" s="10">
        <f>HYPERLINK("http://www.lingerieopt.ru/images/original/e036af8f-4ff6-4f99-b8bb-c4a6b06eccb5.jpg","Фото")</f>
      </c>
    </row>
    <row r="3775">
      <c r="A3775" s="7">
        <f>HYPERLINK("http://www.lingerieopt.ru/item/10253-lakovji-komplekt-belya-arielle-iz-3-predmetov/","10253")</f>
      </c>
      <c r="B3775" s="8" t="s">
        <v>2494</v>
      </c>
      <c r="C3775" s="9">
        <v>2829</v>
      </c>
      <c r="D3775" s="0">
        <v>6</v>
      </c>
      <c r="E3775" s="10">
        <f>HYPERLINK("http://www.lingerieopt.ru/images/original/e036af8f-4ff6-4f99-b8bb-c4a6b06eccb5.jpg","Фото")</f>
      </c>
    </row>
    <row r="3776">
      <c r="A3776" s="7">
        <f>HYPERLINK("http://www.lingerieopt.ru/item/10253-lakovji-komplekt-belya-arielle-iz-3-predmetov/","10253")</f>
      </c>
      <c r="B3776" s="8" t="s">
        <v>2493</v>
      </c>
      <c r="C3776" s="9">
        <v>2829</v>
      </c>
      <c r="D3776" s="0">
        <v>2</v>
      </c>
      <c r="E3776" s="10">
        <f>HYPERLINK("http://www.lingerieopt.ru/images/original/e036af8f-4ff6-4f99-b8bb-c4a6b06eccb5.jpg","Фото")</f>
      </c>
    </row>
    <row r="3777">
      <c r="A3777" s="7">
        <f>HYPERLINK("http://www.lingerieopt.ru/item/10260-plate-roxana-plus-size-s-verhnei-chastyu-v-vide-portupei/","10260")</f>
      </c>
      <c r="B3777" s="8" t="s">
        <v>3663</v>
      </c>
      <c r="C3777" s="9">
        <v>1164</v>
      </c>
      <c r="D3777" s="0">
        <v>2</v>
      </c>
      <c r="E3777" s="10">
        <f>HYPERLINK("http://www.lingerieopt.ru/images/original/99433093-7dd9-4c58-83cd-1d52aef8c147.jpg","Фото")</f>
      </c>
    </row>
    <row r="3778">
      <c r="A3778" s="7">
        <f>HYPERLINK("http://www.lingerieopt.ru/item/10260-plate-roxana-plus-size-s-verhnei-chastyu-v-vide-portupei/","10260")</f>
      </c>
      <c r="B3778" s="8" t="s">
        <v>3664</v>
      </c>
      <c r="C3778" s="9">
        <v>1164</v>
      </c>
      <c r="D3778" s="0">
        <v>2</v>
      </c>
      <c r="E3778" s="10">
        <f>HYPERLINK("http://www.lingerieopt.ru/images/original/99433093-7dd9-4c58-83cd-1d52aef8c147.jpg","Фото")</f>
      </c>
    </row>
    <row r="3779">
      <c r="A3779" s="7">
        <f>HYPERLINK("http://www.lingerieopt.ru/item/10260-plate-roxana-plus-size-s-verhnei-chastyu-v-vide-portupei/","10260")</f>
      </c>
      <c r="B3779" s="8" t="s">
        <v>3665</v>
      </c>
      <c r="C3779" s="9">
        <v>1164</v>
      </c>
      <c r="D3779" s="0">
        <v>1</v>
      </c>
      <c r="E3779" s="10">
        <f>HYPERLINK("http://www.lingerieopt.ru/images/original/99433093-7dd9-4c58-83cd-1d52aef8c147.jpg","Фото")</f>
      </c>
    </row>
    <row r="3780">
      <c r="A3780" s="7">
        <f>HYPERLINK("http://www.lingerieopt.ru/item/10264-komplekt-belya-mia-s-otkrjtoi-grudyu/","10264")</f>
      </c>
      <c r="B3780" s="8" t="s">
        <v>2495</v>
      </c>
      <c r="C3780" s="9">
        <v>2299</v>
      </c>
      <c r="D3780" s="0">
        <v>5</v>
      </c>
      <c r="E3780" s="10">
        <f>HYPERLINK("http://www.lingerieopt.ru/images/original/5f65102c-dac1-46b9-9ad7-2652605cdbcb.jpg","Фото")</f>
      </c>
    </row>
    <row r="3781">
      <c r="A3781" s="7">
        <f>HYPERLINK("http://www.lingerieopt.ru/item/10264-komplekt-belya-mia-s-otkrjtoi-grudyu/","10264")</f>
      </c>
      <c r="B3781" s="8" t="s">
        <v>2496</v>
      </c>
      <c r="C3781" s="9">
        <v>2299</v>
      </c>
      <c r="D3781" s="0">
        <v>4</v>
      </c>
      <c r="E3781" s="10">
        <f>HYPERLINK("http://www.lingerieopt.ru/images/original/5f65102c-dac1-46b9-9ad7-2652605cdbcb.jpg","Фото")</f>
      </c>
    </row>
    <row r="3782">
      <c r="A3782" s="7">
        <f>HYPERLINK("http://www.lingerieopt.ru/item/10266-komplekt-danika-s-otkrjtoi-grudyu/","10266")</f>
      </c>
      <c r="B3782" s="8" t="s">
        <v>3666</v>
      </c>
      <c r="C3782" s="9">
        <v>3442</v>
      </c>
      <c r="D3782" s="0">
        <v>0</v>
      </c>
      <c r="E3782" s="10">
        <f>HYPERLINK("http://www.lingerieopt.ru/images/original/83d0c4f6-91a7-4996-9939-538f8f81bfad.jpg","Фото")</f>
      </c>
    </row>
    <row r="3783">
      <c r="A3783" s="7">
        <f>HYPERLINK("http://www.lingerieopt.ru/item/10266-komplekt-danika-s-otkrjtoi-grudyu/","10266")</f>
      </c>
      <c r="B3783" s="8" t="s">
        <v>3667</v>
      </c>
      <c r="C3783" s="9">
        <v>3442</v>
      </c>
      <c r="D3783" s="0">
        <v>4</v>
      </c>
      <c r="E3783" s="10">
        <f>HYPERLINK("http://www.lingerieopt.ru/images/original/83d0c4f6-91a7-4996-9939-538f8f81bfad.jpg","Фото")</f>
      </c>
    </row>
    <row r="3784">
      <c r="A3784" s="7">
        <f>HYPERLINK("http://www.lingerieopt.ru/item/10267-komplekt-erna-s-otkrjtoi-grudyu/","10267")</f>
      </c>
      <c r="B3784" s="8" t="s">
        <v>3668</v>
      </c>
      <c r="C3784" s="9">
        <v>3659</v>
      </c>
      <c r="D3784" s="0">
        <v>3</v>
      </c>
      <c r="E3784" s="10">
        <f>HYPERLINK("http://www.lingerieopt.ru/images/original/afe9aab3-ef6d-443e-9dd8-76eb28841b5e.jpg","Фото")</f>
      </c>
    </row>
    <row r="3785">
      <c r="A3785" s="7">
        <f>HYPERLINK("http://www.lingerieopt.ru/item/10267-komplekt-erna-s-otkrjtoi-grudyu/","10267")</f>
      </c>
      <c r="B3785" s="8" t="s">
        <v>3669</v>
      </c>
      <c r="C3785" s="9">
        <v>3659</v>
      </c>
      <c r="D3785" s="0">
        <v>3</v>
      </c>
      <c r="E3785" s="10">
        <f>HYPERLINK("http://www.lingerieopt.ru/images/original/afe9aab3-ef6d-443e-9dd8-76eb28841b5e.jpg","Фото")</f>
      </c>
    </row>
    <row r="3786">
      <c r="A3786" s="7">
        <f>HYPERLINK("http://www.lingerieopt.ru/item/10270-plate-kerstin-s-otkrjtoi-grudyu-i-vjrezom-v-forme-serdca-szadi/","10270")</f>
      </c>
      <c r="B3786" s="8" t="s">
        <v>3670</v>
      </c>
      <c r="C3786" s="9">
        <v>3873</v>
      </c>
      <c r="D3786" s="0">
        <v>4</v>
      </c>
      <c r="E3786" s="10">
        <f>HYPERLINK("http://www.lingerieopt.ru/images/original/f49a0fef-e6e2-4773-b98b-d68f4f9471c8.jpg","Фото")</f>
      </c>
    </row>
    <row r="3787">
      <c r="A3787" s="7">
        <f>HYPERLINK("http://www.lingerieopt.ru/item/10270-plate-kerstin-s-otkrjtoi-grudyu-i-vjrezom-v-forme-serdca-szadi/","10270")</f>
      </c>
      <c r="B3787" s="8" t="s">
        <v>3671</v>
      </c>
      <c r="C3787" s="9">
        <v>3873</v>
      </c>
      <c r="D3787" s="0">
        <v>2</v>
      </c>
      <c r="E3787" s="10">
        <f>HYPERLINK("http://www.lingerieopt.ru/images/original/f49a0fef-e6e2-4773-b98b-d68f4f9471c8.jpg","Фото")</f>
      </c>
    </row>
    <row r="3788">
      <c r="A3788" s="7">
        <f>HYPERLINK("http://www.lingerieopt.ru/item/10271-plate-laureen-s-otkrjtoi-grudyu-i-vjrezom-v-forme-serdca-szadi/","10271")</f>
      </c>
      <c r="B3788" s="8" t="s">
        <v>3672</v>
      </c>
      <c r="C3788" s="9">
        <v>3659</v>
      </c>
      <c r="D3788" s="0">
        <v>5</v>
      </c>
      <c r="E3788" s="10">
        <f>HYPERLINK("http://www.lingerieopt.ru/images/original/1ff8fec4-0b3c-4ffe-b43c-d15d9e0421e6.jpg","Фото")</f>
      </c>
    </row>
    <row r="3789">
      <c r="A3789" s="7">
        <f>HYPERLINK("http://www.lingerieopt.ru/item/10271-plate-laureen-s-otkrjtoi-grudyu-i-vjrezom-v-forme-serdca-szadi/","10271")</f>
      </c>
      <c r="B3789" s="8" t="s">
        <v>3673</v>
      </c>
      <c r="C3789" s="9">
        <v>3659</v>
      </c>
      <c r="D3789" s="0">
        <v>5</v>
      </c>
      <c r="E3789" s="10">
        <f>HYPERLINK("http://www.lingerieopt.ru/images/original/1ff8fec4-0b3c-4ffe-b43c-d15d9e0421e6.jpg","Фото")</f>
      </c>
    </row>
    <row r="3790">
      <c r="A3790" s="7">
        <f>HYPERLINK("http://www.lingerieopt.ru/item/10272-soblaznitelnoe-bodi-carmen-so-shnurovkami/","10272")</f>
      </c>
      <c r="B3790" s="8" t="s">
        <v>662</v>
      </c>
      <c r="C3790" s="9">
        <v>2628</v>
      </c>
      <c r="D3790" s="0">
        <v>0</v>
      </c>
      <c r="E3790" s="10">
        <f>HYPERLINK("http://www.lingerieopt.ru/images/original/354e9086-1018-44be-b3e7-5bccf2dbd8ce.jpg","Фото")</f>
      </c>
    </row>
    <row r="3791">
      <c r="A3791" s="7">
        <f>HYPERLINK("http://www.lingerieopt.ru/item/10272-soblaznitelnoe-bodi-carmen-so-shnurovkami/","10272")</f>
      </c>
      <c r="B3791" s="8" t="s">
        <v>663</v>
      </c>
      <c r="C3791" s="9">
        <v>2628</v>
      </c>
      <c r="D3791" s="0">
        <v>4</v>
      </c>
      <c r="E3791" s="10">
        <f>HYPERLINK("http://www.lingerieopt.ru/images/original/354e9086-1018-44be-b3e7-5bccf2dbd8ce.jpg","Фото")</f>
      </c>
    </row>
    <row r="3792">
      <c r="A3792" s="7">
        <f>HYPERLINK("http://www.lingerieopt.ru/item/10273-dlinnje-perchatki-gertrude-s-otkrjtjmi-palchikami/","10273")</f>
      </c>
      <c r="B3792" s="8" t="s">
        <v>3674</v>
      </c>
      <c r="C3792" s="9">
        <v>1144</v>
      </c>
      <c r="D3792" s="0">
        <v>0</v>
      </c>
      <c r="E3792" s="10">
        <f>HYPERLINK("http://www.lingerieopt.ru/images/original/494b9298-0afb-4358-ae57-e059c593479a.jpg","Фото")</f>
      </c>
    </row>
    <row r="3793">
      <c r="A3793" s="7">
        <f>HYPERLINK("http://www.lingerieopt.ru/item/10273-dlinnje-perchatki-gertrude-s-otkrjtjmi-palchikami/","10273")</f>
      </c>
      <c r="B3793" s="8" t="s">
        <v>3675</v>
      </c>
      <c r="C3793" s="9">
        <v>1144</v>
      </c>
      <c r="D3793" s="0">
        <v>6</v>
      </c>
      <c r="E3793" s="10">
        <f>HYPERLINK("http://www.lingerieopt.ru/images/original/494b9298-0afb-4358-ae57-e059c593479a.jpg","Фото")</f>
      </c>
    </row>
    <row r="3794">
      <c r="A3794" s="7">
        <f>HYPERLINK("http://www.lingerieopt.ru/item/10290-chernaya-kozhanaya-podvyazka/","10290")</f>
      </c>
      <c r="B3794" s="8" t="s">
        <v>3676</v>
      </c>
      <c r="C3794" s="9">
        <v>225</v>
      </c>
      <c r="D3794" s="0">
        <v>14</v>
      </c>
      <c r="E3794" s="10">
        <f>HYPERLINK("http://www.lingerieopt.ru/images/original/5ca4eada-5280-4411-a2d2-fe221da60082.jpg","Фото")</f>
      </c>
    </row>
    <row r="3795">
      <c r="A3795" s="7">
        <f>HYPERLINK("http://www.lingerieopt.ru/item/10292-dvoinaya-kozhanaya-podvyazka-na-nogu-s-bantom/","10292")</f>
      </c>
      <c r="B3795" s="8" t="s">
        <v>3677</v>
      </c>
      <c r="C3795" s="9">
        <v>248</v>
      </c>
      <c r="D3795" s="0">
        <v>12</v>
      </c>
      <c r="E3795" s="10">
        <f>HYPERLINK("http://www.lingerieopt.ru/images/original/92937d3c-903c-4a15-87a4-a91608f44b8b.jpg","Фото")</f>
      </c>
    </row>
    <row r="3796">
      <c r="A3796" s="7">
        <f>HYPERLINK("http://www.lingerieopt.ru/item/10342-bodi-clover-plus-size-s-prozrachnjmi-elementami/","10342")</f>
      </c>
      <c r="B3796" s="8" t="s">
        <v>665</v>
      </c>
      <c r="C3796" s="9">
        <v>1299</v>
      </c>
      <c r="D3796" s="0">
        <v>2</v>
      </c>
      <c r="E3796" s="10">
        <f>HYPERLINK("http://www.lingerieopt.ru/images/original/33486450-8583-4b6d-a4ad-6a19b9fad01b.jpg","Фото")</f>
      </c>
    </row>
    <row r="3797">
      <c r="A3797" s="7">
        <f>HYPERLINK("http://www.lingerieopt.ru/item/10383-chernje-lateksnje-chulochki/","10383")</f>
      </c>
      <c r="B3797" s="8" t="s">
        <v>3678</v>
      </c>
      <c r="C3797" s="9">
        <v>2026</v>
      </c>
      <c r="D3797" s="0">
        <v>0</v>
      </c>
      <c r="E3797" s="10">
        <f>HYPERLINK("http://www.lingerieopt.ru/images/original/62def6ad-b318-4906-874f-1402d6e7dec8.jpg","Фото")</f>
      </c>
    </row>
    <row r="3798">
      <c r="A3798" s="7">
        <f>HYPERLINK("http://www.lingerieopt.ru/item/10383-chernje-lateksnje-chulochki/","10383")</f>
      </c>
      <c r="B3798" s="8" t="s">
        <v>3679</v>
      </c>
      <c r="C3798" s="9">
        <v>2026</v>
      </c>
      <c r="D3798" s="0">
        <v>1</v>
      </c>
      <c r="E3798" s="10">
        <f>HYPERLINK("http://www.lingerieopt.ru/images/original/62def6ad-b318-4906-874f-1402d6e7dec8.jpg","Фото")</f>
      </c>
    </row>
    <row r="3799">
      <c r="A3799" s="7">
        <f>HYPERLINK("http://www.lingerieopt.ru/item/10383-chernje-lateksnje-chulochki/","10383")</f>
      </c>
      <c r="B3799" s="8" t="s">
        <v>3680</v>
      </c>
      <c r="C3799" s="9">
        <v>2026</v>
      </c>
      <c r="D3799" s="0">
        <v>0</v>
      </c>
      <c r="E3799" s="10">
        <f>HYPERLINK("http://www.lingerieopt.ru/images/original/62def6ad-b318-4906-874f-1402d6e7dec8.jpg","Фото")</f>
      </c>
    </row>
    <row r="3800">
      <c r="A3800" s="7">
        <f>HYPERLINK("http://www.lingerieopt.ru/item/10460-effektnoe-bodi-odette-s-poluprozrachnjmi-vstavkami-po-bokami/","10460")</f>
      </c>
      <c r="B3800" s="8" t="s">
        <v>675</v>
      </c>
      <c r="C3800" s="9">
        <v>1404</v>
      </c>
      <c r="D3800" s="0">
        <v>2</v>
      </c>
      <c r="E3800" s="10">
        <f>HYPERLINK("http://www.lingerieopt.ru/images/original/2af6afc7-652f-4a60-9168-a011f02e85e4.jpg","Фото")</f>
      </c>
    </row>
    <row r="3801">
      <c r="A3801" s="7">
        <f>HYPERLINK("http://www.lingerieopt.ru/item/10460-effektnoe-bodi-odette-s-poluprozrachnjmi-vstavkami-po-bokami/","10460")</f>
      </c>
      <c r="B3801" s="8" t="s">
        <v>674</v>
      </c>
      <c r="C3801" s="9">
        <v>1404</v>
      </c>
      <c r="D3801" s="0">
        <v>5</v>
      </c>
      <c r="E3801" s="10">
        <f>HYPERLINK("http://www.lingerieopt.ru/images/original/2af6afc7-652f-4a60-9168-a011f02e85e4.jpg","Фото")</f>
      </c>
    </row>
    <row r="3802">
      <c r="A3802" s="7">
        <f>HYPERLINK("http://www.lingerieopt.ru/item/10460-effektnoe-bodi-odette-s-poluprozrachnjmi-vstavkami-po-bokami/","10460")</f>
      </c>
      <c r="B3802" s="8" t="s">
        <v>673</v>
      </c>
      <c r="C3802" s="9">
        <v>1404</v>
      </c>
      <c r="D3802" s="0">
        <v>5</v>
      </c>
      <c r="E3802" s="10">
        <f>HYPERLINK("http://www.lingerieopt.ru/images/original/2af6afc7-652f-4a60-9168-a011f02e85e4.jpg","Фото")</f>
      </c>
    </row>
    <row r="3803">
      <c r="A3803" s="7">
        <f>HYPERLINK("http://www.lingerieopt.ru/item/10460-effektnoe-bodi-odette-s-poluprozrachnjmi-vstavkami-po-bokami/","10460")</f>
      </c>
      <c r="B3803" s="8" t="s">
        <v>672</v>
      </c>
      <c r="C3803" s="9">
        <v>1404</v>
      </c>
      <c r="D3803" s="0">
        <v>3</v>
      </c>
      <c r="E3803" s="10">
        <f>HYPERLINK("http://www.lingerieopt.ru/images/original/2af6afc7-652f-4a60-9168-a011f02e85e4.jpg","Фото")</f>
      </c>
    </row>
    <row r="3804">
      <c r="A3804" s="7">
        <f>HYPERLINK("http://www.lingerieopt.ru/item/10460-effektnoe-bodi-odette-s-poluprozrachnjmi-vstavkami-po-bokami/","10460")</f>
      </c>
      <c r="B3804" s="8" t="s">
        <v>670</v>
      </c>
      <c r="C3804" s="9">
        <v>1404</v>
      </c>
      <c r="D3804" s="0">
        <v>4</v>
      </c>
      <c r="E3804" s="10">
        <f>HYPERLINK("http://www.lingerieopt.ru/images/original/2af6afc7-652f-4a60-9168-a011f02e85e4.jpg","Фото")</f>
      </c>
    </row>
    <row r="3805">
      <c r="A3805" s="7">
        <f>HYPERLINK("http://www.lingerieopt.ru/item/10460-effektnoe-bodi-odette-s-poluprozrachnjmi-vstavkami-po-bokami/","10460")</f>
      </c>
      <c r="B3805" s="8" t="s">
        <v>671</v>
      </c>
      <c r="C3805" s="9">
        <v>1404</v>
      </c>
      <c r="D3805" s="0">
        <v>1</v>
      </c>
      <c r="E3805" s="10">
        <f>HYPERLINK("http://www.lingerieopt.ru/images/original/2af6afc7-652f-4a60-9168-a011f02e85e4.jpg","Фото")</f>
      </c>
    </row>
    <row r="3806">
      <c r="A3806" s="7">
        <f>HYPERLINK("http://www.lingerieopt.ru/item/10461-effektnoe-bodi-odette-plus-size-s-poluprozrachnjmi-vstavkami-po-bokami/","10461")</f>
      </c>
      <c r="B3806" s="8" t="s">
        <v>677</v>
      </c>
      <c r="C3806" s="9">
        <v>1404</v>
      </c>
      <c r="D3806" s="0">
        <v>2</v>
      </c>
      <c r="E3806" s="10">
        <f>HYPERLINK("http://www.lingerieopt.ru/images/original/08be0f98-a946-4bb6-b4c8-61f02c945074.jpg","Фото")</f>
      </c>
    </row>
    <row r="3807">
      <c r="A3807" s="7">
        <f>HYPERLINK("http://www.lingerieopt.ru/item/10461-effektnoe-bodi-odette-plus-size-s-poluprozrachnjmi-vstavkami-po-bokami/","10461")</f>
      </c>
      <c r="B3807" s="8" t="s">
        <v>678</v>
      </c>
      <c r="C3807" s="9">
        <v>1404</v>
      </c>
      <c r="D3807" s="0">
        <v>1</v>
      </c>
      <c r="E3807" s="10">
        <f>HYPERLINK("http://www.lingerieopt.ru/images/original/08be0f98-a946-4bb6-b4c8-61f02c945074.jpg","Фото")</f>
      </c>
    </row>
    <row r="3808">
      <c r="A3808" s="7">
        <f>HYPERLINK("http://www.lingerieopt.ru/item/10461-effektnoe-bodi-odette-plus-size-s-poluprozrachnjmi-vstavkami-po-bokami/","10461")</f>
      </c>
      <c r="B3808" s="8" t="s">
        <v>676</v>
      </c>
      <c r="C3808" s="9">
        <v>1404</v>
      </c>
      <c r="D3808" s="0">
        <v>3</v>
      </c>
      <c r="E3808" s="10">
        <f>HYPERLINK("http://www.lingerieopt.ru/images/original/08be0f98-a946-4bb6-b4c8-61f02c945074.jpg","Фото")</f>
      </c>
    </row>
    <row r="3809">
      <c r="A3809" s="7">
        <f>HYPERLINK("http://www.lingerieopt.ru/item/10462-derzkii-komplekt-belya-yvette-plus-size-s-kapyushonom/","10462")</f>
      </c>
      <c r="B3809" s="8" t="s">
        <v>2520</v>
      </c>
      <c r="C3809" s="9">
        <v>1280</v>
      </c>
      <c r="D3809" s="0">
        <v>1</v>
      </c>
      <c r="E3809" s="10">
        <f>HYPERLINK("http://www.lingerieopt.ru/images/original/f135eaa3-ba14-41a8-b9f4-c7a1f3ca91b2.jpg","Фото")</f>
      </c>
    </row>
    <row r="3810">
      <c r="A3810" s="7">
        <f>HYPERLINK("http://www.lingerieopt.ru/item/10462-derzkii-komplekt-belya-yvette-plus-size-s-kapyushonom/","10462")</f>
      </c>
      <c r="B3810" s="8" t="s">
        <v>2519</v>
      </c>
      <c r="C3810" s="9">
        <v>1280</v>
      </c>
      <c r="D3810" s="0">
        <v>0</v>
      </c>
      <c r="E3810" s="10">
        <f>HYPERLINK("http://www.lingerieopt.ru/images/original/f135eaa3-ba14-41a8-b9f4-c7a1f3ca91b2.jpg","Фото")</f>
      </c>
    </row>
    <row r="3811">
      <c r="A3811" s="7">
        <f>HYPERLINK("http://www.lingerieopt.ru/item/10501-plate-xymena-plus-size-s-kolechkami-na-poyase/","10501")</f>
      </c>
      <c r="B3811" s="8" t="s">
        <v>3681</v>
      </c>
      <c r="C3811" s="9">
        <v>1474</v>
      </c>
      <c r="D3811" s="0">
        <v>9</v>
      </c>
      <c r="E3811" s="10">
        <f>HYPERLINK("http://www.lingerieopt.ru/images/original/18cb9acc-399b-48c5-a50f-e64107a59a32.jpg","Фото")</f>
      </c>
    </row>
    <row r="3812">
      <c r="A3812" s="7">
        <f>HYPERLINK("http://www.lingerieopt.ru/item/10566-chulki-wetlook-s-dekorativnoi-shnurovkoi-iz-lent/","10566")</f>
      </c>
      <c r="B3812" s="8" t="s">
        <v>3682</v>
      </c>
      <c r="C3812" s="9">
        <v>888</v>
      </c>
      <c r="D3812" s="0">
        <v>9</v>
      </c>
      <c r="E3812" s="10">
        <f>HYPERLINK("http://www.lingerieopt.ru/images/original/52db52ac-aad7-4121-96d3-6d43d3fa7da7.jpg","Фото")</f>
      </c>
    </row>
    <row r="3813">
      <c r="A3813" s="7">
        <f>HYPERLINK("http://www.lingerieopt.ru/item/10566-chulki-wetlook-s-dekorativnoi-shnurovkoi-iz-lent/","10566")</f>
      </c>
      <c r="B3813" s="8" t="s">
        <v>3683</v>
      </c>
      <c r="C3813" s="9">
        <v>888</v>
      </c>
      <c r="D3813" s="0">
        <v>23</v>
      </c>
      <c r="E3813" s="10">
        <f>HYPERLINK("http://www.lingerieopt.ru/images/original/52db52ac-aad7-4121-96d3-6d43d3fa7da7.jpg","Фото")</f>
      </c>
    </row>
    <row r="3814">
      <c r="A3814" s="7">
        <f>HYPERLINK("http://www.lingerieopt.ru/item/10567-chulki-iz-wetlook-materiala-s-dekorativnoi-shnurovkoi-iz-lent/","10567")</f>
      </c>
      <c r="B3814" s="8" t="s">
        <v>3684</v>
      </c>
      <c r="C3814" s="9">
        <v>888</v>
      </c>
      <c r="D3814" s="0">
        <v>13</v>
      </c>
      <c r="E3814" s="10">
        <f>HYPERLINK("http://www.lingerieopt.ru/images/original/b052e62e-d3b9-413c-bb7d-0fa119a60f61.jpg","Фото")</f>
      </c>
    </row>
    <row r="3815">
      <c r="A3815" s="7">
        <f>HYPERLINK("http://www.lingerieopt.ru/item/10568-derzkii-komplekt-belya-yvette-s-kapyushonom/","10568")</f>
      </c>
      <c r="B3815" s="8" t="s">
        <v>2575</v>
      </c>
      <c r="C3815" s="9">
        <v>1591</v>
      </c>
      <c r="D3815" s="0">
        <v>7</v>
      </c>
      <c r="E3815" s="10">
        <f>HYPERLINK("http://www.lingerieopt.ru/images/original/16db0c04-c790-41d2-9b5c-467631e0fce2.jpg","Фото")</f>
      </c>
    </row>
    <row r="3816">
      <c r="A3816" s="7">
        <f>HYPERLINK("http://www.lingerieopt.ru/item/10568-derzkii-komplekt-belya-yvette-s-kapyushonom/","10568")</f>
      </c>
      <c r="B3816" s="8" t="s">
        <v>2573</v>
      </c>
      <c r="C3816" s="9">
        <v>1591</v>
      </c>
      <c r="D3816" s="0">
        <v>9</v>
      </c>
      <c r="E3816" s="10">
        <f>HYPERLINK("http://www.lingerieopt.ru/images/original/16db0c04-c790-41d2-9b5c-467631e0fce2.jpg","Фото")</f>
      </c>
    </row>
    <row r="3817">
      <c r="A3817" s="7">
        <f>HYPERLINK("http://www.lingerieopt.ru/item/10568-derzkii-komplekt-belya-yvette-s-kapyushonom/","10568")</f>
      </c>
      <c r="B3817" s="8" t="s">
        <v>2574</v>
      </c>
      <c r="C3817" s="9">
        <v>1591</v>
      </c>
      <c r="D3817" s="0">
        <v>12</v>
      </c>
      <c r="E3817" s="10">
        <f>HYPERLINK("http://www.lingerieopt.ru/images/original/16db0c04-c790-41d2-9b5c-467631e0fce2.jpg","Фото")</f>
      </c>
    </row>
    <row r="3818">
      <c r="A3818" s="7">
        <f>HYPERLINK("http://www.lingerieopt.ru/item/10568-derzkii-komplekt-belya-yvette-s-kapyushonom/","10568")</f>
      </c>
      <c r="B3818" s="8" t="s">
        <v>2572</v>
      </c>
      <c r="C3818" s="9">
        <v>1591</v>
      </c>
      <c r="D3818" s="0">
        <v>7</v>
      </c>
      <c r="E3818" s="10">
        <f>HYPERLINK("http://www.lingerieopt.ru/images/original/16db0c04-c790-41d2-9b5c-467631e0fce2.jpg","Фото")</f>
      </c>
    </row>
    <row r="3819">
      <c r="A3819" s="7">
        <f>HYPERLINK("http://www.lingerieopt.ru/item/10575-oblegayuschee-plate-lea-plus-size-s-effektom-mokrogo-bleska/","10575")</f>
      </c>
      <c r="B3819" s="8" t="s">
        <v>3685</v>
      </c>
      <c r="C3819" s="9">
        <v>1474</v>
      </c>
      <c r="D3819" s="0">
        <v>10</v>
      </c>
      <c r="E3819" s="10">
        <f>HYPERLINK("http://www.lingerieopt.ru/images/original/f7a89fc4-0118-42ac-8ccf-c4de0d396388.jpg","Фото")</f>
      </c>
    </row>
    <row r="3820">
      <c r="A3820" s="7">
        <f>HYPERLINK("http://www.lingerieopt.ru/item/10576-maska-na-glaza-s-ushkami/","10576")</f>
      </c>
      <c r="B3820" s="8" t="s">
        <v>3686</v>
      </c>
      <c r="C3820" s="9">
        <v>1346</v>
      </c>
      <c r="D3820" s="0">
        <v>7</v>
      </c>
      <c r="E3820" s="10">
        <f>HYPERLINK("http://www.lingerieopt.ru/images/original/8f986d65-60b9-4497-bbe0-edbdc1532f3f.jpg","Фото")</f>
      </c>
    </row>
    <row r="3821">
      <c r="A3821" s="7">
        <f>HYPERLINK("http://www.lingerieopt.ru/item/10576-maska-na-glaza-s-ushkami/","10576")</f>
      </c>
      <c r="B3821" s="8" t="s">
        <v>3687</v>
      </c>
      <c r="C3821" s="9">
        <v>1346</v>
      </c>
      <c r="D3821" s="0">
        <v>12</v>
      </c>
      <c r="E3821" s="10">
        <f>HYPERLINK("http://www.lingerieopt.ru/images/original/8f986d65-60b9-4497-bbe0-edbdc1532f3f.jpg","Фото")</f>
      </c>
    </row>
    <row r="3822">
      <c r="A3822" s="7">
        <f>HYPERLINK("http://www.lingerieopt.ru/item/10576-maska-na-glaza-s-ushkami/","10576")</f>
      </c>
      <c r="B3822" s="8" t="s">
        <v>3688</v>
      </c>
      <c r="C3822" s="9">
        <v>1346</v>
      </c>
      <c r="D3822" s="0">
        <v>12</v>
      </c>
      <c r="E3822" s="10">
        <f>HYPERLINK("http://www.lingerieopt.ru/images/original/8f986d65-60b9-4497-bbe0-edbdc1532f3f.jpg","Фото")</f>
      </c>
    </row>
    <row r="3823">
      <c r="A3823" s="7">
        <f>HYPERLINK("http://www.lingerieopt.ru/item/10577-maska-na-glaza-iz-materiala-pod-vinil-s-ushkami/","10577")</f>
      </c>
      <c r="B3823" s="8" t="s">
        <v>3689</v>
      </c>
      <c r="C3823" s="9">
        <v>1193</v>
      </c>
      <c r="D3823" s="0">
        <v>0</v>
      </c>
      <c r="E3823" s="10">
        <f>HYPERLINK("http://www.lingerieopt.ru/images/original/79e62c06-ea89-4c42-b08d-aff9deff2106.jpg","Фото")</f>
      </c>
    </row>
    <row r="3824">
      <c r="A3824" s="7">
        <f>HYPERLINK("http://www.lingerieopt.ru/item/10577-maska-na-glaza-iz-materiala-pod-vinil-s-ushkami/","10577")</f>
      </c>
      <c r="B3824" s="8" t="s">
        <v>3690</v>
      </c>
      <c r="C3824" s="9">
        <v>1193</v>
      </c>
      <c r="D3824" s="0">
        <v>10</v>
      </c>
      <c r="E3824" s="10">
        <f>HYPERLINK("http://www.lingerieopt.ru/images/original/79e62c06-ea89-4c42-b08d-aff9deff2106.jpg","Фото")</f>
      </c>
    </row>
    <row r="3825">
      <c r="A3825" s="7">
        <f>HYPERLINK("http://www.lingerieopt.ru/item/10577-maska-na-glaza-iz-materiala-pod-vinil-s-ushkami/","10577")</f>
      </c>
      <c r="B3825" s="8" t="s">
        <v>3691</v>
      </c>
      <c r="C3825" s="9">
        <v>1193</v>
      </c>
      <c r="D3825" s="0">
        <v>20</v>
      </c>
      <c r="E3825" s="10">
        <f>HYPERLINK("http://www.lingerieopt.ru/images/original/79e62c06-ea89-4c42-b08d-aff9deff2106.jpg","Фото")</f>
      </c>
    </row>
    <row r="3826">
      <c r="A3826" s="7">
        <f>HYPERLINK("http://www.lingerieopt.ru/item/10637-chulki-wet-look-s-otkrjtoi-pyatkoi-i-noskom/","10637")</f>
      </c>
      <c r="B3826" s="8" t="s">
        <v>3692</v>
      </c>
      <c r="C3826" s="9">
        <v>828</v>
      </c>
      <c r="D3826" s="0">
        <v>3</v>
      </c>
      <c r="E3826" s="10">
        <f>HYPERLINK("http://www.lingerieopt.ru/images/original/7125629c-d0a7-4482-81ea-8bfd02f01c8b.jpg","Фото")</f>
      </c>
    </row>
    <row r="3827">
      <c r="A3827" s="7">
        <f>HYPERLINK("http://www.lingerieopt.ru/item/10639-originalnji-komplekt-tess-plus-size/","10639")</f>
      </c>
      <c r="B3827" s="8" t="s">
        <v>2591</v>
      </c>
      <c r="C3827" s="9">
        <v>1720</v>
      </c>
      <c r="D3827" s="0">
        <v>2</v>
      </c>
      <c r="E3827" s="10">
        <f>HYPERLINK("http://www.lingerieopt.ru/images/original/57a1936e-f701-4ff6-a5a4-b45b7273b732.jpg","Фото")</f>
      </c>
    </row>
    <row r="3828">
      <c r="A3828" s="7">
        <f>HYPERLINK("http://www.lingerieopt.ru/item/10641-korsazh-joana-plus-size-s-pjshnjmi-oborkami-i-pazhami/","10641")</f>
      </c>
      <c r="B3828" s="8" t="s">
        <v>3537</v>
      </c>
      <c r="C3828" s="9">
        <v>1451</v>
      </c>
      <c r="D3828" s="0">
        <v>3</v>
      </c>
      <c r="E3828" s="10">
        <f>HYPERLINK("http://www.lingerieopt.ru/images/original/bf49bb60-651a-46ec-b34e-26c9f5273b6f.jpg","Фото")</f>
      </c>
    </row>
    <row r="3829">
      <c r="A3829" s="7">
        <f>HYPERLINK("http://www.lingerieopt.ru/item/10666-pikantnaya-sorochka-viviane-plus-size-s-otkrjtoi-grudyu/","10666")</f>
      </c>
      <c r="B3829" s="8" t="s">
        <v>3693</v>
      </c>
      <c r="C3829" s="9">
        <v>1152</v>
      </c>
      <c r="D3829" s="0">
        <v>1</v>
      </c>
      <c r="E3829" s="10">
        <f>HYPERLINK("http://www.lingerieopt.ru/images/original/c5a07662-ee19-456e-81c4-9934358250db.jpg","Фото")</f>
      </c>
    </row>
    <row r="3830">
      <c r="A3830" s="7">
        <f>HYPERLINK("http://www.lingerieopt.ru/item/10711-oblegayuschee-plate-joline-plus-size-iz-materiala-pod-kozhu/","10711")</f>
      </c>
      <c r="B3830" s="8" t="s">
        <v>3694</v>
      </c>
      <c r="C3830" s="9">
        <v>2024</v>
      </c>
      <c r="D3830" s="0">
        <v>3</v>
      </c>
      <c r="E3830" s="10">
        <f>HYPERLINK("http://www.lingerieopt.ru/images/original/5f4c7b42-3402-4e51-9d6e-f936208d764e.jpg","Фото")</f>
      </c>
    </row>
    <row r="3831">
      <c r="A3831" s="7">
        <f>HYPERLINK("http://www.lingerieopt.ru/item/10712-kombinezon-debby-short-plus-size-iz-eko-kozhi/","10712")</f>
      </c>
      <c r="B3831" s="8" t="s">
        <v>3050</v>
      </c>
      <c r="C3831" s="9">
        <v>2450</v>
      </c>
      <c r="D3831" s="0">
        <v>1</v>
      </c>
      <c r="E3831" s="10">
        <f>HYPERLINK("http://www.lingerieopt.ru/images/original/84752247-c2fc-4f41-9587-08a089f37b62.jpg","Фото")</f>
      </c>
    </row>
    <row r="3832">
      <c r="A3832" s="7">
        <f>HYPERLINK("http://www.lingerieopt.ru/item/10805-neobjchnje-chulki-s-bleskom/","10805")</f>
      </c>
      <c r="B3832" s="8" t="s">
        <v>3695</v>
      </c>
      <c r="C3832" s="9">
        <v>1252</v>
      </c>
      <c r="D3832" s="0">
        <v>6</v>
      </c>
      <c r="E3832" s="10">
        <f>HYPERLINK("http://www.lingerieopt.ru/images/original/3340639c-8753-47f2-b3a5-346578c05555.jpg","Фото")</f>
      </c>
    </row>
    <row r="3833">
      <c r="A3833" s="7">
        <f>HYPERLINK("http://www.lingerieopt.ru/item/10805-neobjchnje-chulki-s-bleskom/","10805")</f>
      </c>
      <c r="B3833" s="8" t="s">
        <v>3696</v>
      </c>
      <c r="C3833" s="9">
        <v>1252</v>
      </c>
      <c r="D3833" s="0">
        <v>5</v>
      </c>
      <c r="E3833" s="10">
        <f>HYPERLINK("http://www.lingerieopt.ru/images/original/3340639c-8753-47f2-b3a5-346578c05555.jpg","Фото")</f>
      </c>
    </row>
    <row r="3834">
      <c r="A3834" s="7">
        <f>HYPERLINK("http://www.lingerieopt.ru/item/10805-neobjchnje-chulki-s-bleskom/","10805")</f>
      </c>
      <c r="B3834" s="8" t="s">
        <v>3697</v>
      </c>
      <c r="C3834" s="9">
        <v>1252</v>
      </c>
      <c r="D3834" s="0">
        <v>4</v>
      </c>
      <c r="E3834" s="10">
        <f>HYPERLINK("http://www.lingerieopt.ru/images/original/3340639c-8753-47f2-b3a5-346578c05555.jpg","Фото")</f>
      </c>
    </row>
    <row r="3835">
      <c r="A3835" s="7">
        <f>HYPERLINK("http://www.lingerieopt.ru/item/10805-neobjchnje-chulki-s-bleskom/","10805")</f>
      </c>
      <c r="B3835" s="8" t="s">
        <v>3698</v>
      </c>
      <c r="C3835" s="9">
        <v>1252</v>
      </c>
      <c r="D3835" s="0">
        <v>13</v>
      </c>
      <c r="E3835" s="10">
        <f>HYPERLINK("http://www.lingerieopt.ru/images/original/3340639c-8753-47f2-b3a5-346578c05555.jpg","Фото")</f>
      </c>
    </row>
    <row r="3836">
      <c r="A3836" s="7">
        <f>HYPERLINK("http://www.lingerieopt.ru/item/10806-originalnje-chulki-s-bleskom/","10806")</f>
      </c>
      <c r="B3836" s="8" t="s">
        <v>3699</v>
      </c>
      <c r="C3836" s="9">
        <v>1252</v>
      </c>
      <c r="D3836" s="0">
        <v>3</v>
      </c>
      <c r="E3836" s="10">
        <f>HYPERLINK("http://www.lingerieopt.ru/images/original/e54fc0e1-a244-4ef4-8ea4-0f0027ed21e9.jpg","Фото")</f>
      </c>
    </row>
    <row r="3837">
      <c r="A3837" s="7">
        <f>HYPERLINK("http://www.lingerieopt.ru/item/10806-originalnje-chulki-s-bleskom/","10806")</f>
      </c>
      <c r="B3837" s="8" t="s">
        <v>3700</v>
      </c>
      <c r="C3837" s="9">
        <v>1252</v>
      </c>
      <c r="D3837" s="0">
        <v>5</v>
      </c>
      <c r="E3837" s="10">
        <f>HYPERLINK("http://www.lingerieopt.ru/images/original/e54fc0e1-a244-4ef4-8ea4-0f0027ed21e9.jpg","Фото")</f>
      </c>
    </row>
    <row r="3838">
      <c r="A3838" s="7">
        <f>HYPERLINK("http://www.lingerieopt.ru/item/10965-podtyazhki-dlya-belya-i-chulok-suspender-belt-for-underwear-and-stockings/","10965")</f>
      </c>
      <c r="B3838" s="8" t="s">
        <v>3701</v>
      </c>
      <c r="C3838" s="9">
        <v>2225</v>
      </c>
      <c r="D3838" s="0">
        <v>2</v>
      </c>
      <c r="E3838" s="10">
        <f>HYPERLINK("http://www.lingerieopt.ru/images/original/a05eb972-40ca-4553-a595-df83c4d0aa78.jpg","Фото")</f>
      </c>
    </row>
    <row r="3839">
      <c r="A3839" s="7">
        <f>HYPERLINK("http://www.lingerieopt.ru/item/11049-chulochki-wetlook-s-otkrjtoi-pyatkoi-i-noskom-razmerom-plus-size/","11049")</f>
      </c>
      <c r="B3839" s="8" t="s">
        <v>3702</v>
      </c>
      <c r="C3839" s="9">
        <v>828</v>
      </c>
      <c r="D3839" s="0">
        <v>0</v>
      </c>
      <c r="E3839" s="10">
        <f>HYPERLINK("http://www.lingerieopt.ru/images/original/6d728811-d79f-4ed9-963f-e6d965c9791c.jpg","Фото")</f>
      </c>
    </row>
    <row r="3840">
      <c r="A3840" s="7">
        <f>HYPERLINK("http://www.lingerieopt.ru/item/11049-chulochki-wetlook-s-otkrjtoi-pyatkoi-i-noskom-razmerom-plus-size/","11049")</f>
      </c>
      <c r="B3840" s="8" t="s">
        <v>3703</v>
      </c>
      <c r="C3840" s="9">
        <v>828</v>
      </c>
      <c r="D3840" s="0">
        <v>7</v>
      </c>
      <c r="E3840" s="10">
        <f>HYPERLINK("http://www.lingerieopt.ru/images/original/6d728811-d79f-4ed9-963f-e6d965c9791c.jpg","Фото")</f>
      </c>
    </row>
    <row r="3841">
      <c r="A3841" s="7">
        <f>HYPERLINK("http://www.lingerieopt.ru/item/11137-chernji-komplekt-belya-iz-4-predmetov/","11137")</f>
      </c>
      <c r="B3841" s="8" t="s">
        <v>2695</v>
      </c>
      <c r="C3841" s="9">
        <v>2646</v>
      </c>
      <c r="D3841" s="0">
        <v>5</v>
      </c>
      <c r="E3841" s="10">
        <f>HYPERLINK("http://www.lingerieopt.ru/images/original/4639ac78-9c1e-40f2-9e96-5dfb12a70c3a.jpg","Фото")</f>
      </c>
    </row>
    <row r="3842">
      <c r="A3842" s="7">
        <f>HYPERLINK("http://www.lingerieopt.ru/item/11137-chernji-komplekt-belya-iz-4-predmetov/","11137")</f>
      </c>
      <c r="B3842" s="8" t="s">
        <v>2697</v>
      </c>
      <c r="C3842" s="9">
        <v>2646</v>
      </c>
      <c r="D3842" s="0">
        <v>5</v>
      </c>
      <c r="E3842" s="10">
        <f>HYPERLINK("http://www.lingerieopt.ru/images/original/4639ac78-9c1e-40f2-9e96-5dfb12a70c3a.jpg","Фото")</f>
      </c>
    </row>
    <row r="3843">
      <c r="A3843" s="7">
        <f>HYPERLINK("http://www.lingerieopt.ru/item/11137-chernji-komplekt-belya-iz-4-predmetov/","11137")</f>
      </c>
      <c r="B3843" s="8" t="s">
        <v>2696</v>
      </c>
      <c r="C3843" s="9">
        <v>2646</v>
      </c>
      <c r="D3843" s="0">
        <v>5</v>
      </c>
      <c r="E3843" s="10">
        <f>HYPERLINK("http://www.lingerieopt.ru/images/original/4639ac78-9c1e-40f2-9e96-5dfb12a70c3a.jpg","Фото")</f>
      </c>
    </row>
    <row r="3844">
      <c r="A3844" s="7">
        <f>HYPERLINK("http://www.lingerieopt.ru/item/11137-chernji-komplekt-belya-iz-4-predmetov/","11137")</f>
      </c>
      <c r="B3844" s="8" t="s">
        <v>2698</v>
      </c>
      <c r="C3844" s="9">
        <v>2646</v>
      </c>
      <c r="D3844" s="0">
        <v>2</v>
      </c>
      <c r="E3844" s="10">
        <f>HYPERLINK("http://www.lingerieopt.ru/images/original/4639ac78-9c1e-40f2-9e96-5dfb12a70c3a.jpg","Фото")</f>
      </c>
    </row>
    <row r="3845">
      <c r="A3845" s="7">
        <f>HYPERLINK("http://www.lingerieopt.ru/item/11413-bodi-lamis-so-strep-lentami/","11413")</f>
      </c>
      <c r="B3845" s="8" t="s">
        <v>784</v>
      </c>
      <c r="C3845" s="9">
        <v>1544</v>
      </c>
      <c r="D3845" s="0">
        <v>10</v>
      </c>
      <c r="E3845" s="10">
        <f>HYPERLINK("http://www.lingerieopt.ru/images/original/a86a86c7-e081-46a0-80e1-d3b45653cf01.jpg","Фото")</f>
      </c>
    </row>
    <row r="3846">
      <c r="A3846" s="7">
        <f>HYPERLINK("http://www.lingerieopt.ru/item/11413-bodi-lamis-so-strep-lentami/","11413")</f>
      </c>
      <c r="B3846" s="8" t="s">
        <v>783</v>
      </c>
      <c r="C3846" s="9">
        <v>1544</v>
      </c>
      <c r="D3846" s="0">
        <v>7</v>
      </c>
      <c r="E3846" s="10">
        <f>HYPERLINK("http://www.lingerieopt.ru/images/original/a86a86c7-e081-46a0-80e1-d3b45653cf01.jpg","Фото")</f>
      </c>
    </row>
    <row r="3847">
      <c r="A3847" s="7">
        <f>HYPERLINK("http://www.lingerieopt.ru/item/11414-bodi-lamis-plus-size-iz-materiala-s-wet-look-effektom/","11414")</f>
      </c>
      <c r="B3847" s="8" t="s">
        <v>785</v>
      </c>
      <c r="C3847" s="9">
        <v>1544</v>
      </c>
      <c r="D3847" s="0">
        <v>4</v>
      </c>
      <c r="E3847" s="10">
        <f>HYPERLINK("http://www.lingerieopt.ru/images/original/55425651-43ff-4e16-b342-cdfb27ce8c3d.jpg","Фото")</f>
      </c>
    </row>
    <row r="3848">
      <c r="A3848" s="7">
        <f>HYPERLINK("http://www.lingerieopt.ru/item/11429-komplekt-belya-navel-iz-tkani-s-wet-look-effektom/","11429")</f>
      </c>
      <c r="B3848" s="8" t="s">
        <v>2755</v>
      </c>
      <c r="C3848" s="9">
        <v>1806</v>
      </c>
      <c r="D3848" s="0">
        <v>6</v>
      </c>
      <c r="E3848" s="10">
        <f>HYPERLINK("http://www.lingerieopt.ru/images/original/1799cf3f-28dd-4587-a0db-f7a48f3b1c3f.jpg","Фото")</f>
      </c>
    </row>
    <row r="3849">
      <c r="A3849" s="7">
        <f>HYPERLINK("http://www.lingerieopt.ru/item/11429-komplekt-belya-navel-iz-tkani-s-wet-look-effektom/","11429")</f>
      </c>
      <c r="B3849" s="8" t="s">
        <v>2756</v>
      </c>
      <c r="C3849" s="9">
        <v>1806</v>
      </c>
      <c r="D3849" s="0">
        <v>8</v>
      </c>
      <c r="E3849" s="10">
        <f>HYPERLINK("http://www.lingerieopt.ru/images/original/1799cf3f-28dd-4587-a0db-f7a48f3b1c3f.jpg","Фото")</f>
      </c>
    </row>
    <row r="3850">
      <c r="A3850" s="5"/>
      <c r="B3850" s="6" t="s">
        <v>3704</v>
      </c>
      <c r="C3850" s="5"/>
      <c r="D3850" s="5"/>
      <c r="E3850" s="5"/>
    </row>
    <row r="3851">
      <c r="A3851" s="7">
        <f>HYPERLINK("http://www.lingerieopt.ru/item/2392-chernje-golfj-high-school-girl/","2392")</f>
      </c>
      <c r="B3851" s="8" t="s">
        <v>3705</v>
      </c>
      <c r="C3851" s="9">
        <v>198</v>
      </c>
      <c r="D3851" s="0">
        <v>11</v>
      </c>
      <c r="E3851" s="10">
        <f>HYPERLINK("http://www.lingerieopt.ru/images/original/e4b354d4-73a3-4317-8ecd-6bd3e19aea7c.jpg","Фото")</f>
      </c>
    </row>
    <row r="3852">
      <c r="A3852" s="7">
        <f>HYPERLINK("http://www.lingerieopt.ru/item/3544-vjsokie-cherno-rozovje-getrj-s-izobrazheniem-cherepa/","3544")</f>
      </c>
      <c r="B3852" s="8" t="s">
        <v>3706</v>
      </c>
      <c r="C3852" s="9">
        <v>710</v>
      </c>
      <c r="D3852" s="0">
        <v>6</v>
      </c>
      <c r="E3852" s="10">
        <f>HYPERLINK("http://www.lingerieopt.ru/images/original/98d71ff6-09dd-476f-ab25-767fbed8e04e.jpg","Фото")</f>
      </c>
    </row>
    <row r="3853">
      <c r="A3853" s="7">
        <f>HYPERLINK("http://www.lingerieopt.ru/item/3600-djryavje-legginsj-rock-and-roll/","3600")</f>
      </c>
      <c r="B3853" s="8" t="s">
        <v>3707</v>
      </c>
      <c r="C3853" s="9">
        <v>760</v>
      </c>
      <c r="D3853" s="0">
        <v>30</v>
      </c>
      <c r="E3853" s="10">
        <f>HYPERLINK("http://www.lingerieopt.ru/images/original/ad050bbc-90fb-483a-a410-d6b0d5c40b9b.jpg","Фото")</f>
      </c>
    </row>
    <row r="3854">
      <c r="A3854" s="7">
        <f>HYPERLINK("http://www.lingerieopt.ru/item/3606-vjsokie-rozovje-getrj-na-uzkoi-rezinke/","3606")</f>
      </c>
      <c r="B3854" s="8" t="s">
        <v>3708</v>
      </c>
      <c r="C3854" s="9">
        <v>470</v>
      </c>
      <c r="D3854" s="0">
        <v>30</v>
      </c>
      <c r="E3854" s="10">
        <f>HYPERLINK("http://www.lingerieopt.ru/images/original/78c6449c-1e7b-41f9-83e9-ea9e45460085.jpg","Фото")</f>
      </c>
    </row>
    <row r="3855">
      <c r="A3855" s="7">
        <f>HYPERLINK("http://www.lingerieopt.ru/item/3609-setchatje-rozovje-getrj-so-shnurovkoi/","3609")</f>
      </c>
      <c r="B3855" s="8" t="s">
        <v>3709</v>
      </c>
      <c r="C3855" s="9">
        <v>436</v>
      </c>
      <c r="D3855" s="0">
        <v>30</v>
      </c>
      <c r="E3855" s="10">
        <f>HYPERLINK("http://www.lingerieopt.ru/images/original/fb30ad03-9fd2-47a2-9b39-9fde9ea3254f.jpg","Фото")</f>
      </c>
    </row>
    <row r="3856">
      <c r="A3856" s="7">
        <f>HYPERLINK("http://www.lingerieopt.ru/item/3621-chernje-golfj-hustler/","3621")</f>
      </c>
      <c r="B3856" s="8" t="s">
        <v>3710</v>
      </c>
      <c r="C3856" s="9">
        <v>502</v>
      </c>
      <c r="D3856" s="0">
        <v>6</v>
      </c>
      <c r="E3856" s="10">
        <f>HYPERLINK("http://www.lingerieopt.ru/images/original/a31f577c-2969-4a92-ad2d-1aab9708192a.jpg","Фото")</f>
      </c>
    </row>
    <row r="3857">
      <c r="A3857" s="7">
        <f>HYPERLINK("http://www.lingerieopt.ru/item/3693-legginsj-v-setku-s-bantikami-na-schikolotkah/","3693")</f>
      </c>
      <c r="B3857" s="8" t="s">
        <v>3711</v>
      </c>
      <c r="C3857" s="9">
        <v>611</v>
      </c>
      <c r="D3857" s="0">
        <v>30</v>
      </c>
      <c r="E3857" s="10">
        <f>HYPERLINK("http://www.lingerieopt.ru/images/original/1656411b-e0ec-483c-ab93-6a00eba9695c.jpg","Фото")</f>
      </c>
    </row>
    <row r="3858">
      <c r="A3858" s="7">
        <f>HYPERLINK("http://www.lingerieopt.ru/item/3966-legginsj-v-krupnuyu-setku-s-plotnjmi-shortikami/","3966")</f>
      </c>
      <c r="B3858" s="8" t="s">
        <v>3712</v>
      </c>
      <c r="C3858" s="9">
        <v>892</v>
      </c>
      <c r="D3858" s="0">
        <v>30</v>
      </c>
      <c r="E3858" s="10">
        <f>HYPERLINK("http://www.lingerieopt.ru/images/original/c83efbd3-a873-48b2-811b-b47768ac5476.jpg","Фото")</f>
      </c>
    </row>
    <row r="3859">
      <c r="A3859" s="7">
        <f>HYPERLINK("http://www.lingerieopt.ru/item/3967-legginsj-v-melkuyu-setku/","3967")</f>
      </c>
      <c r="B3859" s="8" t="s">
        <v>3713</v>
      </c>
      <c r="C3859" s="9">
        <v>940</v>
      </c>
      <c r="D3859" s="0">
        <v>30</v>
      </c>
      <c r="E3859" s="10">
        <f>HYPERLINK("http://www.lingerieopt.ru/images/original/59d072a6-a763-4582-a5e5-d39874a477e8.jpg","Фото")</f>
      </c>
    </row>
    <row r="3860">
      <c r="A3860" s="7">
        <f>HYPERLINK("http://www.lingerieopt.ru/item/3982-paridzhinj-v-cherno-beluyu-polosku/","3982")</f>
      </c>
      <c r="B3860" s="8" t="s">
        <v>3714</v>
      </c>
      <c r="C3860" s="9">
        <v>485</v>
      </c>
      <c r="D3860" s="0">
        <v>6</v>
      </c>
      <c r="E3860" s="10">
        <f>HYPERLINK("http://www.lingerieopt.ru/images/original/900db70f-4292-4f2a-8cf5-7bf979bedfe2.jpg","Фото")</f>
      </c>
    </row>
    <row r="3861">
      <c r="A3861" s="7">
        <f>HYPERLINK("http://www.lingerieopt.ru/item/4008-paridzhinj-s-risunkom-v-vide-vishenok/","4008")</f>
      </c>
      <c r="B3861" s="8" t="s">
        <v>3715</v>
      </c>
      <c r="C3861" s="9">
        <v>616</v>
      </c>
      <c r="D3861" s="0">
        <v>30</v>
      </c>
      <c r="E3861" s="10">
        <f>HYPERLINK("http://www.lingerieopt.ru/images/original/7b1f8f3d-3fcd-4012-8ec6-0b1dd97d3c67.jpg","Фото")</f>
      </c>
    </row>
    <row r="3862">
      <c r="A3862" s="7">
        <f>HYPERLINK("http://www.lingerieopt.ru/item/4082-kruzhevnje-legginsj/","4082")</f>
      </c>
      <c r="B3862" s="8" t="s">
        <v>3716</v>
      </c>
      <c r="C3862" s="9">
        <v>1487</v>
      </c>
      <c r="D3862" s="0">
        <v>6</v>
      </c>
      <c r="E3862" s="10">
        <f>HYPERLINK("http://www.lingerieopt.ru/images/original/4d6a1e58-3cd1-45fe-9b1f-97a205da9a2b.jpg","Фото")</f>
      </c>
    </row>
    <row r="3863">
      <c r="A3863" s="7">
        <f>HYPERLINK("http://www.lingerieopt.ru/item/4082-kruzhevnje-legginsj/","4082")</f>
      </c>
      <c r="B3863" s="8" t="s">
        <v>3717</v>
      </c>
      <c r="C3863" s="9">
        <v>1487</v>
      </c>
      <c r="D3863" s="0">
        <v>0</v>
      </c>
      <c r="E3863" s="10">
        <f>HYPERLINK("http://www.lingerieopt.ru/images/original/4d6a1e58-3cd1-45fe-9b1f-97a205da9a2b.jpg","Фото")</f>
      </c>
    </row>
    <row r="3864">
      <c r="A3864" s="7">
        <f>HYPERLINK("http://www.lingerieopt.ru/item/4156-kruzhevnje-legginsj/","4156")</f>
      </c>
      <c r="B3864" s="8" t="s">
        <v>3718</v>
      </c>
      <c r="C3864" s="9">
        <v>1653</v>
      </c>
      <c r="D3864" s="0">
        <v>30</v>
      </c>
      <c r="E3864" s="10">
        <f>HYPERLINK("http://www.lingerieopt.ru/images/original/a13e6eae-8f39-47de-a2c2-37f769066b2e.jpg","Фото")</f>
      </c>
    </row>
    <row r="3865">
      <c r="A3865" s="7">
        <f>HYPERLINK("http://www.lingerieopt.ru/item/4156-kruzhevnje-legginsj/","4156")</f>
      </c>
      <c r="B3865" s="8" t="s">
        <v>3719</v>
      </c>
      <c r="C3865" s="9">
        <v>1653</v>
      </c>
      <c r="D3865" s="0">
        <v>1</v>
      </c>
      <c r="E3865" s="10">
        <f>HYPERLINK("http://www.lingerieopt.ru/images/original/a13e6eae-8f39-47de-a2c2-37f769066b2e.jpg","Фото")</f>
      </c>
    </row>
    <row r="3866">
      <c r="A3866" s="7">
        <f>HYPERLINK("http://www.lingerieopt.ru/item/4859-getrj-so-shnurovkoi/","4859")</f>
      </c>
      <c r="B3866" s="8" t="s">
        <v>3720</v>
      </c>
      <c r="C3866" s="9">
        <v>436</v>
      </c>
      <c r="D3866" s="0">
        <v>30</v>
      </c>
      <c r="E3866" s="10">
        <f>HYPERLINK("http://www.lingerieopt.ru/images/original/8090c5d4-f282-4ae5-bef0-ed21dc90aef5.jpg","Фото")</f>
      </c>
    </row>
    <row r="3867">
      <c r="A3867" s="7">
        <f>HYPERLINK("http://www.lingerieopt.ru/item/6824-golfj-shkolnicj-s-krasnjmi-bantami/","6824")</f>
      </c>
      <c r="B3867" s="8" t="s">
        <v>3721</v>
      </c>
      <c r="C3867" s="9">
        <v>339</v>
      </c>
      <c r="D3867" s="0">
        <v>14</v>
      </c>
      <c r="E3867" s="10">
        <f>HYPERLINK("http://www.lingerieopt.ru/images/original/118da977-bf9f-4fa3-b51b-72bcf19b37ce.jpg","Фото")</f>
      </c>
    </row>
    <row r="3868">
      <c r="A3868" s="7">
        <f>HYPERLINK("http://www.lingerieopt.ru/item/8392-noski-s-kotikami-black-cat-opaque-anklet/","8392")</f>
      </c>
      <c r="B3868" s="8" t="s">
        <v>3722</v>
      </c>
      <c r="C3868" s="9">
        <v>284</v>
      </c>
      <c r="D3868" s="0">
        <v>9</v>
      </c>
      <c r="E3868" s="10">
        <f>HYPERLINK("http://www.lingerieopt.ru/images/original/79c9bf6d-219d-461f-904d-08f8eda23723.jpg","Фото")</f>
      </c>
    </row>
    <row r="3869">
      <c r="A3869" s="7">
        <f>HYPERLINK("http://www.lingerieopt.ru/item/8393-nosochki-s-kruzhevnjm-verhom-crochet-net-lace-top-anklets/","8393")</f>
      </c>
      <c r="B3869" s="8" t="s">
        <v>3723</v>
      </c>
      <c r="C3869" s="9">
        <v>572</v>
      </c>
      <c r="D3869" s="0">
        <v>0</v>
      </c>
      <c r="E3869" s="10">
        <f>HYPERLINK("http://www.lingerieopt.ru/images/original/31ca4655-b55e-4d19-85ae-c45324ee64f3.jpg","Фото")</f>
      </c>
    </row>
    <row r="3870">
      <c r="A3870" s="7">
        <f>HYPERLINK("http://www.lingerieopt.ru/item/8393-nosochki-s-kruzhevnjm-verhom-crochet-net-lace-top-anklets/","8393")</f>
      </c>
      <c r="B3870" s="8" t="s">
        <v>3724</v>
      </c>
      <c r="C3870" s="9">
        <v>572</v>
      </c>
      <c r="D3870" s="0">
        <v>3</v>
      </c>
      <c r="E3870" s="10">
        <f>HYPERLINK("http://www.lingerieopt.ru/images/original/31ca4655-b55e-4d19-85ae-c45324ee64f3.jpg","Фото")</f>
      </c>
    </row>
    <row r="3871">
      <c r="A3871" s="7">
        <f>HYPERLINK("http://www.lingerieopt.ru/item/9999-golfj-medica-20-den-s-effektom-massazha/","9999")</f>
      </c>
      <c r="B3871" s="8" t="s">
        <v>3725</v>
      </c>
      <c r="C3871" s="9">
        <v>152</v>
      </c>
      <c r="D3871" s="0">
        <v>52</v>
      </c>
      <c r="E3871" s="10">
        <f>HYPERLINK("http://www.lingerieopt.ru/images/original/cf215f95-1a30-466e-a910-13a8768d66dd.jpg","Фото")</f>
      </c>
    </row>
    <row r="3872">
      <c r="A3872" s="7">
        <f>HYPERLINK("http://www.lingerieopt.ru/item/9999-golfj-medica-20-den-s-effektom-massazha/","9999")</f>
      </c>
      <c r="B3872" s="8" t="s">
        <v>3726</v>
      </c>
      <c r="C3872" s="9">
        <v>152</v>
      </c>
      <c r="D3872" s="0">
        <v>23</v>
      </c>
      <c r="E3872" s="10">
        <f>HYPERLINK("http://www.lingerieopt.ru/images/original/cf215f95-1a30-466e-a910-13a8768d66dd.jpg","Фото")</f>
      </c>
    </row>
    <row r="3873">
      <c r="A3873" s="7">
        <f>HYPERLINK("http://www.lingerieopt.ru/item/10000-golfj-medica-40-den-s-effektom-massazha-stopj/","10000")</f>
      </c>
      <c r="B3873" s="8" t="s">
        <v>3727</v>
      </c>
      <c r="C3873" s="9">
        <v>168</v>
      </c>
      <c r="D3873" s="0">
        <v>0</v>
      </c>
      <c r="E3873" s="10">
        <f>HYPERLINK("http://www.lingerieopt.ru/images/original/f8793bb0-eb35-4bb9-93b0-cf30aea66832.jpg","Фото")</f>
      </c>
    </row>
    <row r="3874">
      <c r="A3874" s="7">
        <f>HYPERLINK("http://www.lingerieopt.ru/item/10000-golfj-medica-40-den-s-effektom-massazha-stopj/","10000")</f>
      </c>
      <c r="B3874" s="8" t="s">
        <v>3728</v>
      </c>
      <c r="C3874" s="9">
        <v>168</v>
      </c>
      <c r="D3874" s="0">
        <v>35</v>
      </c>
      <c r="E3874" s="10">
        <f>HYPERLINK("http://www.lingerieopt.ru/images/original/f8793bb0-eb35-4bb9-93b0-cf30aea66832.jpg","Фото")</f>
      </c>
    </row>
    <row r="3875">
      <c r="A3875" s="7">
        <f>HYPERLINK("http://www.lingerieopt.ru/item/10098-chernje-legginsj-iz-mikrofibrj-microfibre-leggings-plus-size-100-den/","10098")</f>
      </c>
      <c r="B3875" s="8" t="s">
        <v>3729</v>
      </c>
      <c r="C3875" s="9">
        <v>368</v>
      </c>
      <c r="D3875" s="0">
        <v>16</v>
      </c>
      <c r="E3875" s="10">
        <f>HYPERLINK("http://www.lingerieopt.ru/images/original/90dd906a-a425-4722-9004-a822710aa479.jpg","Фото")</f>
      </c>
    </row>
    <row r="3876">
      <c r="A3876" s="7">
        <f>HYPERLINK("http://www.lingerieopt.ru/item/11010-effektnje-legginsj-s-bokovjmi-prorezyami-luxx-legs-seamless-leggings/","11010")</f>
      </c>
      <c r="B3876" s="8" t="s">
        <v>3730</v>
      </c>
      <c r="C3876" s="9">
        <v>1739</v>
      </c>
      <c r="D3876" s="0">
        <v>4</v>
      </c>
      <c r="E3876" s="10">
        <f>HYPERLINK("http://www.lingerieopt.ru/images/original/d377378e-0283-476a-89cb-276c9a666c03.jpg","Фото")</f>
      </c>
    </row>
    <row r="3877">
      <c r="A3877" s="7">
        <f>HYPERLINK("http://www.lingerieopt.ru/item/11048-uteplennje-legginsj-leggins-arctic/","11048")</f>
      </c>
      <c r="B3877" s="8" t="s">
        <v>3731</v>
      </c>
      <c r="C3877" s="9">
        <v>381</v>
      </c>
      <c r="D3877" s="0">
        <v>22</v>
      </c>
      <c r="E3877" s="10">
        <f>HYPERLINK("http://www.lingerieopt.ru/images/original/7e1afa37-7107-4475-8d8a-389c0be624c1.jpg","Фото")</f>
      </c>
    </row>
    <row r="3878">
      <c r="A3878" s="7">
        <f>HYPERLINK("http://www.lingerieopt.ru/item/11048-uteplennje-legginsj-leggins-arctic/","11048")</f>
      </c>
      <c r="B3878" s="8" t="s">
        <v>3732</v>
      </c>
      <c r="C3878" s="9">
        <v>381</v>
      </c>
      <c r="D3878" s="0">
        <v>19</v>
      </c>
      <c r="E3878" s="10">
        <f>HYPERLINK("http://www.lingerieopt.ru/images/original/7e1afa37-7107-4475-8d8a-389c0be624c1.jpg","Фото")</f>
      </c>
    </row>
    <row r="3879">
      <c r="A3879" s="5"/>
      <c r="B3879" s="6" t="s">
        <v>3733</v>
      </c>
      <c r="C3879" s="5"/>
      <c r="D3879" s="5"/>
      <c r="E3879" s="5"/>
    </row>
    <row r="3880">
      <c r="A3880" s="7">
        <f>HYPERLINK("http://www.lingerieopt.ru/item/432-dlinnje-atlasnje-perchatki/","432")</f>
      </c>
      <c r="B3880" s="8" t="s">
        <v>3734</v>
      </c>
      <c r="C3880" s="9">
        <v>1014</v>
      </c>
      <c r="D3880" s="0">
        <v>16</v>
      </c>
      <c r="E3880" s="10">
        <f>HYPERLINK("http://www.lingerieopt.ru/images/original/f5f70836-f209-4d99-a22e-ccefbe1de732.jpg","Фото")</f>
      </c>
    </row>
    <row r="3881">
      <c r="A3881" s="7">
        <f>HYPERLINK("http://www.lingerieopt.ru/item/432-dlinnje-atlasnje-perchatki/","432")</f>
      </c>
      <c r="B3881" s="8" t="s">
        <v>3735</v>
      </c>
      <c r="C3881" s="9">
        <v>1014</v>
      </c>
      <c r="D3881" s="0">
        <v>4</v>
      </c>
      <c r="E3881" s="10">
        <f>HYPERLINK("http://www.lingerieopt.ru/images/original/f5f70836-f209-4d99-a22e-ccefbe1de732.jpg","Фото")</f>
      </c>
    </row>
    <row r="3882">
      <c r="A3882" s="7">
        <f>HYPERLINK("http://www.lingerieopt.ru/item/432-dlinnje-atlasnje-perchatki/","432")</f>
      </c>
      <c r="B3882" s="8" t="s">
        <v>3736</v>
      </c>
      <c r="C3882" s="9">
        <v>1014</v>
      </c>
      <c r="D3882" s="0">
        <v>2</v>
      </c>
      <c r="E3882" s="10">
        <f>HYPERLINK("http://www.lingerieopt.ru/images/original/f5f70836-f209-4d99-a22e-ccefbe1de732.jpg","Фото")</f>
      </c>
    </row>
    <row r="3883">
      <c r="A3883" s="7">
        <f>HYPERLINK("http://www.lingerieopt.ru/item/434-korotkie-kruzhevnje-perchatki-na-palchik/","434")</f>
      </c>
      <c r="B3883" s="8" t="s">
        <v>3737</v>
      </c>
      <c r="C3883" s="9">
        <v>594</v>
      </c>
      <c r="D3883" s="0">
        <v>2</v>
      </c>
      <c r="E3883" s="10">
        <f>HYPERLINK("http://www.lingerieopt.ru/images/original/e937e067-769e-4a7d-ad9c-c7430f1d709a.jpg","Фото")</f>
      </c>
    </row>
    <row r="3884">
      <c r="A3884" s="7">
        <f>HYPERLINK("http://www.lingerieopt.ru/item/434-korotkie-kruzhevnje-perchatki-na-palchik/","434")</f>
      </c>
      <c r="B3884" s="8" t="s">
        <v>3738</v>
      </c>
      <c r="C3884" s="9">
        <v>594</v>
      </c>
      <c r="D3884" s="0">
        <v>0</v>
      </c>
      <c r="E3884" s="10">
        <f>HYPERLINK("http://www.lingerieopt.ru/images/original/e937e067-769e-4a7d-ad9c-c7430f1d709a.jpg","Фото")</f>
      </c>
    </row>
    <row r="3885">
      <c r="A3885" s="7">
        <f>HYPERLINK("http://www.lingerieopt.ru/item/435-dlinnje-kruzhevnje-perchatki-na-palchik/","435")</f>
      </c>
      <c r="B3885" s="8" t="s">
        <v>3739</v>
      </c>
      <c r="C3885" s="9">
        <v>635</v>
      </c>
      <c r="D3885" s="0">
        <v>4</v>
      </c>
      <c r="E3885" s="10">
        <f>HYPERLINK("http://www.lingerieopt.ru/images/original/2eb37134-a6d3-4a1e-9a93-12c9cc0f4eb1.jpg","Фото")</f>
      </c>
    </row>
    <row r="3886">
      <c r="A3886" s="7">
        <f>HYPERLINK("http://www.lingerieopt.ru/item/435-dlinnje-kruzhevnje-perchatki-na-palchik/","435")</f>
      </c>
      <c r="B3886" s="8" t="s">
        <v>3740</v>
      </c>
      <c r="C3886" s="9">
        <v>635</v>
      </c>
      <c r="D3886" s="0">
        <v>0</v>
      </c>
      <c r="E3886" s="10">
        <f>HYPERLINK("http://www.lingerieopt.ru/images/original/2eb37134-a6d3-4a1e-9a93-12c9cc0f4eb1.jpg","Фото")</f>
      </c>
    </row>
    <row r="3887">
      <c r="A3887" s="7">
        <f>HYPERLINK("http://www.lingerieopt.ru/item/1118-kruzhevnoi-nabor/","1118")</f>
      </c>
      <c r="B3887" s="8" t="s">
        <v>1467</v>
      </c>
      <c r="C3887" s="9">
        <v>1084</v>
      </c>
      <c r="D3887" s="0">
        <v>3</v>
      </c>
      <c r="E3887" s="10">
        <f>HYPERLINK("http://www.lingerieopt.ru/images/original/ca4a951d-16ff-4067-8691-8292a7ab8c50.jpg","Фото")</f>
      </c>
    </row>
    <row r="3888">
      <c r="A3888" s="7">
        <f>HYPERLINK("http://www.lingerieopt.ru/item/1118-kruzhevnoi-nabor/","1118")</f>
      </c>
      <c r="B3888" s="8" t="s">
        <v>1468</v>
      </c>
      <c r="C3888" s="9">
        <v>1084</v>
      </c>
      <c r="D3888" s="0">
        <v>0</v>
      </c>
      <c r="E3888" s="10">
        <f>HYPERLINK("http://www.lingerieopt.ru/images/original/ca4a951d-16ff-4067-8691-8292a7ab8c50.jpg","Фото")</f>
      </c>
    </row>
    <row r="3889">
      <c r="A3889" s="7">
        <f>HYPERLINK("http://www.lingerieopt.ru/item/1195-perchatki-s-petelkoi-na-palchik/","1195")</f>
      </c>
      <c r="B3889" s="8" t="s">
        <v>3741</v>
      </c>
      <c r="C3889" s="9">
        <v>678</v>
      </c>
      <c r="D3889" s="0">
        <v>5</v>
      </c>
      <c r="E3889" s="10">
        <f>HYPERLINK("http://www.lingerieopt.ru/images/original/b499eb4f-313f-447f-90bf-ffadb17fff98.jpg","Фото")</f>
      </c>
    </row>
    <row r="3890">
      <c r="A3890" s="7">
        <f>HYPERLINK("http://www.lingerieopt.ru/item/1195-perchatki-s-petelkoi-na-palchik/","1195")</f>
      </c>
      <c r="B3890" s="8" t="s">
        <v>3742</v>
      </c>
      <c r="C3890" s="9">
        <v>678</v>
      </c>
      <c r="D3890" s="0">
        <v>3</v>
      </c>
      <c r="E3890" s="10">
        <f>HYPERLINK("http://www.lingerieopt.ru/images/original/b499eb4f-313f-447f-90bf-ffadb17fff98.jpg","Фото")</f>
      </c>
    </row>
    <row r="3891">
      <c r="A3891" s="7">
        <f>HYPERLINK("http://www.lingerieopt.ru/item/1195-perchatki-s-petelkoi-na-palchik/","1195")</f>
      </c>
      <c r="B3891" s="8" t="s">
        <v>3743</v>
      </c>
      <c r="C3891" s="9">
        <v>678</v>
      </c>
      <c r="D3891" s="0">
        <v>2</v>
      </c>
      <c r="E3891" s="10">
        <f>HYPERLINK("http://www.lingerieopt.ru/images/original/b499eb4f-313f-447f-90bf-ffadb17fff98.jpg","Фото")</f>
      </c>
    </row>
    <row r="3892">
      <c r="A3892" s="7">
        <f>HYPERLINK("http://www.lingerieopt.ru/item/2455-kruzhevnoi-nabor/","2455")</f>
      </c>
      <c r="B3892" s="8" t="s">
        <v>1500</v>
      </c>
      <c r="C3892" s="9">
        <v>1130</v>
      </c>
      <c r="D3892" s="0">
        <v>4</v>
      </c>
      <c r="E3892" s="10">
        <f>HYPERLINK("http://www.lingerieopt.ru/images/original/2c4e7e23-76f6-4158-8fc7-5ef80b11c550.jpg","Фото")</f>
      </c>
    </row>
    <row r="3893">
      <c r="A3893" s="7">
        <f>HYPERLINK("http://www.lingerieopt.ru/item/2455-kruzhevnoi-nabor/","2455")</f>
      </c>
      <c r="B3893" s="8" t="s">
        <v>1501</v>
      </c>
      <c r="C3893" s="9">
        <v>1130</v>
      </c>
      <c r="D3893" s="0">
        <v>0</v>
      </c>
      <c r="E3893" s="10">
        <f>HYPERLINK("http://www.lingerieopt.ru/images/original/2c4e7e23-76f6-4158-8fc7-5ef80b11c550.jpg","Фото")</f>
      </c>
    </row>
    <row r="3894">
      <c r="A3894" s="7">
        <f>HYPERLINK("http://www.lingerieopt.ru/item/2455-kruzhevnoi-nabor/","2455")</f>
      </c>
      <c r="B3894" s="8" t="s">
        <v>1499</v>
      </c>
      <c r="C3894" s="9">
        <v>1130</v>
      </c>
      <c r="D3894" s="0">
        <v>0</v>
      </c>
      <c r="E3894" s="10">
        <f>HYPERLINK("http://www.lingerieopt.ru/images/original/2c4e7e23-76f6-4158-8fc7-5ef80b11c550.jpg","Фото")</f>
      </c>
    </row>
    <row r="3895">
      <c r="A3895" s="7">
        <f>HYPERLINK("http://www.lingerieopt.ru/item/3445-dlinnje-perchatki-narukavniki-iz-setki/","3445")</f>
      </c>
      <c r="B3895" s="8" t="s">
        <v>3744</v>
      </c>
      <c r="C3895" s="9">
        <v>292</v>
      </c>
      <c r="D3895" s="0">
        <v>30</v>
      </c>
      <c r="E3895" s="10">
        <f>HYPERLINK("http://www.lingerieopt.ru/images/original/721e3bbf-d284-4a4a-bd3e-e4f892645199.jpg","Фото")</f>
      </c>
    </row>
    <row r="3896">
      <c r="A3896" s="7">
        <f>HYPERLINK("http://www.lingerieopt.ru/item/3445-dlinnje-perchatki-narukavniki-iz-setki/","3445")</f>
      </c>
      <c r="B3896" s="8" t="s">
        <v>3745</v>
      </c>
      <c r="C3896" s="9">
        <v>292</v>
      </c>
      <c r="D3896" s="0">
        <v>0</v>
      </c>
      <c r="E3896" s="10">
        <f>HYPERLINK("http://www.lingerieopt.ru/images/original/721e3bbf-d284-4a4a-bd3e-e4f892645199.jpg","Фото")</f>
      </c>
    </row>
    <row r="3897">
      <c r="A3897" s="7">
        <f>HYPERLINK("http://www.lingerieopt.ru/item/3735-perchatki-medsestrj/","3735")</f>
      </c>
      <c r="B3897" s="8" t="s">
        <v>3746</v>
      </c>
      <c r="C3897" s="9">
        <v>179</v>
      </c>
      <c r="D3897" s="0">
        <v>21</v>
      </c>
      <c r="E3897" s="10">
        <f>HYPERLINK("http://www.lingerieopt.ru/images/original/4e84ae52-3c98-484a-95b8-8583f4901502.jpg","Фото")</f>
      </c>
    </row>
    <row r="3898">
      <c r="A3898" s="7">
        <f>HYPERLINK("http://www.lingerieopt.ru/item/4034-dlinnje-azhurnje-perchatki/","4034")</f>
      </c>
      <c r="B3898" s="8" t="s">
        <v>3747</v>
      </c>
      <c r="C3898" s="9">
        <v>359</v>
      </c>
      <c r="D3898" s="0">
        <v>0</v>
      </c>
      <c r="E3898" s="10">
        <f>HYPERLINK("http://www.lingerieopt.ru/images/original/9cd1dc7f-73d7-4aff-bd1e-13bc08661eed.jpg","Фото")</f>
      </c>
    </row>
    <row r="3899">
      <c r="A3899" s="7">
        <f>HYPERLINK("http://www.lingerieopt.ru/item/4034-dlinnje-azhurnje-perchatki/","4034")</f>
      </c>
      <c r="B3899" s="8" t="s">
        <v>3748</v>
      </c>
      <c r="C3899" s="9">
        <v>359</v>
      </c>
      <c r="D3899" s="0">
        <v>30</v>
      </c>
      <c r="E3899" s="10">
        <f>HYPERLINK("http://www.lingerieopt.ru/images/original/9cd1dc7f-73d7-4aff-bd1e-13bc08661eed.jpg","Фото")</f>
      </c>
    </row>
    <row r="3900">
      <c r="A3900" s="7">
        <f>HYPERLINK("http://www.lingerieopt.ru/item/4034-dlinnje-azhurnje-perchatki/","4034")</f>
      </c>
      <c r="B3900" s="8" t="s">
        <v>3749</v>
      </c>
      <c r="C3900" s="9">
        <v>359</v>
      </c>
      <c r="D3900" s="0">
        <v>0</v>
      </c>
      <c r="E3900" s="10">
        <f>HYPERLINK("http://www.lingerieopt.ru/images/original/9cd1dc7f-73d7-4aff-bd1e-13bc08661eed.jpg","Фото")</f>
      </c>
    </row>
    <row r="3901">
      <c r="A3901" s="7">
        <f>HYPERLINK("http://www.lingerieopt.ru/item/4034-dlinnje-azhurnje-perchatki/","4034")</f>
      </c>
      <c r="B3901" s="8" t="s">
        <v>3750</v>
      </c>
      <c r="C3901" s="9">
        <v>359</v>
      </c>
      <c r="D3901" s="0">
        <v>1</v>
      </c>
      <c r="E3901" s="10">
        <f>HYPERLINK("http://www.lingerieopt.ru/images/original/9cd1dc7f-73d7-4aff-bd1e-13bc08661eed.jpg","Фото")</f>
      </c>
    </row>
    <row r="3902">
      <c r="A3902" s="7">
        <f>HYPERLINK("http://www.lingerieopt.ru/item/4034-dlinnje-azhurnje-perchatki/","4034")</f>
      </c>
      <c r="B3902" s="8" t="s">
        <v>3751</v>
      </c>
      <c r="C3902" s="9">
        <v>359</v>
      </c>
      <c r="D3902" s="0">
        <v>6</v>
      </c>
      <c r="E3902" s="10">
        <f>HYPERLINK("http://www.lingerieopt.ru/images/original/9cd1dc7f-73d7-4aff-bd1e-13bc08661eed.jpg","Фото")</f>
      </c>
    </row>
    <row r="3903">
      <c r="A3903" s="7">
        <f>HYPERLINK("http://www.lingerieopt.ru/item/4459-dlinnje-perchatki-v-setku/","4459")</f>
      </c>
      <c r="B3903" s="8" t="s">
        <v>3752</v>
      </c>
      <c r="C3903" s="9">
        <v>296</v>
      </c>
      <c r="D3903" s="0">
        <v>30</v>
      </c>
      <c r="E3903" s="10">
        <f>HYPERLINK("http://www.lingerieopt.ru/images/original/354abe16-a789-4c06-a4f9-54057f4ef268.jpg","Фото")</f>
      </c>
    </row>
    <row r="3904">
      <c r="A3904" s="7">
        <f>HYPERLINK("http://www.lingerieopt.ru/item/4459-dlinnje-perchatki-v-setku/","4459")</f>
      </c>
      <c r="B3904" s="8" t="s">
        <v>3753</v>
      </c>
      <c r="C3904" s="9">
        <v>296</v>
      </c>
      <c r="D3904" s="0">
        <v>30</v>
      </c>
      <c r="E3904" s="10">
        <f>HYPERLINK("http://www.lingerieopt.ru/images/original/354abe16-a789-4c06-a4f9-54057f4ef268.jpg","Фото")</f>
      </c>
    </row>
    <row r="3905">
      <c r="A3905" s="7">
        <f>HYPERLINK("http://www.lingerieopt.ru/item/4459-dlinnje-perchatki-v-setku/","4459")</f>
      </c>
      <c r="B3905" s="8" t="s">
        <v>3754</v>
      </c>
      <c r="C3905" s="9">
        <v>296</v>
      </c>
      <c r="D3905" s="0">
        <v>7</v>
      </c>
      <c r="E3905" s="10">
        <f>HYPERLINK("http://www.lingerieopt.ru/images/original/354abe16-a789-4c06-a4f9-54057f4ef268.jpg","Фото")</f>
      </c>
    </row>
    <row r="3906">
      <c r="A3906" s="7">
        <f>HYPERLINK("http://www.lingerieopt.ru/item/4459-dlinnje-perchatki-v-setku/","4459")</f>
      </c>
      <c r="B3906" s="8" t="s">
        <v>3755</v>
      </c>
      <c r="C3906" s="9">
        <v>296</v>
      </c>
      <c r="D3906" s="0">
        <v>0</v>
      </c>
      <c r="E3906" s="10">
        <f>HYPERLINK("http://www.lingerieopt.ru/images/original/354abe16-a789-4c06-a4f9-54057f4ef268.jpg","Фото")</f>
      </c>
    </row>
    <row r="3907">
      <c r="A3907" s="7">
        <f>HYPERLINK("http://www.lingerieopt.ru/item/4459-dlinnje-perchatki-v-setku/","4459")</f>
      </c>
      <c r="B3907" s="8" t="s">
        <v>3756</v>
      </c>
      <c r="C3907" s="9">
        <v>296</v>
      </c>
      <c r="D3907" s="0">
        <v>31</v>
      </c>
      <c r="E3907" s="10">
        <f>HYPERLINK("http://www.lingerieopt.ru/images/original/354abe16-a789-4c06-a4f9-54057f4ef268.jpg","Фото")</f>
      </c>
    </row>
    <row r="3908">
      <c r="A3908" s="7">
        <f>HYPERLINK("http://www.lingerieopt.ru/item/4478-korotkie-perchatki-mitenki-v-melkuyu-setku/","4478")</f>
      </c>
      <c r="B3908" s="8" t="s">
        <v>3757</v>
      </c>
      <c r="C3908" s="9">
        <v>377</v>
      </c>
      <c r="D3908" s="0">
        <v>30</v>
      </c>
      <c r="E3908" s="10">
        <f>HYPERLINK("http://www.lingerieopt.ru/images/original/c8fe09d5-acdb-4d71-a358-9fce4689b444.jpg","Фото")</f>
      </c>
    </row>
    <row r="3909">
      <c r="A3909" s="7">
        <f>HYPERLINK("http://www.lingerieopt.ru/item/4478-korotkie-perchatki-mitenki-v-melkuyu-setku/","4478")</f>
      </c>
      <c r="B3909" s="8" t="s">
        <v>3758</v>
      </c>
      <c r="C3909" s="9">
        <v>377</v>
      </c>
      <c r="D3909" s="0">
        <v>0</v>
      </c>
      <c r="E3909" s="10">
        <f>HYPERLINK("http://www.lingerieopt.ru/images/original/c8fe09d5-acdb-4d71-a358-9fce4689b444.jpg","Фото")</f>
      </c>
    </row>
    <row r="3910">
      <c r="A3910" s="7">
        <f>HYPERLINK("http://www.lingerieopt.ru/item/4478-korotkie-perchatki-mitenki-v-melkuyu-setku/","4478")</f>
      </c>
      <c r="B3910" s="8" t="s">
        <v>3759</v>
      </c>
      <c r="C3910" s="9">
        <v>377</v>
      </c>
      <c r="D3910" s="0">
        <v>0</v>
      </c>
      <c r="E3910" s="10">
        <f>HYPERLINK("http://www.lingerieopt.ru/images/original/c8fe09d5-acdb-4d71-a358-9fce4689b444.jpg","Фото")</f>
      </c>
    </row>
    <row r="3911">
      <c r="A3911" s="7">
        <f>HYPERLINK("http://www.lingerieopt.ru/item/4478-korotkie-perchatki-mitenki-v-melkuyu-setku/","4478")</f>
      </c>
      <c r="B3911" s="8" t="s">
        <v>3760</v>
      </c>
      <c r="C3911" s="9">
        <v>377</v>
      </c>
      <c r="D3911" s="0">
        <v>0</v>
      </c>
      <c r="E3911" s="10">
        <f>HYPERLINK("http://www.lingerieopt.ru/images/original/c8fe09d5-acdb-4d71-a358-9fce4689b444.jpg","Фото")</f>
      </c>
    </row>
    <row r="3912">
      <c r="A3912" s="7">
        <f>HYPERLINK("http://www.lingerieopt.ru/item/4478-korotkie-perchatki-mitenki-v-melkuyu-setku/","4478")</f>
      </c>
      <c r="B3912" s="8" t="s">
        <v>3761</v>
      </c>
      <c r="C3912" s="9">
        <v>377</v>
      </c>
      <c r="D3912" s="0">
        <v>6</v>
      </c>
      <c r="E3912" s="10">
        <f>HYPERLINK("http://www.lingerieopt.ru/images/original/c8fe09d5-acdb-4d71-a358-9fce4689b444.jpg","Фото")</f>
      </c>
    </row>
    <row r="3913">
      <c r="A3913" s="7">
        <f>HYPERLINK("http://www.lingerieopt.ru/item/5090-kruzhevnje-perchatki-s-otkrjtjmi-palchikami/","5090")</f>
      </c>
      <c r="B3913" s="8" t="s">
        <v>3762</v>
      </c>
      <c r="C3913" s="9">
        <v>431</v>
      </c>
      <c r="D3913" s="0">
        <v>0</v>
      </c>
      <c r="E3913" s="10">
        <f>HYPERLINK("http://www.lingerieopt.ru/images/original/64f63acc-ae6f-461e-93d2-34f9eed43c33.jpg","Фото")</f>
      </c>
    </row>
    <row r="3914">
      <c r="A3914" s="7">
        <f>HYPERLINK("http://www.lingerieopt.ru/item/5090-kruzhevnje-perchatki-s-otkrjtjmi-palchikami/","5090")</f>
      </c>
      <c r="B3914" s="8" t="s">
        <v>3763</v>
      </c>
      <c r="C3914" s="9">
        <v>431</v>
      </c>
      <c r="D3914" s="0">
        <v>1</v>
      </c>
      <c r="E3914" s="10">
        <f>HYPERLINK("http://www.lingerieopt.ru/images/original/64f63acc-ae6f-461e-93d2-34f9eed43c33.jpg","Фото")</f>
      </c>
    </row>
    <row r="3915">
      <c r="A3915" s="7">
        <f>HYPERLINK("http://www.lingerieopt.ru/item/5371-azhurnje-perchatki-mitenki-s-oborkami-i-trusiki-stringi/","5371")</f>
      </c>
      <c r="B3915" s="8" t="s">
        <v>1658</v>
      </c>
      <c r="C3915" s="9">
        <v>1030</v>
      </c>
      <c r="D3915" s="0">
        <v>0</v>
      </c>
      <c r="E3915" s="10">
        <f>HYPERLINK("http://www.lingerieopt.ru/images/original/8aa8b28e-de22-4db6-802f-726449d79bb8.jpg","Фото")</f>
      </c>
    </row>
    <row r="3916">
      <c r="A3916" s="7">
        <f>HYPERLINK("http://www.lingerieopt.ru/item/5371-azhurnje-perchatki-mitenki-s-oborkami-i-trusiki-stringi/","5371")</f>
      </c>
      <c r="B3916" s="8" t="s">
        <v>1655</v>
      </c>
      <c r="C3916" s="9">
        <v>1030</v>
      </c>
      <c r="D3916" s="0">
        <v>2</v>
      </c>
      <c r="E3916" s="10">
        <f>HYPERLINK("http://www.lingerieopt.ru/images/original/8aa8b28e-de22-4db6-802f-726449d79bb8.jpg","Фото")</f>
      </c>
    </row>
    <row r="3917">
      <c r="A3917" s="7">
        <f>HYPERLINK("http://www.lingerieopt.ru/item/5371-azhurnje-perchatki-mitenki-s-oborkami-i-trusiki-stringi/","5371")</f>
      </c>
      <c r="B3917" s="8" t="s">
        <v>1656</v>
      </c>
      <c r="C3917" s="9">
        <v>1030</v>
      </c>
      <c r="D3917" s="0">
        <v>3</v>
      </c>
      <c r="E3917" s="10">
        <f>HYPERLINK("http://www.lingerieopt.ru/images/original/8aa8b28e-de22-4db6-802f-726449d79bb8.jpg","Фото")</f>
      </c>
    </row>
    <row r="3918">
      <c r="A3918" s="7">
        <f>HYPERLINK("http://www.lingerieopt.ru/item/5371-azhurnje-perchatki-mitenki-s-oborkami-i-trusiki-stringi/","5371")</f>
      </c>
      <c r="B3918" s="8" t="s">
        <v>1657</v>
      </c>
      <c r="C3918" s="9">
        <v>1030</v>
      </c>
      <c r="D3918" s="0">
        <v>0</v>
      </c>
      <c r="E3918" s="10">
        <f>HYPERLINK("http://www.lingerieopt.ru/images/original/8aa8b28e-de22-4db6-802f-726449d79bb8.jpg","Фото")</f>
      </c>
    </row>
    <row r="3919">
      <c r="A3919" s="7">
        <f>HYPERLINK("http://www.lingerieopt.ru/item/5977-azhurnje-chernje-naruchniki-manzhetj-villa-satine-na-shnurovke/","5977")</f>
      </c>
      <c r="B3919" s="8" t="s">
        <v>3764</v>
      </c>
      <c r="C3919" s="9">
        <v>2861</v>
      </c>
      <c r="D3919" s="0">
        <v>4</v>
      </c>
      <c r="E3919" s="10">
        <f>HYPERLINK("http://www.lingerieopt.ru/images/original/ff8e7b51-e181-4759-ad5c-86ed9cad3769.jpg","Фото")</f>
      </c>
    </row>
    <row r="3920">
      <c r="A3920" s="7">
        <f>HYPERLINK("http://www.lingerieopt.ru/item/6579-kozhanje-narukavniki-na-shnurovke/","6579")</f>
      </c>
      <c r="B3920" s="8" t="s">
        <v>3648</v>
      </c>
      <c r="C3920" s="9">
        <v>3431</v>
      </c>
      <c r="D3920" s="0">
        <v>1</v>
      </c>
      <c r="E3920" s="10">
        <f>HYPERLINK("http://www.lingerieopt.ru/images/original/99065dfe-e158-4306-bbb5-9f67edaed637.jpg","Фото")</f>
      </c>
    </row>
    <row r="3921">
      <c r="A3921" s="7">
        <f>HYPERLINK("http://www.lingerieopt.ru/item/6931-perchatki-s-effektom-mokroi-tkani/","6931")</f>
      </c>
      <c r="B3921" s="8" t="s">
        <v>3765</v>
      </c>
      <c r="C3921" s="9">
        <v>677</v>
      </c>
      <c r="D3921" s="0">
        <v>1</v>
      </c>
      <c r="E3921" s="10">
        <f>HYPERLINK("http://www.lingerieopt.ru/images/original/03869078-0568-411f-afbb-566e52967f07.jpg","Фото")</f>
      </c>
    </row>
    <row r="3922">
      <c r="A3922" s="7">
        <f>HYPERLINK("http://www.lingerieopt.ru/item/6932-korotkie-kruzhevnje-perchatki-s-otkrjtjmi-palchikami/","6932")</f>
      </c>
      <c r="B3922" s="8" t="s">
        <v>3766</v>
      </c>
      <c r="C3922" s="9">
        <v>335</v>
      </c>
      <c r="D3922" s="0">
        <v>20</v>
      </c>
      <c r="E3922" s="10">
        <f>HYPERLINK("http://www.lingerieopt.ru/images/original/d69f987c-cc89-43e7-b6d2-f4c9c9a61c04.jpg","Фото")</f>
      </c>
    </row>
    <row r="3923">
      <c r="A3923" s="7">
        <f>HYPERLINK("http://www.lingerieopt.ru/item/6933-atlasnje-perchatki-s-bantom/","6933")</f>
      </c>
      <c r="B3923" s="8" t="s">
        <v>3767</v>
      </c>
      <c r="C3923" s="9">
        <v>331</v>
      </c>
      <c r="D3923" s="0">
        <v>1</v>
      </c>
      <c r="E3923" s="10">
        <f>HYPERLINK("http://www.lingerieopt.ru/images/original/7d90d7c4-7f97-4721-9d4c-a2937cd08384.jpg","Фото")</f>
      </c>
    </row>
    <row r="3924">
      <c r="A3924" s="7">
        <f>HYPERLINK("http://www.lingerieopt.ru/item/6933-atlasnje-perchatki-s-bantom/","6933")</f>
      </c>
      <c r="B3924" s="8" t="s">
        <v>3768</v>
      </c>
      <c r="C3924" s="9">
        <v>331</v>
      </c>
      <c r="D3924" s="0">
        <v>10</v>
      </c>
      <c r="E3924" s="10">
        <f>HYPERLINK("http://www.lingerieopt.ru/images/original/7d90d7c4-7f97-4721-9d4c-a2937cd08384.jpg","Фото")</f>
      </c>
    </row>
    <row r="3925">
      <c r="A3925" s="7">
        <f>HYPERLINK("http://www.lingerieopt.ru/item/6934-kruzhevnje-dlinnje-perchatki-s-otkrjtjmi-palchikami/","6934")</f>
      </c>
      <c r="B3925" s="8" t="s">
        <v>3769</v>
      </c>
      <c r="C3925" s="9">
        <v>629</v>
      </c>
      <c r="D3925" s="0">
        <v>6</v>
      </c>
      <c r="E3925" s="10">
        <f>HYPERLINK("http://www.lingerieopt.ru/images/original/8a4745bd-8cfa-4c8e-b202-79976546153e.jpg","Фото")</f>
      </c>
    </row>
    <row r="3926">
      <c r="A3926" s="7">
        <f>HYPERLINK("http://www.lingerieopt.ru/item/7243-ultrakorotkie-atlasnje-perchatki/","7243")</f>
      </c>
      <c r="B3926" s="8" t="s">
        <v>3770</v>
      </c>
      <c r="C3926" s="9">
        <v>302</v>
      </c>
      <c r="D3926" s="0">
        <v>2</v>
      </c>
      <c r="E3926" s="10">
        <f>HYPERLINK("http://www.lingerieopt.ru/images/original/b91a11de-7377-4afa-8edf-3e381b4604ec.jpg","Фото")</f>
      </c>
    </row>
    <row r="3927">
      <c r="A3927" s="7">
        <f>HYPERLINK("http://www.lingerieopt.ru/item/7367-roskoshnje-kruzhevnje-manzhetj-estasi/","7367")</f>
      </c>
      <c r="B3927" s="8" t="s">
        <v>3771</v>
      </c>
      <c r="C3927" s="9">
        <v>1200</v>
      </c>
      <c r="D3927" s="0">
        <v>3</v>
      </c>
      <c r="E3927" s="10">
        <f>HYPERLINK("http://www.lingerieopt.ru/images/original/269ae45c-1663-4467-8f79-0c17c9cbcde0.jpg","Фото")</f>
      </c>
    </row>
    <row r="3928">
      <c r="A3928" s="7">
        <f>HYPERLINK("http://www.lingerieopt.ru/item/7717-perchatki-luiza-s-azhurnjmi-vstavkami/","7717")</f>
      </c>
      <c r="B3928" s="8" t="s">
        <v>3772</v>
      </c>
      <c r="C3928" s="9">
        <v>572</v>
      </c>
      <c r="D3928" s="0">
        <v>2</v>
      </c>
      <c r="E3928" s="10">
        <f>HYPERLINK("http://www.lingerieopt.ru/images/original/49a3e7d6-1947-44ad-838a-8d7d100ad6a9.jpg","Фото")</f>
      </c>
    </row>
    <row r="3929">
      <c r="A3929" s="7">
        <f>HYPERLINK("http://www.lingerieopt.ru/item/7718-korotkie-perchatki-etheria-s-oborkami-iz-tonkogo-cvetochnogo-kruzheva/","7718")</f>
      </c>
      <c r="B3929" s="8" t="s">
        <v>3773</v>
      </c>
      <c r="C3929" s="9">
        <v>715</v>
      </c>
      <c r="D3929" s="0">
        <v>6</v>
      </c>
      <c r="E3929" s="10">
        <f>HYPERLINK("http://www.lingerieopt.ru/images/original/780c691b-7db4-47df-8b9c-d3ea7847079e.jpg","Фото")</f>
      </c>
    </row>
    <row r="3930">
      <c r="A3930" s="7">
        <f>HYPERLINK("http://www.lingerieopt.ru/item/8424-dlinnje-perchatki-miamor-s-kruzhevnoi-otorochkoi/","8424")</f>
      </c>
      <c r="B3930" s="8" t="s">
        <v>3774</v>
      </c>
      <c r="C3930" s="9">
        <v>973</v>
      </c>
      <c r="D3930" s="0">
        <v>1</v>
      </c>
      <c r="E3930" s="10">
        <f>HYPERLINK("http://www.lingerieopt.ru/images/original/d09bc88e-6d37-4da1-9e36-b778b52b1f8d.jpg","Фото")</f>
      </c>
    </row>
    <row r="3931">
      <c r="A3931" s="7">
        <f>HYPERLINK("http://www.lingerieopt.ru/item/10080-korotenkie-kruzhevnje-perchatki-mitenki-picantina/","10080")</f>
      </c>
      <c r="B3931" s="8" t="s">
        <v>3775</v>
      </c>
      <c r="C3931" s="9">
        <v>533</v>
      </c>
      <c r="D3931" s="0">
        <v>9</v>
      </c>
      <c r="E3931" s="10">
        <f>HYPERLINK("http://www.lingerieopt.ru/images/original/c559ffdd-b76f-465a-b188-af40bf25f438.jpg","Фото")</f>
      </c>
    </row>
    <row r="3932">
      <c r="A3932" s="7">
        <f>HYPERLINK("http://www.lingerieopt.ru/item/10084-perchatki-mitenki-piccorosa/","10084")</f>
      </c>
      <c r="B3932" s="8" t="s">
        <v>3776</v>
      </c>
      <c r="C3932" s="9">
        <v>533</v>
      </c>
      <c r="D3932" s="0">
        <v>2</v>
      </c>
      <c r="E3932" s="10">
        <f>HYPERLINK("http://www.lingerieopt.ru/images/original/cec2adb8-6633-43cb-99fa-7b42f19f1936.jpg","Фото")</f>
      </c>
    </row>
    <row r="3933">
      <c r="A3933" s="7">
        <f>HYPERLINK("http://www.lingerieopt.ru/item/10214-manzhetj-s-bahromoi-queen-of-hearts-arabesque/","10214")</f>
      </c>
      <c r="B3933" s="8" t="s">
        <v>3777</v>
      </c>
      <c r="C3933" s="9">
        <v>1193</v>
      </c>
      <c r="D3933" s="0">
        <v>3</v>
      </c>
      <c r="E3933" s="10">
        <f>HYPERLINK("http://www.lingerieopt.ru/images/original/95ec2328-fdcf-4abe-a296-ed3e84897407.jpg","Фото")</f>
      </c>
    </row>
    <row r="3934">
      <c r="A3934" s="7">
        <f>HYPERLINK("http://www.lingerieopt.ru/item/10214-manzhetj-s-bahromoi-queen-of-hearts-arabesque/","10214")</f>
      </c>
      <c r="B3934" s="8" t="s">
        <v>3778</v>
      </c>
      <c r="C3934" s="9">
        <v>1193</v>
      </c>
      <c r="D3934" s="0">
        <v>3</v>
      </c>
      <c r="E3934" s="10">
        <f>HYPERLINK("http://www.lingerieopt.ru/images/original/95ec2328-fdcf-4abe-a296-ed3e84897407.jpg","Фото")</f>
      </c>
    </row>
    <row r="3935">
      <c r="A3935" s="7">
        <f>HYPERLINK("http://www.lingerieopt.ru/item/10214-manzhetj-s-bahromoi-queen-of-hearts-arabesque/","10214")</f>
      </c>
      <c r="B3935" s="8" t="s">
        <v>3779</v>
      </c>
      <c r="C3935" s="9">
        <v>1193</v>
      </c>
      <c r="D3935" s="0">
        <v>0</v>
      </c>
      <c r="E3935" s="10">
        <f>HYPERLINK("http://www.lingerieopt.ru/images/original/95ec2328-fdcf-4abe-a296-ed3e84897407.jpg","Фото")</f>
      </c>
    </row>
    <row r="3936">
      <c r="A3936" s="7">
        <f>HYPERLINK("http://www.lingerieopt.ru/item/10273-dlinnje-perchatki-gertrude-s-otkrjtjmi-palchikami/","10273")</f>
      </c>
      <c r="B3936" s="8" t="s">
        <v>3674</v>
      </c>
      <c r="C3936" s="9">
        <v>1144</v>
      </c>
      <c r="D3936" s="0">
        <v>0</v>
      </c>
      <c r="E3936" s="10">
        <f>HYPERLINK("http://www.lingerieopt.ru/images/original/494b9298-0afb-4358-ae57-e059c593479a.jpg","Фото")</f>
      </c>
    </row>
    <row r="3937">
      <c r="A3937" s="7">
        <f>HYPERLINK("http://www.lingerieopt.ru/item/10273-dlinnje-perchatki-gertrude-s-otkrjtjmi-palchikami/","10273")</f>
      </c>
      <c r="B3937" s="8" t="s">
        <v>3675</v>
      </c>
      <c r="C3937" s="9">
        <v>1144</v>
      </c>
      <c r="D3937" s="0">
        <v>6</v>
      </c>
      <c r="E3937" s="10">
        <f>HYPERLINK("http://www.lingerieopt.ru/images/original/494b9298-0afb-4358-ae57-e059c593479a.jpg","Фото")</f>
      </c>
    </row>
    <row r="3938">
      <c r="A3938" s="7">
        <f>HYPERLINK("http://www.lingerieopt.ru/item/11450-nezhnje-kruzhevnje-vjsokie-mitenki/","11450")</f>
      </c>
      <c r="B3938" s="8" t="s">
        <v>3780</v>
      </c>
      <c r="C3938" s="9">
        <v>527</v>
      </c>
      <c r="D3938" s="0">
        <v>10</v>
      </c>
      <c r="E3938" s="10">
        <f>HYPERLINK("http://www.lingerieopt.ru/images/original/3e04690b-19f7-432e-aa73-3c04bf0acf10.jpg","Фото")</f>
      </c>
    </row>
    <row r="3939">
      <c r="A3939" s="5"/>
      <c r="B3939" s="6" t="s">
        <v>3781</v>
      </c>
      <c r="C3939" s="5"/>
      <c r="D3939" s="5"/>
      <c r="E3939" s="5"/>
    </row>
    <row r="3940">
      <c r="A3940" s="7">
        <f>HYPERLINK("http://www.lingerieopt.ru/item/367-plate-s-dlinnjmi-rukavami-lamia/","367")</f>
      </c>
      <c r="B3940" s="8" t="s">
        <v>3782</v>
      </c>
      <c r="C3940" s="9">
        <v>1740</v>
      </c>
      <c r="D3940" s="0">
        <v>0</v>
      </c>
      <c r="E3940" s="10">
        <f>HYPERLINK("http://www.lingerieopt.ru/images/original/165107f8-7041-4b05-8896-48b2dcb6222f.jpg","Фото")</f>
      </c>
    </row>
    <row r="3941">
      <c r="A3941" s="7">
        <f>HYPERLINK("http://www.lingerieopt.ru/item/367-plate-s-dlinnjmi-rukavami-lamia/","367")</f>
      </c>
      <c r="B3941" s="8" t="s">
        <v>3783</v>
      </c>
      <c r="C3941" s="9">
        <v>1740</v>
      </c>
      <c r="D3941" s="0">
        <v>0</v>
      </c>
      <c r="E3941" s="10">
        <f>HYPERLINK("http://www.lingerieopt.ru/images/original/165107f8-7041-4b05-8896-48b2dcb6222f.jpg","Фото")</f>
      </c>
    </row>
    <row r="3942">
      <c r="A3942" s="7">
        <f>HYPERLINK("http://www.lingerieopt.ru/item/367-plate-s-dlinnjmi-rukavami-lamia/","367")</f>
      </c>
      <c r="B3942" s="8" t="s">
        <v>3784</v>
      </c>
      <c r="C3942" s="9">
        <v>1740</v>
      </c>
      <c r="D3942" s="0">
        <v>1</v>
      </c>
      <c r="E3942" s="10">
        <f>HYPERLINK("http://www.lingerieopt.ru/images/original/165107f8-7041-4b05-8896-48b2dcb6222f.jpg","Фото")</f>
      </c>
    </row>
    <row r="3943">
      <c r="A3943" s="7">
        <f>HYPERLINK("http://www.lingerieopt.ru/item/367-plate-s-dlinnjmi-rukavami-lamia/","367")</f>
      </c>
      <c r="B3943" s="8" t="s">
        <v>3785</v>
      </c>
      <c r="C3943" s="9">
        <v>1740</v>
      </c>
      <c r="D3943" s="0">
        <v>0</v>
      </c>
      <c r="E3943" s="10">
        <f>HYPERLINK("http://www.lingerieopt.ru/images/original/165107f8-7041-4b05-8896-48b2dcb6222f.jpg","Фото")</f>
      </c>
    </row>
    <row r="3944">
      <c r="A3944" s="7">
        <f>HYPERLINK("http://www.lingerieopt.ru/item/369-miniplate-tyler-s-otkrjtjmi-plechami-i-dlinnjmi-rukavami/","369")</f>
      </c>
      <c r="B3944" s="8" t="s">
        <v>3786</v>
      </c>
      <c r="C3944" s="9">
        <v>2111</v>
      </c>
      <c r="D3944" s="0">
        <v>0</v>
      </c>
      <c r="E3944" s="10">
        <f>HYPERLINK("http://www.lingerieopt.ru/images/original/493dd013-d1c7-4f91-ae41-25dfe4c729b0.jpg","Фото")</f>
      </c>
    </row>
    <row r="3945">
      <c r="A3945" s="7">
        <f>HYPERLINK("http://www.lingerieopt.ru/item/369-miniplate-tyler-s-otkrjtjmi-plechami-i-dlinnjmi-rukavami/","369")</f>
      </c>
      <c r="B3945" s="8" t="s">
        <v>3787</v>
      </c>
      <c r="C3945" s="9">
        <v>2111</v>
      </c>
      <c r="D3945" s="0">
        <v>2</v>
      </c>
      <c r="E3945" s="10">
        <f>HYPERLINK("http://www.lingerieopt.ru/images/original/493dd013-d1c7-4f91-ae41-25dfe4c729b0.jpg","Фото")</f>
      </c>
    </row>
    <row r="3946">
      <c r="A3946" s="7">
        <f>HYPERLINK("http://www.lingerieopt.ru/item/369-miniplate-tyler-s-otkrjtjmi-plechami-i-dlinnjmi-rukavami/","369")</f>
      </c>
      <c r="B3946" s="8" t="s">
        <v>3788</v>
      </c>
      <c r="C3946" s="9">
        <v>2111</v>
      </c>
      <c r="D3946" s="0">
        <v>0</v>
      </c>
      <c r="E3946" s="10">
        <f>HYPERLINK("http://www.lingerieopt.ru/images/original/493dd013-d1c7-4f91-ae41-25dfe4c729b0.jpg","Фото")</f>
      </c>
    </row>
    <row r="3947">
      <c r="A3947" s="7">
        <f>HYPERLINK("http://www.lingerieopt.ru/item/369-miniplate-tyler-s-otkrjtjmi-plechami-i-dlinnjmi-rukavami/","369")</f>
      </c>
      <c r="B3947" s="8" t="s">
        <v>3789</v>
      </c>
      <c r="C3947" s="9">
        <v>2111</v>
      </c>
      <c r="D3947" s="0">
        <v>0</v>
      </c>
      <c r="E3947" s="10">
        <f>HYPERLINK("http://www.lingerieopt.ru/images/original/493dd013-d1c7-4f91-ae41-25dfe4c729b0.jpg","Фото")</f>
      </c>
    </row>
    <row r="3948">
      <c r="A3948" s="7">
        <f>HYPERLINK("http://www.lingerieopt.ru/item/369-miniplate-tyler-s-otkrjtjmi-plechami-i-dlinnjmi-rukavami/","369")</f>
      </c>
      <c r="B3948" s="8" t="s">
        <v>3790</v>
      </c>
      <c r="C3948" s="9">
        <v>2111</v>
      </c>
      <c r="D3948" s="0">
        <v>0</v>
      </c>
      <c r="E3948" s="10">
        <f>HYPERLINK("http://www.lingerieopt.ru/images/original/493dd013-d1c7-4f91-ae41-25dfe4c729b0.jpg","Фото")</f>
      </c>
    </row>
    <row r="3949">
      <c r="A3949" s="7">
        <f>HYPERLINK("http://www.lingerieopt.ru/item/369-miniplate-tyler-s-otkrjtjmi-plechami-i-dlinnjmi-rukavami/","369")</f>
      </c>
      <c r="B3949" s="8" t="s">
        <v>3791</v>
      </c>
      <c r="C3949" s="9">
        <v>2111</v>
      </c>
      <c r="D3949" s="0">
        <v>0</v>
      </c>
      <c r="E3949" s="10">
        <f>HYPERLINK("http://www.lingerieopt.ru/images/original/493dd013-d1c7-4f91-ae41-25dfe4c729b0.jpg","Фото")</f>
      </c>
    </row>
    <row r="3950">
      <c r="A3950" s="7">
        <f>HYPERLINK("http://www.lingerieopt.ru/item/436-chernoe-plate/","436")</f>
      </c>
      <c r="B3950" s="8" t="s">
        <v>3792</v>
      </c>
      <c r="C3950" s="9">
        <v>2077</v>
      </c>
      <c r="D3950" s="0">
        <v>13</v>
      </c>
      <c r="E3950" s="10">
        <f>HYPERLINK("http://www.lingerieopt.ru/images/original/8e8903ec-eddc-4cad-b74d-22fa6b5d77d5.jpg","Фото")</f>
      </c>
    </row>
    <row r="3951">
      <c r="A3951" s="7">
        <f>HYPERLINK("http://www.lingerieopt.ru/item/436-chernoe-plate/","436")</f>
      </c>
      <c r="B3951" s="8" t="s">
        <v>3793</v>
      </c>
      <c r="C3951" s="9">
        <v>2077</v>
      </c>
      <c r="D3951" s="0">
        <v>12</v>
      </c>
      <c r="E3951" s="10">
        <f>HYPERLINK("http://www.lingerieopt.ru/images/original/8e8903ec-eddc-4cad-b74d-22fa6b5d77d5.jpg","Фото")</f>
      </c>
    </row>
    <row r="3952">
      <c r="A3952" s="7">
        <f>HYPERLINK("http://www.lingerieopt.ru/item/641-chernoe-plate-s-paietkami-i-glubokim-dekolte/","641")</f>
      </c>
      <c r="B3952" s="8" t="s">
        <v>3794</v>
      </c>
      <c r="C3952" s="9">
        <v>2815</v>
      </c>
      <c r="D3952" s="0">
        <v>0</v>
      </c>
      <c r="E3952" s="10">
        <f>HYPERLINK("http://www.lingerieopt.ru/images/original/c1432f5a-0084-47d9-8ec6-38437627ac98.jpg","Фото")</f>
      </c>
    </row>
    <row r="3953">
      <c r="A3953" s="7">
        <f>HYPERLINK("http://www.lingerieopt.ru/item/641-chernoe-plate-s-paietkami-i-glubokim-dekolte/","641")</f>
      </c>
      <c r="B3953" s="8" t="s">
        <v>3795</v>
      </c>
      <c r="C3953" s="9">
        <v>2815</v>
      </c>
      <c r="D3953" s="0">
        <v>0</v>
      </c>
      <c r="E3953" s="10">
        <f>HYPERLINK("http://www.lingerieopt.ru/images/original/c1432f5a-0084-47d9-8ec6-38437627ac98.jpg","Фото")</f>
      </c>
    </row>
    <row r="3954">
      <c r="A3954" s="7">
        <f>HYPERLINK("http://www.lingerieopt.ru/item/641-chernoe-plate-s-paietkami-i-glubokim-dekolte/","641")</f>
      </c>
      <c r="B3954" s="8" t="s">
        <v>3796</v>
      </c>
      <c r="C3954" s="9">
        <v>2815</v>
      </c>
      <c r="D3954" s="0">
        <v>2</v>
      </c>
      <c r="E3954" s="10">
        <f>HYPERLINK("http://www.lingerieopt.ru/images/original/c1432f5a-0084-47d9-8ec6-38437627ac98.jpg","Фото")</f>
      </c>
    </row>
    <row r="3955">
      <c r="A3955" s="7">
        <f>HYPERLINK("http://www.lingerieopt.ru/item/643-cherno-rozovoe-plate-setka-s-glubokim-dekolte/","643")</f>
      </c>
      <c r="B3955" s="8" t="s">
        <v>3797</v>
      </c>
      <c r="C3955" s="9">
        <v>2026</v>
      </c>
      <c r="D3955" s="0">
        <v>1</v>
      </c>
      <c r="E3955" s="10">
        <f>HYPERLINK("http://www.lingerieopt.ru/images/original/a12964d5-2897-4bde-b629-33abf1b8b540.jpg","Фото")</f>
      </c>
    </row>
    <row r="3956">
      <c r="A3956" s="7">
        <f>HYPERLINK("http://www.lingerieopt.ru/item/1066-plate-bez-bretelek-so-strazami-na-byuste-i-kruzhevnjmi-bokami/","1066")</f>
      </c>
      <c r="B3956" s="8" t="s">
        <v>3798</v>
      </c>
      <c r="C3956" s="9">
        <v>796</v>
      </c>
      <c r="D3956" s="0">
        <v>6</v>
      </c>
      <c r="E3956" s="10">
        <f>HYPERLINK("http://www.lingerieopt.ru/images/original/9a8f31b8-3f95-41c6-818b-3704e6e4163a.jpg","Фото")</f>
      </c>
    </row>
    <row r="3957">
      <c r="A3957" s="7">
        <f>HYPERLINK("http://www.lingerieopt.ru/item/1066-plate-bez-bretelek-so-strazami-na-byuste-i-kruzhevnjmi-bokami/","1066")</f>
      </c>
      <c r="B3957" s="8" t="s">
        <v>3799</v>
      </c>
      <c r="C3957" s="9">
        <v>796</v>
      </c>
      <c r="D3957" s="0">
        <v>6</v>
      </c>
      <c r="E3957" s="10">
        <f>HYPERLINK("http://www.lingerieopt.ru/images/original/9a8f31b8-3f95-41c6-818b-3704e6e4163a.jpg","Фото")</f>
      </c>
    </row>
    <row r="3958">
      <c r="A3958" s="7">
        <f>HYPERLINK("http://www.lingerieopt.ru/item/1066-plate-bez-bretelek-so-strazami-na-byuste-i-kruzhevnjmi-bokami/","1066")</f>
      </c>
      <c r="B3958" s="8" t="s">
        <v>3800</v>
      </c>
      <c r="C3958" s="9">
        <v>796</v>
      </c>
      <c r="D3958" s="0">
        <v>11</v>
      </c>
      <c r="E3958" s="10">
        <f>HYPERLINK("http://www.lingerieopt.ru/images/original/9a8f31b8-3f95-41c6-818b-3704e6e4163a.jpg","Фото")</f>
      </c>
    </row>
    <row r="3959">
      <c r="A3959" s="7">
        <f>HYPERLINK("http://www.lingerieopt.ru/item/1069-plate-s-bretelkami-na-plechi-adeline/","1069")</f>
      </c>
      <c r="B3959" s="8" t="s">
        <v>3801</v>
      </c>
      <c r="C3959" s="9">
        <v>1475</v>
      </c>
      <c r="D3959" s="0">
        <v>5</v>
      </c>
      <c r="E3959" s="10">
        <f>HYPERLINK("http://www.lingerieopt.ru/images/original/80adaa6b-5345-461f-b3c7-5538c08e4633.jpg","Фото")</f>
      </c>
    </row>
    <row r="3960">
      <c r="A3960" s="7">
        <f>HYPERLINK("http://www.lingerieopt.ru/item/1069-plate-s-bretelkami-na-plechi-adeline/","1069")</f>
      </c>
      <c r="B3960" s="8" t="s">
        <v>3802</v>
      </c>
      <c r="C3960" s="9">
        <v>1475</v>
      </c>
      <c r="D3960" s="0">
        <v>0</v>
      </c>
      <c r="E3960" s="10">
        <f>HYPERLINK("http://www.lingerieopt.ru/images/original/80adaa6b-5345-461f-b3c7-5538c08e4633.jpg","Фото")</f>
      </c>
    </row>
    <row r="3961">
      <c r="A3961" s="7">
        <f>HYPERLINK("http://www.lingerieopt.ru/item/1069-plate-s-bretelkami-na-plechi-adeline/","1069")</f>
      </c>
      <c r="B3961" s="8" t="s">
        <v>3803</v>
      </c>
      <c r="C3961" s="9">
        <v>1475</v>
      </c>
      <c r="D3961" s="0">
        <v>3</v>
      </c>
      <c r="E3961" s="10">
        <f>HYPERLINK("http://www.lingerieopt.ru/images/original/80adaa6b-5345-461f-b3c7-5538c08e4633.jpg","Фото")</f>
      </c>
    </row>
    <row r="3962">
      <c r="A3962" s="7">
        <f>HYPERLINK("http://www.lingerieopt.ru/item/1069-plate-s-bretelkami-na-plechi-adeline/","1069")</f>
      </c>
      <c r="B3962" s="8" t="s">
        <v>3804</v>
      </c>
      <c r="C3962" s="9">
        <v>1475</v>
      </c>
      <c r="D3962" s="0">
        <v>0</v>
      </c>
      <c r="E3962" s="10">
        <f>HYPERLINK("http://www.lingerieopt.ru/images/original/80adaa6b-5345-461f-b3c7-5538c08e4633.jpg","Фото")</f>
      </c>
    </row>
    <row r="3963">
      <c r="A3963" s="7">
        <f>HYPERLINK("http://www.lingerieopt.ru/item/1069-plate-s-bretelkami-na-plechi-adeline/","1069")</f>
      </c>
      <c r="B3963" s="8" t="s">
        <v>3805</v>
      </c>
      <c r="C3963" s="9">
        <v>1475</v>
      </c>
      <c r="D3963" s="0">
        <v>2</v>
      </c>
      <c r="E3963" s="10">
        <f>HYPERLINK("http://www.lingerieopt.ru/images/original/80adaa6b-5345-461f-b3c7-5538c08e4633.jpg","Фото")</f>
      </c>
    </row>
    <row r="3964">
      <c r="A3964" s="7">
        <f>HYPERLINK("http://www.lingerieopt.ru/item/1069-plate-s-bretelkami-na-plechi-adeline/","1069")</f>
      </c>
      <c r="B3964" s="8" t="s">
        <v>3806</v>
      </c>
      <c r="C3964" s="9">
        <v>1475</v>
      </c>
      <c r="D3964" s="0">
        <v>0</v>
      </c>
      <c r="E3964" s="10">
        <f>HYPERLINK("http://www.lingerieopt.ru/images/original/80adaa6b-5345-461f-b3c7-5538c08e4633.jpg","Фото")</f>
      </c>
    </row>
    <row r="3965">
      <c r="A3965" s="7">
        <f>HYPERLINK("http://www.lingerieopt.ru/item/1238-miniplate-casabella-s-kruzhevnoi-vstavkoi/","1238")</f>
      </c>
      <c r="B3965" s="8" t="s">
        <v>3807</v>
      </c>
      <c r="C3965" s="9">
        <v>1721</v>
      </c>
      <c r="D3965" s="0">
        <v>0</v>
      </c>
      <c r="E3965" s="10">
        <f>HYPERLINK("http://www.lingerieopt.ru/images/original/97503d9c-8436-4a40-a202-01aa59217fe0.jpg","Фото")</f>
      </c>
    </row>
    <row r="3966">
      <c r="A3966" s="7">
        <f>HYPERLINK("http://www.lingerieopt.ru/item/1238-miniplate-casabella-s-kruzhevnoi-vstavkoi/","1238")</f>
      </c>
      <c r="B3966" s="8" t="s">
        <v>3808</v>
      </c>
      <c r="C3966" s="9">
        <v>1721</v>
      </c>
      <c r="D3966" s="0">
        <v>20</v>
      </c>
      <c r="E3966" s="10">
        <f>HYPERLINK("http://www.lingerieopt.ru/images/original/97503d9c-8436-4a40-a202-01aa59217fe0.jpg","Фото")</f>
      </c>
    </row>
    <row r="3967">
      <c r="A3967" s="7">
        <f>HYPERLINK("http://www.lingerieopt.ru/item/1239-miniplate-tiffany-red/","1239")</f>
      </c>
      <c r="B3967" s="8" t="s">
        <v>3809</v>
      </c>
      <c r="C3967" s="9">
        <v>1405</v>
      </c>
      <c r="D3967" s="0">
        <v>2</v>
      </c>
      <c r="E3967" s="10">
        <f>HYPERLINK("http://www.lingerieopt.ru/images/original/693b4aa7-e0f7-44a5-b2c4-80905ff02773.jpg","Фото")</f>
      </c>
    </row>
    <row r="3968">
      <c r="A3968" s="7">
        <f>HYPERLINK("http://www.lingerieopt.ru/item/1239-miniplate-tiffany-red/","1239")</f>
      </c>
      <c r="B3968" s="8" t="s">
        <v>3810</v>
      </c>
      <c r="C3968" s="9">
        <v>1405</v>
      </c>
      <c r="D3968" s="0">
        <v>0</v>
      </c>
      <c r="E3968" s="10">
        <f>HYPERLINK("http://www.lingerieopt.ru/images/original/693b4aa7-e0f7-44a5-b2c4-80905ff02773.jpg","Фото")</f>
      </c>
    </row>
    <row r="3969">
      <c r="A3969" s="7">
        <f>HYPERLINK("http://www.lingerieopt.ru/item/1239-miniplate-tiffany-red/","1239")</f>
      </c>
      <c r="B3969" s="8" t="s">
        <v>3811</v>
      </c>
      <c r="C3969" s="9">
        <v>1405</v>
      </c>
      <c r="D3969" s="0">
        <v>0</v>
      </c>
      <c r="E3969" s="10">
        <f>HYPERLINK("http://www.lingerieopt.ru/images/original/693b4aa7-e0f7-44a5-b2c4-80905ff02773.jpg","Фото")</f>
      </c>
    </row>
    <row r="3970">
      <c r="A3970" s="7">
        <f>HYPERLINK("http://www.lingerieopt.ru/item/1239-miniplate-tiffany-red/","1239")</f>
      </c>
      <c r="B3970" s="8" t="s">
        <v>3812</v>
      </c>
      <c r="C3970" s="9">
        <v>1405</v>
      </c>
      <c r="D3970" s="0">
        <v>0</v>
      </c>
      <c r="E3970" s="10">
        <f>HYPERLINK("http://www.lingerieopt.ru/images/original/693b4aa7-e0f7-44a5-b2c4-80905ff02773.jpg","Фото")</f>
      </c>
    </row>
    <row r="3971">
      <c r="A3971" s="7">
        <f>HYPERLINK("http://www.lingerieopt.ru/item/1241-sorochka-beverly/","1241")</f>
      </c>
      <c r="B3971" s="8" t="s">
        <v>3813</v>
      </c>
      <c r="C3971" s="9">
        <v>1941</v>
      </c>
      <c r="D3971" s="0">
        <v>1</v>
      </c>
      <c r="E3971" s="10">
        <f>HYPERLINK("http://www.lingerieopt.ru/images/original/94c7701e-84fe-46df-b3ba-df1ac8861311.jpg","Фото")</f>
      </c>
    </row>
    <row r="3972">
      <c r="A3972" s="7">
        <f>HYPERLINK("http://www.lingerieopt.ru/item/1241-sorochka-beverly/","1241")</f>
      </c>
      <c r="B3972" s="8" t="s">
        <v>3814</v>
      </c>
      <c r="C3972" s="9">
        <v>1941</v>
      </c>
      <c r="D3972" s="0">
        <v>0</v>
      </c>
      <c r="E3972" s="10">
        <f>HYPERLINK("http://www.lingerieopt.ru/images/original/94c7701e-84fe-46df-b3ba-df1ac8861311.jpg","Фото")</f>
      </c>
    </row>
    <row r="3973">
      <c r="A3973" s="7">
        <f>HYPERLINK("http://www.lingerieopt.ru/item/1997-miniplate-tiffany-black/","1997")</f>
      </c>
      <c r="B3973" s="8" t="s">
        <v>3815</v>
      </c>
      <c r="C3973" s="9">
        <v>1405</v>
      </c>
      <c r="D3973" s="0">
        <v>5</v>
      </c>
      <c r="E3973" s="10">
        <f>HYPERLINK("http://www.lingerieopt.ru/images/original/e309342c-78af-4ce8-8ef3-de3aa5e3a56b.jpg","Фото")</f>
      </c>
    </row>
    <row r="3974">
      <c r="A3974" s="7">
        <f>HYPERLINK("http://www.lingerieopt.ru/item/1997-miniplate-tiffany-black/","1997")</f>
      </c>
      <c r="B3974" s="8" t="s">
        <v>3816</v>
      </c>
      <c r="C3974" s="9">
        <v>1405</v>
      </c>
      <c r="D3974" s="0">
        <v>3</v>
      </c>
      <c r="E3974" s="10">
        <f>HYPERLINK("http://www.lingerieopt.ru/images/original/e309342c-78af-4ce8-8ef3-de3aa5e3a56b.jpg","Фото")</f>
      </c>
    </row>
    <row r="3975">
      <c r="A3975" s="7">
        <f>HYPERLINK("http://www.lingerieopt.ru/item/1997-miniplate-tiffany-black/","1997")</f>
      </c>
      <c r="B3975" s="8" t="s">
        <v>3817</v>
      </c>
      <c r="C3975" s="9">
        <v>1405</v>
      </c>
      <c r="D3975" s="0">
        <v>0</v>
      </c>
      <c r="E3975" s="10">
        <f>HYPERLINK("http://www.lingerieopt.ru/images/original/e309342c-78af-4ce8-8ef3-de3aa5e3a56b.jpg","Фото")</f>
      </c>
    </row>
    <row r="3976">
      <c r="A3976" s="7">
        <f>HYPERLINK("http://www.lingerieopt.ru/item/1997-miniplate-tiffany-black/","1997")</f>
      </c>
      <c r="B3976" s="8" t="s">
        <v>3818</v>
      </c>
      <c r="C3976" s="9">
        <v>1405</v>
      </c>
      <c r="D3976" s="0">
        <v>10</v>
      </c>
      <c r="E3976" s="10">
        <f>HYPERLINK("http://www.lingerieopt.ru/images/original/e309342c-78af-4ce8-8ef3-de3aa5e3a56b.jpg","Фото")</f>
      </c>
    </row>
    <row r="3977">
      <c r="A3977" s="7">
        <f>HYPERLINK("http://www.lingerieopt.ru/item/1997-miniplate-tiffany-black/","1997")</f>
      </c>
      <c r="B3977" s="8" t="s">
        <v>3819</v>
      </c>
      <c r="C3977" s="9">
        <v>1405</v>
      </c>
      <c r="D3977" s="0">
        <v>5</v>
      </c>
      <c r="E3977" s="10">
        <f>HYPERLINK("http://www.lingerieopt.ru/images/original/e309342c-78af-4ce8-8ef3-de3aa5e3a56b.jpg","Фото")</f>
      </c>
    </row>
    <row r="3978">
      <c r="A3978" s="7">
        <f>HYPERLINK("http://www.lingerieopt.ru/item/1999-effektnoe-plate-sila-iz-kruzhev-i-tkani-s-wet-effektom/","1999")</f>
      </c>
      <c r="B3978" s="8" t="s">
        <v>3820</v>
      </c>
      <c r="C3978" s="9">
        <v>1619</v>
      </c>
      <c r="D3978" s="0">
        <v>7</v>
      </c>
      <c r="E3978" s="10">
        <f>HYPERLINK("http://www.lingerieopt.ru/images/original/0c8720fd-1c36-43cb-8f6a-95798415be28.jpg","Фото")</f>
      </c>
    </row>
    <row r="3979">
      <c r="A3979" s="7">
        <f>HYPERLINK("http://www.lingerieopt.ru/item/1999-effektnoe-plate-sila-iz-kruzhev-i-tkani-s-wet-effektom/","1999")</f>
      </c>
      <c r="B3979" s="8" t="s">
        <v>3821</v>
      </c>
      <c r="C3979" s="9">
        <v>1619</v>
      </c>
      <c r="D3979" s="0">
        <v>0</v>
      </c>
      <c r="E3979" s="10">
        <f>HYPERLINK("http://www.lingerieopt.ru/images/original/0c8720fd-1c36-43cb-8f6a-95798415be28.jpg","Фото")</f>
      </c>
    </row>
    <row r="3980">
      <c r="A3980" s="7">
        <f>HYPERLINK("http://www.lingerieopt.ru/item/1999-effektnoe-plate-sila-iz-kruzhev-i-tkani-s-wet-effektom/","1999")</f>
      </c>
      <c r="B3980" s="8" t="s">
        <v>3822</v>
      </c>
      <c r="C3980" s="9">
        <v>1619</v>
      </c>
      <c r="D3980" s="0">
        <v>0</v>
      </c>
      <c r="E3980" s="10">
        <f>HYPERLINK("http://www.lingerieopt.ru/images/original/0c8720fd-1c36-43cb-8f6a-95798415be28.jpg","Фото")</f>
      </c>
    </row>
    <row r="3981">
      <c r="A3981" s="7">
        <f>HYPERLINK("http://www.lingerieopt.ru/item/2001-sorochka-donna/","2001")</f>
      </c>
      <c r="B3981" s="8" t="s">
        <v>3823</v>
      </c>
      <c r="C3981" s="9">
        <v>1578</v>
      </c>
      <c r="D3981" s="0">
        <v>20</v>
      </c>
      <c r="E3981" s="10">
        <f>HYPERLINK("http://www.lingerieopt.ru/images/original/9ead75c4-324a-410b-8c05-0d32d3f99d38.jpg","Фото")</f>
      </c>
    </row>
    <row r="3982">
      <c r="A3982" s="7">
        <f>HYPERLINK("http://www.lingerieopt.ru/item/2001-sorochka-donna/","2001")</f>
      </c>
      <c r="B3982" s="8" t="s">
        <v>3824</v>
      </c>
      <c r="C3982" s="9">
        <v>1578</v>
      </c>
      <c r="D3982" s="0">
        <v>7</v>
      </c>
      <c r="E3982" s="10">
        <f>HYPERLINK("http://www.lingerieopt.ru/images/original/9ead75c4-324a-410b-8c05-0d32d3f99d38.jpg","Фото")</f>
      </c>
    </row>
    <row r="3983">
      <c r="A3983" s="7">
        <f>HYPERLINK("http://www.lingerieopt.ru/item/2001-sorochka-donna/","2001")</f>
      </c>
      <c r="B3983" s="8" t="s">
        <v>3825</v>
      </c>
      <c r="C3983" s="9">
        <v>1578</v>
      </c>
      <c r="D3983" s="0">
        <v>20</v>
      </c>
      <c r="E3983" s="10">
        <f>HYPERLINK("http://www.lingerieopt.ru/images/original/9ead75c4-324a-410b-8c05-0d32d3f99d38.jpg","Фото")</f>
      </c>
    </row>
    <row r="3984">
      <c r="A3984" s="7">
        <f>HYPERLINK("http://www.lingerieopt.ru/item/2342-mini-plate-mohana/","2342")</f>
      </c>
      <c r="B3984" s="8" t="s">
        <v>3826</v>
      </c>
      <c r="C3984" s="9">
        <v>1574</v>
      </c>
      <c r="D3984" s="0">
        <v>18</v>
      </c>
      <c r="E3984" s="10">
        <f>HYPERLINK("http://www.lingerieopt.ru/images/original/50e88fd8-1cb2-407d-9995-b21a4004d231.jpg","Фото")</f>
      </c>
    </row>
    <row r="3985">
      <c r="A3985" s="7">
        <f>HYPERLINK("http://www.lingerieopt.ru/item/2342-mini-plate-mohana/","2342")</f>
      </c>
      <c r="B3985" s="8" t="s">
        <v>3827</v>
      </c>
      <c r="C3985" s="9">
        <v>1574</v>
      </c>
      <c r="D3985" s="0">
        <v>0</v>
      </c>
      <c r="E3985" s="10">
        <f>HYPERLINK("http://www.lingerieopt.ru/images/original/50e88fd8-1cb2-407d-9995-b21a4004d231.jpg","Фото")</f>
      </c>
    </row>
    <row r="3986">
      <c r="A3986" s="7">
        <f>HYPERLINK("http://www.lingerieopt.ru/item/2345-sorochka-marylin/","2345")</f>
      </c>
      <c r="B3986" s="8" t="s">
        <v>3828</v>
      </c>
      <c r="C3986" s="9">
        <v>2012</v>
      </c>
      <c r="D3986" s="0">
        <v>0</v>
      </c>
      <c r="E3986" s="10">
        <f>HYPERLINK("http://www.lingerieopt.ru/images/original/65903587-1e99-4d6b-95d0-21bd8450cdd1.jpg","Фото")</f>
      </c>
    </row>
    <row r="3987">
      <c r="A3987" s="7">
        <f>HYPERLINK("http://www.lingerieopt.ru/item/2345-sorochka-marylin/","2345")</f>
      </c>
      <c r="B3987" s="8" t="s">
        <v>3829</v>
      </c>
      <c r="C3987" s="9">
        <v>2012</v>
      </c>
      <c r="D3987" s="0">
        <v>4</v>
      </c>
      <c r="E3987" s="10">
        <f>HYPERLINK("http://www.lingerieopt.ru/images/original/65903587-1e99-4d6b-95d0-21bd8450cdd1.jpg","Фото")</f>
      </c>
    </row>
    <row r="3988">
      <c r="A3988" s="7">
        <f>HYPERLINK("http://www.lingerieopt.ru/item/2468-plate-s-krasivjm-dekolte/","2468")</f>
      </c>
      <c r="B3988" s="8" t="s">
        <v>3830</v>
      </c>
      <c r="C3988" s="9">
        <v>1748</v>
      </c>
      <c r="D3988" s="0">
        <v>8</v>
      </c>
      <c r="E3988" s="10">
        <f>HYPERLINK("http://www.lingerieopt.ru/images/original/1f4c42cc-020d-466f-a9b2-c3aaf1ac25d8.jpg","Фото")</f>
      </c>
    </row>
    <row r="3989">
      <c r="A3989" s="7">
        <f>HYPERLINK("http://www.lingerieopt.ru/item/2468-plate-s-krasivjm-dekolte/","2468")</f>
      </c>
      <c r="B3989" s="8" t="s">
        <v>3831</v>
      </c>
      <c r="C3989" s="9">
        <v>1748</v>
      </c>
      <c r="D3989" s="0">
        <v>0</v>
      </c>
      <c r="E3989" s="10">
        <f>HYPERLINK("http://www.lingerieopt.ru/images/original/1f4c42cc-020d-466f-a9b2-c3aaf1ac25d8.jpg","Фото")</f>
      </c>
    </row>
    <row r="3990">
      <c r="A3990" s="7">
        <f>HYPERLINK("http://www.lingerieopt.ru/item/2468-plate-s-krasivjm-dekolte/","2468")</f>
      </c>
      <c r="B3990" s="8" t="s">
        <v>3832</v>
      </c>
      <c r="C3990" s="9">
        <v>1748</v>
      </c>
      <c r="D3990" s="0">
        <v>10</v>
      </c>
      <c r="E3990" s="10">
        <f>HYPERLINK("http://www.lingerieopt.ru/images/original/1f4c42cc-020d-466f-a9b2-c3aaf1ac25d8.jpg","Фото")</f>
      </c>
    </row>
    <row r="3991">
      <c r="A3991" s="7">
        <f>HYPERLINK("http://www.lingerieopt.ru/item/2479-plate-s-otkrjtoi-spinoi-i-razrezom-aditi/","2479")</f>
      </c>
      <c r="B3991" s="8" t="s">
        <v>3833</v>
      </c>
      <c r="C3991" s="9">
        <v>1498</v>
      </c>
      <c r="D3991" s="0">
        <v>5</v>
      </c>
      <c r="E3991" s="10">
        <f>HYPERLINK("http://www.lingerieopt.ru/images/original/498aff37-d13e-46b1-9051-146fd24b89de.jpg","Фото")</f>
      </c>
    </row>
    <row r="3992">
      <c r="A3992" s="7">
        <f>HYPERLINK("http://www.lingerieopt.ru/item/2479-plate-s-otkrjtoi-spinoi-i-razrezom-aditi/","2479")</f>
      </c>
      <c r="B3992" s="8" t="s">
        <v>3834</v>
      </c>
      <c r="C3992" s="9">
        <v>1498</v>
      </c>
      <c r="D3992" s="0">
        <v>0</v>
      </c>
      <c r="E3992" s="10">
        <f>HYPERLINK("http://www.lingerieopt.ru/images/original/498aff37-d13e-46b1-9051-146fd24b89de.jpg","Фото")</f>
      </c>
    </row>
    <row r="3993">
      <c r="A3993" s="7">
        <f>HYPERLINK("http://www.lingerieopt.ru/item/2691-besshovnoe-mini-plate-s-razrezami-na-spine/","2691")</f>
      </c>
      <c r="B3993" s="8" t="s">
        <v>3835</v>
      </c>
      <c r="C3993" s="9">
        <v>1718</v>
      </c>
      <c r="D3993" s="0">
        <v>0</v>
      </c>
      <c r="E3993" s="10">
        <f>HYPERLINK("http://www.lingerieopt.ru/images/original/36e2f95c-8a85-47e9-a1f5-2c00d22b5e49.jpg","Фото")</f>
      </c>
    </row>
    <row r="3994">
      <c r="A3994" s="7">
        <f>HYPERLINK("http://www.lingerieopt.ru/item/2691-besshovnoe-mini-plate-s-razrezami-na-spine/","2691")</f>
      </c>
      <c r="B3994" s="8" t="s">
        <v>3836</v>
      </c>
      <c r="C3994" s="9">
        <v>1718</v>
      </c>
      <c r="D3994" s="0">
        <v>1</v>
      </c>
      <c r="E3994" s="10">
        <f>HYPERLINK("http://www.lingerieopt.ru/images/original/36e2f95c-8a85-47e9-a1f5-2c00d22b5e49.jpg","Фото")</f>
      </c>
    </row>
    <row r="3995">
      <c r="A3995" s="7">
        <f>HYPERLINK("http://www.lingerieopt.ru/item/2691-besshovnoe-mini-plate-s-razrezami-na-spine/","2691")</f>
      </c>
      <c r="B3995" s="8" t="s">
        <v>3837</v>
      </c>
      <c r="C3995" s="9">
        <v>1718</v>
      </c>
      <c r="D3995" s="0">
        <v>0</v>
      </c>
      <c r="E3995" s="10">
        <f>HYPERLINK("http://www.lingerieopt.ru/images/original/36e2f95c-8a85-47e9-a1f5-2c00d22b5e49.jpg","Фото")</f>
      </c>
    </row>
    <row r="3996">
      <c r="A3996" s="7">
        <f>HYPERLINK("http://www.lingerieopt.ru/item/2691-besshovnoe-mini-plate-s-razrezami-na-spine/","2691")</f>
      </c>
      <c r="B3996" s="8" t="s">
        <v>3838</v>
      </c>
      <c r="C3996" s="9">
        <v>1718</v>
      </c>
      <c r="D3996" s="0">
        <v>3</v>
      </c>
      <c r="E3996" s="10">
        <f>HYPERLINK("http://www.lingerieopt.ru/images/original/36e2f95c-8a85-47e9-a1f5-2c00d22b5e49.jpg","Фото")</f>
      </c>
    </row>
    <row r="3997">
      <c r="A3997" s="7">
        <f>HYPERLINK("http://www.lingerieopt.ru/item/2733-plate-s-rukavami-2-3/","2733")</f>
      </c>
      <c r="B3997" s="8" t="s">
        <v>3839</v>
      </c>
      <c r="C3997" s="9">
        <v>1294</v>
      </c>
      <c r="D3997" s="0">
        <v>13</v>
      </c>
      <c r="E3997" s="10">
        <f>HYPERLINK("http://www.lingerieopt.ru/images/original/d20d5724-e21a-4ad7-877f-bedb8bb9f9b4.jpg","Фото")</f>
      </c>
    </row>
    <row r="3998">
      <c r="A3998" s="7">
        <f>HYPERLINK("http://www.lingerieopt.ru/item/2733-plate-s-rukavami-2-3/","2733")</f>
      </c>
      <c r="B3998" s="8" t="s">
        <v>3840</v>
      </c>
      <c r="C3998" s="9">
        <v>1294</v>
      </c>
      <c r="D3998" s="0">
        <v>11</v>
      </c>
      <c r="E3998" s="10">
        <f>HYPERLINK("http://www.lingerieopt.ru/images/original/d20d5724-e21a-4ad7-877f-bedb8bb9f9b4.jpg","Фото")</f>
      </c>
    </row>
    <row r="3999">
      <c r="A3999" s="7">
        <f>HYPERLINK("http://www.lingerieopt.ru/item/2738-klubnoe-plate-s-assimetrichnjm-vjrezom/","2738")</f>
      </c>
      <c r="B3999" s="8" t="s">
        <v>3841</v>
      </c>
      <c r="C3999" s="9">
        <v>806</v>
      </c>
      <c r="D3999" s="0">
        <v>21</v>
      </c>
      <c r="E3999" s="10">
        <f>HYPERLINK("http://www.lingerieopt.ru/images/original/3c3293b7-ef93-4844-9fbb-73ef57300573.jpg","Фото")</f>
      </c>
    </row>
    <row r="4000">
      <c r="A4000" s="7">
        <f>HYPERLINK("http://www.lingerieopt.ru/item/2738-klubnoe-plate-s-assimetrichnjm-vjrezom/","2738")</f>
      </c>
      <c r="B4000" s="8" t="s">
        <v>3842</v>
      </c>
      <c r="C4000" s="9">
        <v>806</v>
      </c>
      <c r="D4000" s="0">
        <v>39</v>
      </c>
      <c r="E4000" s="10">
        <f>HYPERLINK("http://www.lingerieopt.ru/images/original/3c3293b7-ef93-4844-9fbb-73ef57300573.jpg","Фото")</f>
      </c>
    </row>
    <row r="4001">
      <c r="A4001" s="7">
        <f>HYPERLINK("http://www.lingerieopt.ru/item/2738-klubnoe-plate-s-assimetrichnjm-vjrezom/","2738")</f>
      </c>
      <c r="B4001" s="8" t="s">
        <v>3843</v>
      </c>
      <c r="C4001" s="9">
        <v>806</v>
      </c>
      <c r="D4001" s="0">
        <v>10</v>
      </c>
      <c r="E4001" s="10">
        <f>HYPERLINK("http://www.lingerieopt.ru/images/original/3c3293b7-ef93-4844-9fbb-73ef57300573.jpg","Фото")</f>
      </c>
    </row>
    <row r="4002">
      <c r="A4002" s="7">
        <f>HYPERLINK("http://www.lingerieopt.ru/item/2739-klubnoe-plate-s-otkrjtjm-plechom/","2739")</f>
      </c>
      <c r="B4002" s="8" t="s">
        <v>3844</v>
      </c>
      <c r="C4002" s="9">
        <v>868</v>
      </c>
      <c r="D4002" s="0">
        <v>8</v>
      </c>
      <c r="E4002" s="10">
        <f>HYPERLINK("http://www.lingerieopt.ru/images/original/b07b879d-f5a8-4a2b-a2cd-14b6fb055901.jpg","Фото")</f>
      </c>
    </row>
    <row r="4003">
      <c r="A4003" s="7">
        <f>HYPERLINK("http://www.lingerieopt.ru/item/2739-klubnoe-plate-s-otkrjtjm-plechom/","2739")</f>
      </c>
      <c r="B4003" s="8" t="s">
        <v>3845</v>
      </c>
      <c r="C4003" s="9">
        <v>868</v>
      </c>
      <c r="D4003" s="0">
        <v>14</v>
      </c>
      <c r="E4003" s="10">
        <f>HYPERLINK("http://www.lingerieopt.ru/images/original/b07b879d-f5a8-4a2b-a2cd-14b6fb055901.jpg","Фото")</f>
      </c>
    </row>
    <row r="4004">
      <c r="A4004" s="7">
        <f>HYPERLINK("http://www.lingerieopt.ru/item/2749-oblegayuschee-plate-s-prozrachnjmi-vstavkami-na-spine/","2749")</f>
      </c>
      <c r="B4004" s="8" t="s">
        <v>3846</v>
      </c>
      <c r="C4004" s="9">
        <v>1046</v>
      </c>
      <c r="D4004" s="0">
        <v>0</v>
      </c>
      <c r="E4004" s="10">
        <f>HYPERLINK("http://www.lingerieopt.ru/images/original/9f71f308-9437-4dc9-986e-a99fb6dbe8d9.jpg","Фото")</f>
      </c>
    </row>
    <row r="4005">
      <c r="A4005" s="7">
        <f>HYPERLINK("http://www.lingerieopt.ru/item/2749-oblegayuschee-plate-s-prozrachnjmi-vstavkami-na-spine/","2749")</f>
      </c>
      <c r="B4005" s="8" t="s">
        <v>3847</v>
      </c>
      <c r="C4005" s="9">
        <v>1046</v>
      </c>
      <c r="D4005" s="0">
        <v>15</v>
      </c>
      <c r="E4005" s="10">
        <f>HYPERLINK("http://www.lingerieopt.ru/images/original/9f71f308-9437-4dc9-986e-a99fb6dbe8d9.jpg","Фото")</f>
      </c>
    </row>
    <row r="4006">
      <c r="A4006" s="7">
        <f>HYPERLINK("http://www.lingerieopt.ru/item/2750-plate-s-vstavkoi-serdechkom-i-otkrjtoi-spinoi/","2750")</f>
      </c>
      <c r="B4006" s="8" t="s">
        <v>3848</v>
      </c>
      <c r="C4006" s="9">
        <v>1046</v>
      </c>
      <c r="D4006" s="0">
        <v>4</v>
      </c>
      <c r="E4006" s="10">
        <f>HYPERLINK("http://www.lingerieopt.ru/images/original/0c1a4979-4499-46d7-a404-079df90e437a.jpg","Фото")</f>
      </c>
    </row>
    <row r="4007">
      <c r="A4007" s="7">
        <f>HYPERLINK("http://www.lingerieopt.ru/item/2751-plate-s-otkrjtjm-plechom/","2751")</f>
      </c>
      <c r="B4007" s="8" t="s">
        <v>3849</v>
      </c>
      <c r="C4007" s="9">
        <v>1262</v>
      </c>
      <c r="D4007" s="0">
        <v>3</v>
      </c>
      <c r="E4007" s="10">
        <f>HYPERLINK("http://www.lingerieopt.ru/images/original/f5a45d6f-8291-475d-a6f4-07d082d2b422.jpg","Фото")</f>
      </c>
    </row>
    <row r="4008">
      <c r="A4008" s="7">
        <f>HYPERLINK("http://www.lingerieopt.ru/item/2820-plate-setka-v-polosku/","2820")</f>
      </c>
      <c r="B4008" s="8" t="s">
        <v>3850</v>
      </c>
      <c r="C4008" s="9">
        <v>448</v>
      </c>
      <c r="D4008" s="0">
        <v>26</v>
      </c>
      <c r="E4008" s="10">
        <f>HYPERLINK("http://www.lingerieopt.ru/images/original/cc060083-7e73-4f97-b463-b258437fc7c3.jpg","Фото")</f>
      </c>
    </row>
    <row r="4009">
      <c r="A4009" s="7">
        <f>HYPERLINK("http://www.lingerieopt.ru/item/3097-chernoe-mini-plate-adelis/","3097")</f>
      </c>
      <c r="B4009" s="8" t="s">
        <v>3851</v>
      </c>
      <c r="C4009" s="9">
        <v>1540</v>
      </c>
      <c r="D4009" s="0">
        <v>2</v>
      </c>
      <c r="E4009" s="10">
        <f>HYPERLINK("http://www.lingerieopt.ru/images/original/24673cd2-990f-4148-870f-ebd637350ad0.jpg","Фото")</f>
      </c>
    </row>
    <row r="4010">
      <c r="A4010" s="7">
        <f>HYPERLINK("http://www.lingerieopt.ru/item/3097-chernoe-mini-plate-adelis/","3097")</f>
      </c>
      <c r="B4010" s="8" t="s">
        <v>3852</v>
      </c>
      <c r="C4010" s="9">
        <v>1540</v>
      </c>
      <c r="D4010" s="0">
        <v>8</v>
      </c>
      <c r="E4010" s="10">
        <f>HYPERLINK("http://www.lingerieopt.ru/images/original/24673cd2-990f-4148-870f-ebd637350ad0.jpg","Фото")</f>
      </c>
    </row>
    <row r="4011">
      <c r="A4011" s="7">
        <f>HYPERLINK("http://www.lingerieopt.ru/item/3198-oblegayuschaya-sorochka-mayah-s-dvuhcvetnjm-kruzhevom-pod-lifom/","3198")</f>
      </c>
      <c r="B4011" s="8" t="s">
        <v>3853</v>
      </c>
      <c r="C4011" s="9">
        <v>2100</v>
      </c>
      <c r="D4011" s="0">
        <v>4</v>
      </c>
      <c r="E4011" s="10">
        <f>HYPERLINK("http://www.lingerieopt.ru/images/original/308ab31a-00f8-4069-9176-ee5459d3a24e.jpg","Фото")</f>
      </c>
    </row>
    <row r="4012">
      <c r="A4012" s="7">
        <f>HYPERLINK("http://www.lingerieopt.ru/item/3198-oblegayuschaya-sorochka-mayah-s-dvuhcvetnjm-kruzhevom-pod-lifom/","3198")</f>
      </c>
      <c r="B4012" s="8" t="s">
        <v>3854</v>
      </c>
      <c r="C4012" s="9">
        <v>2100</v>
      </c>
      <c r="D4012" s="0">
        <v>0</v>
      </c>
      <c r="E4012" s="10">
        <f>HYPERLINK("http://www.lingerieopt.ru/images/original/308ab31a-00f8-4069-9176-ee5459d3a24e.jpg","Фото")</f>
      </c>
    </row>
    <row r="4013">
      <c r="A4013" s="7">
        <f>HYPERLINK("http://www.lingerieopt.ru/item/3418-kruzhevnoe-plate-dressita/","3418")</f>
      </c>
      <c r="B4013" s="8" t="s">
        <v>3855</v>
      </c>
      <c r="C4013" s="9">
        <v>1736</v>
      </c>
      <c r="D4013" s="0">
        <v>0</v>
      </c>
      <c r="E4013" s="10">
        <f>HYPERLINK("http://www.lingerieopt.ru/images/original/665d2e74-4693-4377-9d47-db9a6fd2b67a.jpg","Фото")</f>
      </c>
    </row>
    <row r="4014">
      <c r="A4014" s="7">
        <f>HYPERLINK("http://www.lingerieopt.ru/item/3418-kruzhevnoe-plate-dressita/","3418")</f>
      </c>
      <c r="B4014" s="8" t="s">
        <v>3856</v>
      </c>
      <c r="C4014" s="9">
        <v>1736</v>
      </c>
      <c r="D4014" s="0">
        <v>0</v>
      </c>
      <c r="E4014" s="10">
        <f>HYPERLINK("http://www.lingerieopt.ru/images/original/665d2e74-4693-4377-9d47-db9a6fd2b67a.jpg","Фото")</f>
      </c>
    </row>
    <row r="4015">
      <c r="A4015" s="7">
        <f>HYPERLINK("http://www.lingerieopt.ru/item/3418-kruzhevnoe-plate-dressita/","3418")</f>
      </c>
      <c r="B4015" s="8" t="s">
        <v>3857</v>
      </c>
      <c r="C4015" s="9">
        <v>1736</v>
      </c>
      <c r="D4015" s="0">
        <v>3</v>
      </c>
      <c r="E4015" s="10">
        <f>HYPERLINK("http://www.lingerieopt.ru/images/original/665d2e74-4693-4377-9d47-db9a6fd2b67a.jpg","Фото")</f>
      </c>
    </row>
    <row r="4016">
      <c r="A4016" s="7">
        <f>HYPERLINK("http://www.lingerieopt.ru/item/3418-kruzhevnoe-plate-dressita/","3418")</f>
      </c>
      <c r="B4016" s="8" t="s">
        <v>3858</v>
      </c>
      <c r="C4016" s="9">
        <v>1736</v>
      </c>
      <c r="D4016" s="0">
        <v>0</v>
      </c>
      <c r="E4016" s="10">
        <f>HYPERLINK("http://www.lingerieopt.ru/images/original/665d2e74-4693-4377-9d47-db9a6fd2b67a.jpg","Фото")</f>
      </c>
    </row>
    <row r="4017">
      <c r="A4017" s="7">
        <f>HYPERLINK("http://www.lingerieopt.ru/item/3443-ultrakorotkoe-plate-iz-prozrachnoi-setki/","3443")</f>
      </c>
      <c r="B4017" s="8" t="s">
        <v>3859</v>
      </c>
      <c r="C4017" s="9">
        <v>710</v>
      </c>
      <c r="D4017" s="0">
        <v>0</v>
      </c>
      <c r="E4017" s="10">
        <f>HYPERLINK("http://www.lingerieopt.ru/images/original/bceae8ae-79ae-448b-8293-361ed63213c2.jpg","Фото")</f>
      </c>
    </row>
    <row r="4018">
      <c r="A4018" s="7">
        <f>HYPERLINK("http://www.lingerieopt.ru/item/3443-ultrakorotkoe-plate-iz-prozrachnoi-setki/","3443")</f>
      </c>
      <c r="B4018" s="8" t="s">
        <v>3860</v>
      </c>
      <c r="C4018" s="9">
        <v>710</v>
      </c>
      <c r="D4018" s="0">
        <v>30</v>
      </c>
      <c r="E4018" s="10">
        <f>HYPERLINK("http://www.lingerieopt.ru/images/original/bceae8ae-79ae-448b-8293-361ed63213c2.jpg","Фото")</f>
      </c>
    </row>
    <row r="4019">
      <c r="A4019" s="7">
        <f>HYPERLINK("http://www.lingerieopt.ru/item/3443-ultrakorotkoe-plate-iz-prozrachnoi-setki/","3443")</f>
      </c>
      <c r="B4019" s="8" t="s">
        <v>3861</v>
      </c>
      <c r="C4019" s="9">
        <v>710</v>
      </c>
      <c r="D4019" s="0">
        <v>31</v>
      </c>
      <c r="E4019" s="10">
        <f>HYPERLINK("http://www.lingerieopt.ru/images/original/bceae8ae-79ae-448b-8293-361ed63213c2.jpg","Фото")</f>
      </c>
    </row>
    <row r="4020">
      <c r="A4020" s="7">
        <f>HYPERLINK("http://www.lingerieopt.ru/item/3459-setchatoe-plate-s-plotnjmi-vstavkami-po-bokam/","3459")</f>
      </c>
      <c r="B4020" s="8" t="s">
        <v>3862</v>
      </c>
      <c r="C4020" s="9">
        <v>684</v>
      </c>
      <c r="D4020" s="0">
        <v>6</v>
      </c>
      <c r="E4020" s="10">
        <f>HYPERLINK("http://www.lingerieopt.ru/images/original/eca29f7f-db5f-4119-acdf-e00d3e42b33d.jpg","Фото")</f>
      </c>
    </row>
    <row r="4021">
      <c r="A4021" s="7">
        <f>HYPERLINK("http://www.lingerieopt.ru/item/3459-setchatoe-plate-s-plotnjmi-vstavkami-po-bokam/","3459")</f>
      </c>
      <c r="B4021" s="8" t="s">
        <v>3863</v>
      </c>
      <c r="C4021" s="9">
        <v>684</v>
      </c>
      <c r="D4021" s="0">
        <v>0</v>
      </c>
      <c r="E4021" s="10">
        <f>HYPERLINK("http://www.lingerieopt.ru/images/original/eca29f7f-db5f-4119-acdf-e00d3e42b33d.jpg","Фото")</f>
      </c>
    </row>
    <row r="4022">
      <c r="A4022" s="7">
        <f>HYPERLINK("http://www.lingerieopt.ru/item/3460-plate-bez-bretelei-so-sverkayuschei-nadpisyu-hustler-na-pravom-bedre/","3460")</f>
      </c>
      <c r="B4022" s="8" t="s">
        <v>3864</v>
      </c>
      <c r="C4022" s="9">
        <v>254</v>
      </c>
      <c r="D4022" s="0">
        <v>0</v>
      </c>
      <c r="E4022" s="10">
        <f>HYPERLINK("http://www.lingerieopt.ru/images/original/0076f2ab-a0eb-4c10-ac4a-8d3ba9ae29cf.jpg","Фото")</f>
      </c>
    </row>
    <row r="4023">
      <c r="A4023" s="7">
        <f>HYPERLINK("http://www.lingerieopt.ru/item/3460-plate-bez-bretelei-so-sverkayuschei-nadpisyu-hustler-na-pravom-bedre/","3460")</f>
      </c>
      <c r="B4023" s="8" t="s">
        <v>3865</v>
      </c>
      <c r="C4023" s="9">
        <v>254</v>
      </c>
      <c r="D4023" s="0">
        <v>0</v>
      </c>
      <c r="E4023" s="10">
        <f>HYPERLINK("http://www.lingerieopt.ru/images/original/0076f2ab-a0eb-4c10-ac4a-8d3ba9ae29cf.jpg","Фото")</f>
      </c>
    </row>
    <row r="4024">
      <c r="A4024" s="7">
        <f>HYPERLINK("http://www.lingerieopt.ru/item/3460-plate-bez-bretelei-so-sverkayuschei-nadpisyu-hustler-na-pravom-bedre/","3460")</f>
      </c>
      <c r="B4024" s="8" t="s">
        <v>3866</v>
      </c>
      <c r="C4024" s="9">
        <v>254</v>
      </c>
      <c r="D4024" s="0">
        <v>1</v>
      </c>
      <c r="E4024" s="10">
        <f>HYPERLINK("http://www.lingerieopt.ru/images/original/0076f2ab-a0eb-4c10-ac4a-8d3ba9ae29cf.jpg","Фото")</f>
      </c>
    </row>
    <row r="4025">
      <c r="A4025" s="7">
        <f>HYPERLINK("http://www.lingerieopt.ru/item/3460-plate-bez-bretelei-so-sverkayuschei-nadpisyu-hustler-na-pravom-bedre/","3460")</f>
      </c>
      <c r="B4025" s="8" t="s">
        <v>3867</v>
      </c>
      <c r="C4025" s="9">
        <v>254</v>
      </c>
      <c r="D4025" s="0">
        <v>0</v>
      </c>
      <c r="E4025" s="10">
        <f>HYPERLINK("http://www.lingerieopt.ru/images/original/0076f2ab-a0eb-4c10-ac4a-8d3ba9ae29cf.jpg","Фото")</f>
      </c>
    </row>
    <row r="4026">
      <c r="A4026" s="7">
        <f>HYPERLINK("http://www.lingerieopt.ru/item/3460-plate-bez-bretelei-so-sverkayuschei-nadpisyu-hustler-na-pravom-bedre/","3460")</f>
      </c>
      <c r="B4026" s="8" t="s">
        <v>3868</v>
      </c>
      <c r="C4026" s="9">
        <v>254</v>
      </c>
      <c r="D4026" s="0">
        <v>0</v>
      </c>
      <c r="E4026" s="10">
        <f>HYPERLINK("http://www.lingerieopt.ru/images/original/0076f2ab-a0eb-4c10-ac4a-8d3ba9ae29cf.jpg","Фото")</f>
      </c>
    </row>
    <row r="4027">
      <c r="A4027" s="7">
        <f>HYPERLINK("http://www.lingerieopt.ru/item/3460-plate-bez-bretelei-so-sverkayuschei-nadpisyu-hustler-na-pravom-bedre/","3460")</f>
      </c>
      <c r="B4027" s="8" t="s">
        <v>3869</v>
      </c>
      <c r="C4027" s="9">
        <v>254</v>
      </c>
      <c r="D4027" s="0">
        <v>0</v>
      </c>
      <c r="E4027" s="10">
        <f>HYPERLINK("http://www.lingerieopt.ru/images/original/0076f2ab-a0eb-4c10-ac4a-8d3ba9ae29cf.jpg","Фото")</f>
      </c>
    </row>
    <row r="4028">
      <c r="A4028" s="7">
        <f>HYPERLINK("http://www.lingerieopt.ru/item/3581-poluprozrachnoe-plate-s-azhurnoi-otorochkoi/","3581")</f>
      </c>
      <c r="B4028" s="8" t="s">
        <v>3870</v>
      </c>
      <c r="C4028" s="9">
        <v>1326</v>
      </c>
      <c r="D4028" s="0">
        <v>30</v>
      </c>
      <c r="E4028" s="10">
        <f>HYPERLINK("http://www.lingerieopt.ru/images/original/6ed30633-2866-4d2b-9954-4982424cf168.jpg","Фото")</f>
      </c>
    </row>
    <row r="4029">
      <c r="A4029" s="7">
        <f>HYPERLINK("http://www.lingerieopt.ru/item/3594-plate-iz-setki-s-neprozrachnjmi-elementami/","3594")</f>
      </c>
      <c r="B4029" s="8" t="s">
        <v>3871</v>
      </c>
      <c r="C4029" s="9">
        <v>1351</v>
      </c>
      <c r="D4029" s="0">
        <v>1</v>
      </c>
      <c r="E4029" s="10">
        <f>HYPERLINK("http://www.lingerieopt.ru/images/original/144b6661-f791-4e97-af96-1b3bc132e7e5.jpg","Фото")</f>
      </c>
    </row>
    <row r="4030">
      <c r="A4030" s="7">
        <f>HYPERLINK("http://www.lingerieopt.ru/item/3595-chernoe-plate-s-metallicheskim-kolcom/","3595")</f>
      </c>
      <c r="B4030" s="8" t="s">
        <v>3872</v>
      </c>
      <c r="C4030" s="9">
        <v>1289</v>
      </c>
      <c r="D4030" s="0">
        <v>30</v>
      </c>
      <c r="E4030" s="10">
        <f>HYPERLINK("http://www.lingerieopt.ru/images/original/79c6b604-80d4-4643-924d-812258be9f4b.jpg","Фото")</f>
      </c>
    </row>
    <row r="4031">
      <c r="A4031" s="7">
        <f>HYPERLINK("http://www.lingerieopt.ru/item/3646-vechernee-plate-v-pol-s-naryadnjm-dekolte/","3646")</f>
      </c>
      <c r="B4031" s="8" t="s">
        <v>3873</v>
      </c>
      <c r="C4031" s="9">
        <v>3391</v>
      </c>
      <c r="D4031" s="0">
        <v>6</v>
      </c>
      <c r="E4031" s="10">
        <f>HYPERLINK("http://www.lingerieopt.ru/images/original/5999069f-2f43-4010-a13d-7a16c2d8c3f6.jpg","Фото")</f>
      </c>
    </row>
    <row r="4032">
      <c r="A4032" s="7">
        <f>HYPERLINK("http://www.lingerieopt.ru/item/3646-vechernee-plate-v-pol-s-naryadnjm-dekolte/","3646")</f>
      </c>
      <c r="B4032" s="8" t="s">
        <v>3874</v>
      </c>
      <c r="C4032" s="9">
        <v>3391</v>
      </c>
      <c r="D4032" s="0">
        <v>30</v>
      </c>
      <c r="E4032" s="10">
        <f>HYPERLINK("http://www.lingerieopt.ru/images/original/5999069f-2f43-4010-a13d-7a16c2d8c3f6.jpg","Фото")</f>
      </c>
    </row>
    <row r="4033">
      <c r="A4033" s="7">
        <f>HYPERLINK("http://www.lingerieopt.ru/item/3648-chernoe-vechernee-plate-v-pol-s-otkrjtoi-spinoi/","3648")</f>
      </c>
      <c r="B4033" s="8" t="s">
        <v>3875</v>
      </c>
      <c r="C4033" s="9">
        <v>3391</v>
      </c>
      <c r="D4033" s="0">
        <v>30</v>
      </c>
      <c r="E4033" s="10">
        <f>HYPERLINK("http://www.lingerieopt.ru/images/original/ebb0f920-37e2-436b-9de8-37ca6beb9553.jpg","Фото")</f>
      </c>
    </row>
    <row r="4034">
      <c r="A4034" s="7">
        <f>HYPERLINK("http://www.lingerieopt.ru/item/3648-chernoe-vechernee-plate-v-pol-s-otkrjtoi-spinoi/","3648")</f>
      </c>
      <c r="B4034" s="8" t="s">
        <v>3876</v>
      </c>
      <c r="C4034" s="9">
        <v>3391</v>
      </c>
      <c r="D4034" s="0">
        <v>6</v>
      </c>
      <c r="E4034" s="10">
        <f>HYPERLINK("http://www.lingerieopt.ru/images/original/ebb0f920-37e2-436b-9de8-37ca6beb9553.jpg","Фото")</f>
      </c>
    </row>
    <row r="4035">
      <c r="A4035" s="7">
        <f>HYPERLINK("http://www.lingerieopt.ru/item/3649-vechernee-rozovoe-plate-v-pol/","3649")</f>
      </c>
      <c r="B4035" s="8" t="s">
        <v>3877</v>
      </c>
      <c r="C4035" s="9">
        <v>3391</v>
      </c>
      <c r="D4035" s="0">
        <v>6</v>
      </c>
      <c r="E4035" s="10">
        <f>HYPERLINK("http://www.lingerieopt.ru/images/original/848b1d05-914f-435e-89cb-3b7f4ba61ddd.jpg","Фото")</f>
      </c>
    </row>
    <row r="4036">
      <c r="A4036" s="7">
        <f>HYPERLINK("http://www.lingerieopt.ru/item/3649-vechernee-rozovoe-plate-v-pol/","3649")</f>
      </c>
      <c r="B4036" s="8" t="s">
        <v>3878</v>
      </c>
      <c r="C4036" s="9">
        <v>3391</v>
      </c>
      <c r="D4036" s="0">
        <v>30</v>
      </c>
      <c r="E4036" s="10">
        <f>HYPERLINK("http://www.lingerieopt.ru/images/original/848b1d05-914f-435e-89cb-3b7f4ba61ddd.jpg","Фото")</f>
      </c>
    </row>
    <row r="4037">
      <c r="A4037" s="7">
        <f>HYPERLINK("http://www.lingerieopt.ru/item/3650-vechernee-chernoe-plate-v-pol/","3650")</f>
      </c>
      <c r="B4037" s="8" t="s">
        <v>3879</v>
      </c>
      <c r="C4037" s="9">
        <v>3391</v>
      </c>
      <c r="D4037" s="0">
        <v>6</v>
      </c>
      <c r="E4037" s="10">
        <f>HYPERLINK("http://www.lingerieopt.ru/images/original/0d1be57c-fe9a-403b-8ded-80b108316f76.jpg","Фото")</f>
      </c>
    </row>
    <row r="4038">
      <c r="A4038" s="7">
        <f>HYPERLINK("http://www.lingerieopt.ru/item/3650-vechernee-chernoe-plate-v-pol/","3650")</f>
      </c>
      <c r="B4038" s="8" t="s">
        <v>3880</v>
      </c>
      <c r="C4038" s="9">
        <v>3391</v>
      </c>
      <c r="D4038" s="0">
        <v>6</v>
      </c>
      <c r="E4038" s="10">
        <f>HYPERLINK("http://www.lingerieopt.ru/images/original/0d1be57c-fe9a-403b-8ded-80b108316f76.jpg","Фото")</f>
      </c>
    </row>
    <row r="4039">
      <c r="A4039" s="7">
        <f>HYPERLINK("http://www.lingerieopt.ru/item/3655-roskoshnoe-plate-cveta-fuksii-s-bretelyu-cherez-sheyu/","3655")</f>
      </c>
      <c r="B4039" s="8" t="s">
        <v>3881</v>
      </c>
      <c r="C4039" s="9">
        <v>3253</v>
      </c>
      <c r="D4039" s="0">
        <v>0</v>
      </c>
      <c r="E4039" s="10">
        <f>HYPERLINK("http://www.lingerieopt.ru/images/original/0774831e-aba1-469a-b44c-450ff4ee3864.jpg","Фото")</f>
      </c>
    </row>
    <row r="4040">
      <c r="A4040" s="7">
        <f>HYPERLINK("http://www.lingerieopt.ru/item/3655-roskoshnoe-plate-cveta-fuksii-s-bretelyu-cherez-sheyu/","3655")</f>
      </c>
      <c r="B4040" s="8" t="s">
        <v>3882</v>
      </c>
      <c r="C4040" s="9">
        <v>3253</v>
      </c>
      <c r="D4040" s="0">
        <v>3</v>
      </c>
      <c r="E4040" s="10">
        <f>HYPERLINK("http://www.lingerieopt.ru/images/original/0774831e-aba1-469a-b44c-450ff4ee3864.jpg","Фото")</f>
      </c>
    </row>
    <row r="4041">
      <c r="A4041" s="7">
        <f>HYPERLINK("http://www.lingerieopt.ru/item/3655-roskoshnoe-plate-cveta-fuksii-s-bretelyu-cherez-sheyu/","3655")</f>
      </c>
      <c r="B4041" s="8" t="s">
        <v>3883</v>
      </c>
      <c r="C4041" s="9">
        <v>3253</v>
      </c>
      <c r="D4041" s="0">
        <v>1</v>
      </c>
      <c r="E4041" s="10">
        <f>HYPERLINK("http://www.lingerieopt.ru/images/original/0774831e-aba1-469a-b44c-450ff4ee3864.jpg","Фото")</f>
      </c>
    </row>
    <row r="4042">
      <c r="A4042" s="7">
        <f>HYPERLINK("http://www.lingerieopt.ru/item/3658-kombinirovannoe-plate-pod-zolotogo-leoparda/","3658")</f>
      </c>
      <c r="B4042" s="8" t="s">
        <v>3884</v>
      </c>
      <c r="C4042" s="9">
        <v>2807</v>
      </c>
      <c r="D4042" s="0">
        <v>6</v>
      </c>
      <c r="E4042" s="10">
        <f>HYPERLINK("http://www.lingerieopt.ru/images/original/0ef9d407-72e4-4140-bb47-fbdbb7c7f5d6.jpg","Фото")</f>
      </c>
    </row>
    <row r="4043">
      <c r="A4043" s="7">
        <f>HYPERLINK("http://www.lingerieopt.ru/item/3658-kombinirovannoe-plate-pod-zolotogo-leoparda/","3658")</f>
      </c>
      <c r="B4043" s="8" t="s">
        <v>3885</v>
      </c>
      <c r="C4043" s="9">
        <v>2807</v>
      </c>
      <c r="D4043" s="0">
        <v>1</v>
      </c>
      <c r="E4043" s="10">
        <f>HYPERLINK("http://www.lingerieopt.ru/images/original/0ef9d407-72e4-4140-bb47-fbdbb7c7f5d6.jpg","Фото")</f>
      </c>
    </row>
    <row r="4044">
      <c r="A4044" s="7">
        <f>HYPERLINK("http://www.lingerieopt.ru/item/3658-kombinirovannoe-plate-pod-zolotogo-leoparda/","3658")</f>
      </c>
      <c r="B4044" s="8" t="s">
        <v>3886</v>
      </c>
      <c r="C4044" s="9">
        <v>2807</v>
      </c>
      <c r="D4044" s="0">
        <v>6</v>
      </c>
      <c r="E4044" s="10">
        <f>HYPERLINK("http://www.lingerieopt.ru/images/original/0ef9d407-72e4-4140-bb47-fbdbb7c7f5d6.jpg","Фото")</f>
      </c>
    </row>
    <row r="4045">
      <c r="A4045" s="7">
        <f>HYPERLINK("http://www.lingerieopt.ru/item/3659-oblegayuschee-rozovo-chernoe-plate/","3659")</f>
      </c>
      <c r="B4045" s="8" t="s">
        <v>3887</v>
      </c>
      <c r="C4045" s="9">
        <v>1508</v>
      </c>
      <c r="D4045" s="0">
        <v>0</v>
      </c>
      <c r="E4045" s="10">
        <f>HYPERLINK("http://www.lingerieopt.ru/images/original/0018010d-4446-4a7c-a004-249fa78b9209.jpg","Фото")</f>
      </c>
    </row>
    <row r="4046">
      <c r="A4046" s="7">
        <f>HYPERLINK("http://www.lingerieopt.ru/item/3659-oblegayuschee-rozovo-chernoe-plate/","3659")</f>
      </c>
      <c r="B4046" s="8" t="s">
        <v>3888</v>
      </c>
      <c r="C4046" s="9">
        <v>1508</v>
      </c>
      <c r="D4046" s="0">
        <v>6</v>
      </c>
      <c r="E4046" s="10">
        <f>HYPERLINK("http://www.lingerieopt.ru/images/original/0018010d-4446-4a7c-a004-249fa78b9209.jpg","Фото")</f>
      </c>
    </row>
    <row r="4047">
      <c r="A4047" s="7">
        <f>HYPERLINK("http://www.lingerieopt.ru/item/3659-oblegayuschee-rozovo-chernoe-plate/","3659")</f>
      </c>
      <c r="B4047" s="8" t="s">
        <v>3889</v>
      </c>
      <c r="C4047" s="9">
        <v>1508</v>
      </c>
      <c r="D4047" s="0">
        <v>0</v>
      </c>
      <c r="E4047" s="10">
        <f>HYPERLINK("http://www.lingerieopt.ru/images/original/0018010d-4446-4a7c-a004-249fa78b9209.jpg","Фото")</f>
      </c>
    </row>
    <row r="4048">
      <c r="A4048" s="7">
        <f>HYPERLINK("http://www.lingerieopt.ru/item/3660-leopardovoe-plate-rasshitoe-paietkami/","3660")</f>
      </c>
      <c r="B4048" s="8" t="s">
        <v>3890</v>
      </c>
      <c r="C4048" s="9">
        <v>2249</v>
      </c>
      <c r="D4048" s="0">
        <v>0</v>
      </c>
      <c r="E4048" s="10">
        <f>HYPERLINK("http://www.lingerieopt.ru/images/original/41240bad-40c9-48e4-b0c9-ade567d9d097.jpg","Фото")</f>
      </c>
    </row>
    <row r="4049">
      <c r="A4049" s="7">
        <f>HYPERLINK("http://www.lingerieopt.ru/item/3660-leopardovoe-plate-rasshitoe-paietkami/","3660")</f>
      </c>
      <c r="B4049" s="8" t="s">
        <v>3891</v>
      </c>
      <c r="C4049" s="9">
        <v>2249</v>
      </c>
      <c r="D4049" s="0">
        <v>3</v>
      </c>
      <c r="E4049" s="10">
        <f>HYPERLINK("http://www.lingerieopt.ru/images/original/41240bad-40c9-48e4-b0c9-ade567d9d097.jpg","Фото")</f>
      </c>
    </row>
    <row r="4050">
      <c r="A4050" s="7">
        <f>HYPERLINK("http://www.lingerieopt.ru/item/3660-leopardovoe-plate-rasshitoe-paietkami/","3660")</f>
      </c>
      <c r="B4050" s="8" t="s">
        <v>3892</v>
      </c>
      <c r="C4050" s="9">
        <v>2249</v>
      </c>
      <c r="D4050" s="0">
        <v>3</v>
      </c>
      <c r="E4050" s="10">
        <f>HYPERLINK("http://www.lingerieopt.ru/images/original/41240bad-40c9-48e4-b0c9-ade567d9d097.jpg","Фото")</f>
      </c>
    </row>
    <row r="4051">
      <c r="A4051" s="7">
        <f>HYPERLINK("http://www.lingerieopt.ru/item/3661-rozovoe-plate-bando-rasshitoe-paietkami/","3661")</f>
      </c>
      <c r="B4051" s="8" t="s">
        <v>3893</v>
      </c>
      <c r="C4051" s="9">
        <v>3628</v>
      </c>
      <c r="D4051" s="0">
        <v>6</v>
      </c>
      <c r="E4051" s="10">
        <f>HYPERLINK("http://www.lingerieopt.ru/images/original/d80b660e-f217-4704-b51f-0a5c71f59794.jpg","Фото")</f>
      </c>
    </row>
    <row r="4052">
      <c r="A4052" s="7">
        <f>HYPERLINK("http://www.lingerieopt.ru/item/3661-rozovoe-plate-bando-rasshitoe-paietkami/","3661")</f>
      </c>
      <c r="B4052" s="8" t="s">
        <v>3894</v>
      </c>
      <c r="C4052" s="9">
        <v>3628</v>
      </c>
      <c r="D4052" s="0">
        <v>1</v>
      </c>
      <c r="E4052" s="10">
        <f>HYPERLINK("http://www.lingerieopt.ru/images/original/d80b660e-f217-4704-b51f-0a5c71f59794.jpg","Фото")</f>
      </c>
    </row>
    <row r="4053">
      <c r="A4053" s="7">
        <f>HYPERLINK("http://www.lingerieopt.ru/item/3661-rozovoe-plate-bando-rasshitoe-paietkami/","3661")</f>
      </c>
      <c r="B4053" s="8" t="s">
        <v>3895</v>
      </c>
      <c r="C4053" s="9">
        <v>3628</v>
      </c>
      <c r="D4053" s="0">
        <v>6</v>
      </c>
      <c r="E4053" s="10">
        <f>HYPERLINK("http://www.lingerieopt.ru/images/original/d80b660e-f217-4704-b51f-0a5c71f59794.jpg","Фото")</f>
      </c>
    </row>
    <row r="4054">
      <c r="A4054" s="7">
        <f>HYPERLINK("http://www.lingerieopt.ru/item/3662-chernoe-plate-bando-rasshitoe-paietkami/","3662")</f>
      </c>
      <c r="B4054" s="8" t="s">
        <v>3896</v>
      </c>
      <c r="C4054" s="9">
        <v>3628</v>
      </c>
      <c r="D4054" s="0">
        <v>1</v>
      </c>
      <c r="E4054" s="10">
        <f>HYPERLINK("http://www.lingerieopt.ru/images/original/796f7099-0e0c-40ba-9193-6b24d2bc5470.jpg","Фото")</f>
      </c>
    </row>
    <row r="4055">
      <c r="A4055" s="7">
        <f>HYPERLINK("http://www.lingerieopt.ru/item/3662-chernoe-plate-bando-rasshitoe-paietkami/","3662")</f>
      </c>
      <c r="B4055" s="8" t="s">
        <v>3897</v>
      </c>
      <c r="C4055" s="9">
        <v>3628</v>
      </c>
      <c r="D4055" s="0">
        <v>0</v>
      </c>
      <c r="E4055" s="10">
        <f>HYPERLINK("http://www.lingerieopt.ru/images/original/796f7099-0e0c-40ba-9193-6b24d2bc5470.jpg","Фото")</f>
      </c>
    </row>
    <row r="4056">
      <c r="A4056" s="7">
        <f>HYPERLINK("http://www.lingerieopt.ru/item/3662-chernoe-plate-bando-rasshitoe-paietkami/","3662")</f>
      </c>
      <c r="B4056" s="8" t="s">
        <v>3898</v>
      </c>
      <c r="C4056" s="9">
        <v>3628</v>
      </c>
      <c r="D4056" s="0">
        <v>0</v>
      </c>
      <c r="E4056" s="10">
        <f>HYPERLINK("http://www.lingerieopt.ru/images/original/796f7099-0e0c-40ba-9193-6b24d2bc5470.jpg","Фото")</f>
      </c>
    </row>
    <row r="4057">
      <c r="A4057" s="7">
        <f>HYPERLINK("http://www.lingerieopt.ru/item/3664-oblegayuschee-klubnoe-plate-s-prozrachnoi-vstavkoi/","3664")</f>
      </c>
      <c r="B4057" s="8" t="s">
        <v>3899</v>
      </c>
      <c r="C4057" s="9">
        <v>2845</v>
      </c>
      <c r="D4057" s="0">
        <v>1</v>
      </c>
      <c r="E4057" s="10">
        <f>HYPERLINK("http://www.lingerieopt.ru/images/original/38f81f7f-ac6b-40ca-b085-faa4040c7902.jpg","Фото")</f>
      </c>
    </row>
    <row r="4058">
      <c r="A4058" s="7">
        <f>HYPERLINK("http://www.lingerieopt.ru/item/3664-oblegayuschee-klubnoe-plate-s-prozrachnoi-vstavkoi/","3664")</f>
      </c>
      <c r="B4058" s="8" t="s">
        <v>3900</v>
      </c>
      <c r="C4058" s="9">
        <v>2845</v>
      </c>
      <c r="D4058" s="0">
        <v>6</v>
      </c>
      <c r="E4058" s="10">
        <f>HYPERLINK("http://www.lingerieopt.ru/images/original/38f81f7f-ac6b-40ca-b085-faa4040c7902.jpg","Фото")</f>
      </c>
    </row>
    <row r="4059">
      <c r="A4059" s="7">
        <f>HYPERLINK("http://www.lingerieopt.ru/item/3664-oblegayuschee-klubnoe-plate-s-prozrachnoi-vstavkoi/","3664")</f>
      </c>
      <c r="B4059" s="8" t="s">
        <v>3901</v>
      </c>
      <c r="C4059" s="9">
        <v>2845</v>
      </c>
      <c r="D4059" s="0">
        <v>6</v>
      </c>
      <c r="E4059" s="10">
        <f>HYPERLINK("http://www.lingerieopt.ru/images/original/38f81f7f-ac6b-40ca-b085-faa4040c7902.jpg","Фото")</f>
      </c>
    </row>
    <row r="4060">
      <c r="A4060" s="7">
        <f>HYPERLINK("http://www.lingerieopt.ru/item/3665-dvucvetnoe-prisborennoe-plate/","3665")</f>
      </c>
      <c r="B4060" s="8" t="s">
        <v>3902</v>
      </c>
      <c r="C4060" s="9">
        <v>3029</v>
      </c>
      <c r="D4060" s="0">
        <v>6</v>
      </c>
      <c r="E4060" s="10">
        <f>HYPERLINK("http://www.lingerieopt.ru/images/original/3c0c98e5-f88a-4995-aa5f-94aed395b168.jpg","Фото")</f>
      </c>
    </row>
    <row r="4061">
      <c r="A4061" s="7">
        <f>HYPERLINK("http://www.lingerieopt.ru/item/3665-dvucvetnoe-prisborennoe-plate/","3665")</f>
      </c>
      <c r="B4061" s="8" t="s">
        <v>3903</v>
      </c>
      <c r="C4061" s="9">
        <v>3029</v>
      </c>
      <c r="D4061" s="0">
        <v>6</v>
      </c>
      <c r="E4061" s="10">
        <f>HYPERLINK("http://www.lingerieopt.ru/images/original/3c0c98e5-f88a-4995-aa5f-94aed395b168.jpg","Фото")</f>
      </c>
    </row>
    <row r="4062">
      <c r="A4062" s="7">
        <f>HYPERLINK("http://www.lingerieopt.ru/item/3665-dvucvetnoe-prisborennoe-plate/","3665")</f>
      </c>
      <c r="B4062" s="8" t="s">
        <v>3904</v>
      </c>
      <c r="C4062" s="9">
        <v>3029</v>
      </c>
      <c r="D4062" s="0">
        <v>7</v>
      </c>
      <c r="E4062" s="10">
        <f>HYPERLINK("http://www.lingerieopt.ru/images/original/3c0c98e5-f88a-4995-aa5f-94aed395b168.jpg","Фото")</f>
      </c>
    </row>
    <row r="4063">
      <c r="A4063" s="7">
        <f>HYPERLINK("http://www.lingerieopt.ru/item/3930-plate-setka-s-bretelyu-na-odno-plecho/","3930")</f>
      </c>
      <c r="B4063" s="8" t="s">
        <v>3905</v>
      </c>
      <c r="C4063" s="9">
        <v>603</v>
      </c>
      <c r="D4063" s="0">
        <v>19</v>
      </c>
      <c r="E4063" s="10">
        <f>HYPERLINK("http://www.lingerieopt.ru/images/original/3f7a04b5-66f0-4711-a420-5042c682256b.jpg","Фото")</f>
      </c>
    </row>
    <row r="4064">
      <c r="A4064" s="7">
        <f>HYPERLINK("http://www.lingerieopt.ru/item/3935-chernoe-azhurnoe-plate-futlyar/","3935")</f>
      </c>
      <c r="B4064" s="8" t="s">
        <v>3906</v>
      </c>
      <c r="C4064" s="9">
        <v>906</v>
      </c>
      <c r="D4064" s="0">
        <v>30</v>
      </c>
      <c r="E4064" s="10">
        <f>HYPERLINK("http://www.lingerieopt.ru/images/original/181b1fbb-27ff-4bc1-8060-0559a12254b2.jpg","Фото")</f>
      </c>
    </row>
    <row r="4065">
      <c r="A4065" s="7">
        <f>HYPERLINK("http://www.lingerieopt.ru/item/3936-chernoe-plate-s-vjrezom-kapelkoi/","3936")</f>
      </c>
      <c r="B4065" s="8" t="s">
        <v>3907</v>
      </c>
      <c r="C4065" s="9">
        <v>1080</v>
      </c>
      <c r="D4065" s="0">
        <v>30</v>
      </c>
      <c r="E4065" s="10">
        <f>HYPERLINK("http://www.lingerieopt.ru/images/original/0863f230-e65e-4f63-8a60-5532f1c76605.jpg","Фото")</f>
      </c>
    </row>
    <row r="4066">
      <c r="A4066" s="7">
        <f>HYPERLINK("http://www.lingerieopt.ru/item/3937-plate-v-krugluyu-setku/","3937")</f>
      </c>
      <c r="B4066" s="8" t="s">
        <v>3908</v>
      </c>
      <c r="C4066" s="9">
        <v>892</v>
      </c>
      <c r="D4066" s="0">
        <v>30</v>
      </c>
      <c r="E4066" s="10">
        <f>HYPERLINK("http://www.lingerieopt.ru/images/original/86cb022b-b4a8-48f8-a57a-7e16c65f54fc.jpg","Фото")</f>
      </c>
    </row>
    <row r="4067">
      <c r="A4067" s="7">
        <f>HYPERLINK("http://www.lingerieopt.ru/item/3940-rozovoe-plate-s-dlinnjmi-rukavami-iz-tonkoi-elastichnoi-setki/","3940")</f>
      </c>
      <c r="B4067" s="8" t="s">
        <v>3909</v>
      </c>
      <c r="C4067" s="9">
        <v>1115</v>
      </c>
      <c r="D4067" s="0">
        <v>30</v>
      </c>
      <c r="E4067" s="10">
        <f>HYPERLINK("http://www.lingerieopt.ru/images/original/0b442b8d-e51a-452b-b572-cae46fba145d.jpg","Фото")</f>
      </c>
    </row>
    <row r="4068">
      <c r="A4068" s="7">
        <f>HYPERLINK("http://www.lingerieopt.ru/item/3944-legkoe-plate-v-krupnuyu-setku/","3944")</f>
      </c>
      <c r="B4068" s="8" t="s">
        <v>3910</v>
      </c>
      <c r="C4068" s="9">
        <v>810</v>
      </c>
      <c r="D4068" s="0">
        <v>6</v>
      </c>
      <c r="E4068" s="10">
        <f>HYPERLINK("http://www.lingerieopt.ru/images/original/13e863bf-c05d-4ae8-aedd-4798b25997e8.jpg","Фото")</f>
      </c>
    </row>
    <row r="4069">
      <c r="A4069" s="7">
        <f>HYPERLINK("http://www.lingerieopt.ru/item/3980-rozovoe-plate-s-bleskom/","3980")</f>
      </c>
      <c r="B4069" s="8" t="s">
        <v>3911</v>
      </c>
      <c r="C4069" s="9">
        <v>2731</v>
      </c>
      <c r="D4069" s="0">
        <v>6</v>
      </c>
      <c r="E4069" s="10">
        <f>HYPERLINK("http://www.lingerieopt.ru/images/original/1da76732-bd73-4579-aec4-f587023d3fc2.jpg","Фото")</f>
      </c>
    </row>
    <row r="4070">
      <c r="A4070" s="7">
        <f>HYPERLINK("http://www.lingerieopt.ru/item/3980-rozovoe-plate-s-bleskom/","3980")</f>
      </c>
      <c r="B4070" s="8" t="s">
        <v>3912</v>
      </c>
      <c r="C4070" s="9">
        <v>2731</v>
      </c>
      <c r="D4070" s="0">
        <v>7</v>
      </c>
      <c r="E4070" s="10">
        <f>HYPERLINK("http://www.lingerieopt.ru/images/original/1da76732-bd73-4579-aec4-f587023d3fc2.jpg","Фото")</f>
      </c>
    </row>
    <row r="4071">
      <c r="A4071" s="7">
        <f>HYPERLINK("http://www.lingerieopt.ru/item/3980-rozovoe-plate-s-bleskom/","3980")</f>
      </c>
      <c r="B4071" s="8" t="s">
        <v>3913</v>
      </c>
      <c r="C4071" s="9">
        <v>2731</v>
      </c>
      <c r="D4071" s="0">
        <v>6</v>
      </c>
      <c r="E4071" s="10">
        <f>HYPERLINK("http://www.lingerieopt.ru/images/original/1da76732-bd73-4579-aec4-f587023d3fc2.jpg","Фото")</f>
      </c>
    </row>
    <row r="4072">
      <c r="A4072" s="7">
        <f>HYPERLINK("http://www.lingerieopt.ru/item/3981-klubnoe-plate-bando-s-nadpisyu-hustler-na-grudi/","3981")</f>
      </c>
      <c r="B4072" s="8" t="s">
        <v>3914</v>
      </c>
      <c r="C4072" s="9">
        <v>254</v>
      </c>
      <c r="D4072" s="0">
        <v>30</v>
      </c>
      <c r="E4072" s="10">
        <f>HYPERLINK("http://www.lingerieopt.ru/images/original/b3fd3913-4598-48a0-b84d-396f644739ef.jpg","Фото")</f>
      </c>
    </row>
    <row r="4073">
      <c r="A4073" s="7">
        <f>HYPERLINK("http://www.lingerieopt.ru/item/3981-klubnoe-plate-bando-s-nadpisyu-hustler-na-grudi/","3981")</f>
      </c>
      <c r="B4073" s="8" t="s">
        <v>3915</v>
      </c>
      <c r="C4073" s="9">
        <v>254</v>
      </c>
      <c r="D4073" s="0">
        <v>30</v>
      </c>
      <c r="E4073" s="10">
        <f>HYPERLINK("http://www.lingerieopt.ru/images/original/b3fd3913-4598-48a0-b84d-396f644739ef.jpg","Фото")</f>
      </c>
    </row>
    <row r="4074">
      <c r="A4074" s="7">
        <f>HYPERLINK("http://www.lingerieopt.ru/item/3981-klubnoe-plate-bando-s-nadpisyu-hustler-na-grudi/","3981")</f>
      </c>
      <c r="B4074" s="8" t="s">
        <v>3916</v>
      </c>
      <c r="C4074" s="9">
        <v>254</v>
      </c>
      <c r="D4074" s="0">
        <v>30</v>
      </c>
      <c r="E4074" s="10">
        <f>HYPERLINK("http://www.lingerieopt.ru/images/original/b3fd3913-4598-48a0-b84d-396f644739ef.jpg","Фото")</f>
      </c>
    </row>
    <row r="4075">
      <c r="A4075" s="7">
        <f>HYPERLINK("http://www.lingerieopt.ru/item/3981-klubnoe-plate-bando-s-nadpisyu-hustler-na-grudi/","3981")</f>
      </c>
      <c r="B4075" s="8" t="s">
        <v>3917</v>
      </c>
      <c r="C4075" s="9">
        <v>254</v>
      </c>
      <c r="D4075" s="0">
        <v>30</v>
      </c>
      <c r="E4075" s="10">
        <f>HYPERLINK("http://www.lingerieopt.ru/images/original/b3fd3913-4598-48a0-b84d-396f644739ef.jpg","Фото")</f>
      </c>
    </row>
    <row r="4076">
      <c r="A4076" s="7">
        <f>HYPERLINK("http://www.lingerieopt.ru/item/4007-korotenkoe-mini-plate-s-otkrjtoi-spinkoi/","4007")</f>
      </c>
      <c r="B4076" s="8" t="s">
        <v>3918</v>
      </c>
      <c r="C4076" s="9">
        <v>995</v>
      </c>
      <c r="D4076" s="0">
        <v>1</v>
      </c>
      <c r="E4076" s="10">
        <f>HYPERLINK("http://www.lingerieopt.ru/images/original/cb49fc7b-76de-4608-8a58-ddd290321e77.jpg","Фото")</f>
      </c>
    </row>
    <row r="4077">
      <c r="A4077" s="7">
        <f>HYPERLINK("http://www.lingerieopt.ru/item/4011-plate-so-slozhnjm-azhurnjm-risunkom/","4011")</f>
      </c>
      <c r="B4077" s="8" t="s">
        <v>3919</v>
      </c>
      <c r="C4077" s="9">
        <v>1653</v>
      </c>
      <c r="D4077" s="0">
        <v>30</v>
      </c>
      <c r="E4077" s="10">
        <f>HYPERLINK("http://www.lingerieopt.ru/images/original/50728ff6-2bb5-42ea-a119-e005a7b78b6b.jpg","Фото")</f>
      </c>
    </row>
    <row r="4078">
      <c r="A4078" s="7">
        <f>HYPERLINK("http://www.lingerieopt.ru/item/4012-otkrovennoe-plate-v-krupnuyu-setku/","4012")</f>
      </c>
      <c r="B4078" s="8" t="s">
        <v>3920</v>
      </c>
      <c r="C4078" s="9">
        <v>1949</v>
      </c>
      <c r="D4078" s="0">
        <v>0</v>
      </c>
      <c r="E4078" s="10">
        <f>HYPERLINK("http://www.lingerieopt.ru/images/original/31c5f442-d239-4b0f-b8dd-7728fdeab789.jpg","Фото")</f>
      </c>
    </row>
    <row r="4079">
      <c r="A4079" s="7">
        <f>HYPERLINK("http://www.lingerieopt.ru/item/4012-otkrovennoe-plate-v-krupnuyu-setku/","4012")</f>
      </c>
      <c r="B4079" s="8" t="s">
        <v>3921</v>
      </c>
      <c r="C4079" s="9">
        <v>1949</v>
      </c>
      <c r="D4079" s="0">
        <v>6</v>
      </c>
      <c r="E4079" s="10">
        <f>HYPERLINK("http://www.lingerieopt.ru/images/original/31c5f442-d239-4b0f-b8dd-7728fdeab789.jpg","Фото")</f>
      </c>
    </row>
    <row r="4080">
      <c r="A4080" s="7">
        <f>HYPERLINK("http://www.lingerieopt.ru/item/4012-otkrovennoe-plate-v-krupnuyu-setku/","4012")</f>
      </c>
      <c r="B4080" s="8" t="s">
        <v>3922</v>
      </c>
      <c r="C4080" s="9">
        <v>1949</v>
      </c>
      <c r="D4080" s="0">
        <v>30</v>
      </c>
      <c r="E4080" s="10">
        <f>HYPERLINK("http://www.lingerieopt.ru/images/original/31c5f442-d239-4b0f-b8dd-7728fdeab789.jpg","Фото")</f>
      </c>
    </row>
    <row r="4081">
      <c r="A4081" s="7">
        <f>HYPERLINK("http://www.lingerieopt.ru/item/4036-oblegayuschee-plate-s-otkrjtjmi-plechami/","4036")</f>
      </c>
      <c r="B4081" s="8" t="s">
        <v>3923</v>
      </c>
      <c r="C4081" s="9">
        <v>2275</v>
      </c>
      <c r="D4081" s="0">
        <v>3</v>
      </c>
      <c r="E4081" s="10">
        <f>HYPERLINK("http://www.lingerieopt.ru/images/original/775d59af-da26-4f55-8526-76297ca60f3c.jpg","Фото")</f>
      </c>
    </row>
    <row r="4082">
      <c r="A4082" s="7">
        <f>HYPERLINK("http://www.lingerieopt.ru/item/4051-plate-wild-oblegayuschego-pokroya/","4051")</f>
      </c>
      <c r="B4082" s="8" t="s">
        <v>3924</v>
      </c>
      <c r="C4082" s="9">
        <v>2275</v>
      </c>
      <c r="D4082" s="0">
        <v>3</v>
      </c>
      <c r="E4082" s="10">
        <f>HYPERLINK("http://www.lingerieopt.ru/images/original/9504c9ac-ed61-409f-a0db-cef57a5c173f.jpg","Фото")</f>
      </c>
    </row>
    <row r="4083">
      <c r="A4083" s="7">
        <f>HYPERLINK("http://www.lingerieopt.ru/item/4098-dvustoronnee-plate-s-gorizontalnjmi-vjrezami/","4098")</f>
      </c>
      <c r="B4083" s="8" t="s">
        <v>3925</v>
      </c>
      <c r="C4083" s="9">
        <v>1322</v>
      </c>
      <c r="D4083" s="0">
        <v>1</v>
      </c>
      <c r="E4083" s="10">
        <f>HYPERLINK("http://www.lingerieopt.ru/images/original/b40dfbd3-40c8-40c1-bee1-b8cbeaef84ef.jpg","Фото")</f>
      </c>
    </row>
    <row r="4084">
      <c r="A4084" s="7">
        <f>HYPERLINK("http://www.lingerieopt.ru/item/4098-dvustoronnee-plate-s-gorizontalnjmi-vjrezami/","4098")</f>
      </c>
      <c r="B4084" s="8" t="s">
        <v>3926</v>
      </c>
      <c r="C4084" s="9">
        <v>1322</v>
      </c>
      <c r="D4084" s="0">
        <v>1</v>
      </c>
      <c r="E4084" s="10">
        <f>HYPERLINK("http://www.lingerieopt.ru/images/original/b40dfbd3-40c8-40c1-bee1-b8cbeaef84ef.jpg","Фото")</f>
      </c>
    </row>
    <row r="4085">
      <c r="A4085" s="7">
        <f>HYPERLINK("http://www.lingerieopt.ru/item/4098-dvustoronnee-plate-s-gorizontalnjmi-vjrezami/","4098")</f>
      </c>
      <c r="B4085" s="8" t="s">
        <v>3927</v>
      </c>
      <c r="C4085" s="9">
        <v>1322</v>
      </c>
      <c r="D4085" s="0">
        <v>0</v>
      </c>
      <c r="E4085" s="10">
        <f>HYPERLINK("http://www.lingerieopt.ru/images/original/b40dfbd3-40c8-40c1-bee1-b8cbeaef84ef.jpg","Фото")</f>
      </c>
    </row>
    <row r="4086">
      <c r="A4086" s="7">
        <f>HYPERLINK("http://www.lingerieopt.ru/item/4118-sverkayuschee-plate-s-paietkami/","4118")</f>
      </c>
      <c r="B4086" s="8" t="s">
        <v>3928</v>
      </c>
      <c r="C4086" s="9">
        <v>1949</v>
      </c>
      <c r="D4086" s="0">
        <v>30</v>
      </c>
      <c r="E4086" s="10">
        <f>HYPERLINK("http://www.lingerieopt.ru/images/original/1cafc519-c77a-45d3-b283-f43206d3a150.jpg","Фото")</f>
      </c>
    </row>
    <row r="4087">
      <c r="A4087" s="7">
        <f>HYPERLINK("http://www.lingerieopt.ru/item/4125-plate-futlyar-v-setku/","4125")</f>
      </c>
      <c r="B4087" s="8" t="s">
        <v>3929</v>
      </c>
      <c r="C4087" s="9">
        <v>1487</v>
      </c>
      <c r="D4087" s="0">
        <v>1</v>
      </c>
      <c r="E4087" s="10">
        <f>HYPERLINK("http://www.lingerieopt.ru/images/original/0c541b2c-9857-4d0b-b9be-f1a17faea6c9.jpg","Фото")</f>
      </c>
    </row>
    <row r="4088">
      <c r="A4088" s="7">
        <f>HYPERLINK("http://www.lingerieopt.ru/item/4125-plate-futlyar-v-setku/","4125")</f>
      </c>
      <c r="B4088" s="8" t="s">
        <v>3930</v>
      </c>
      <c r="C4088" s="9">
        <v>1487</v>
      </c>
      <c r="D4088" s="0">
        <v>0</v>
      </c>
      <c r="E4088" s="10">
        <f>HYPERLINK("http://www.lingerieopt.ru/images/original/0c541b2c-9857-4d0b-b9be-f1a17faea6c9.jpg","Фото")</f>
      </c>
    </row>
    <row r="4089">
      <c r="A4089" s="7">
        <f>HYPERLINK("http://www.lingerieopt.ru/item/4125-plate-futlyar-v-setku/","4125")</f>
      </c>
      <c r="B4089" s="8" t="s">
        <v>3931</v>
      </c>
      <c r="C4089" s="9">
        <v>1487</v>
      </c>
      <c r="D4089" s="0">
        <v>0</v>
      </c>
      <c r="E4089" s="10">
        <f>HYPERLINK("http://www.lingerieopt.ru/images/original/0c541b2c-9857-4d0b-b9be-f1a17faea6c9.jpg","Фото")</f>
      </c>
    </row>
    <row r="4090">
      <c r="A4090" s="7">
        <f>HYPERLINK("http://www.lingerieopt.ru/item/4128-korotkoe-elastichnoe-poluprozrachnoe-plate/","4128")</f>
      </c>
      <c r="B4090" s="8" t="s">
        <v>3932</v>
      </c>
      <c r="C4090" s="9">
        <v>2111</v>
      </c>
      <c r="D4090" s="0">
        <v>30</v>
      </c>
      <c r="E4090" s="10">
        <f>HYPERLINK("http://www.lingerieopt.ru/images/original/05cd034f-da1e-4668-8e37-2407f1859304.jpg","Фото")</f>
      </c>
    </row>
    <row r="4091">
      <c r="A4091" s="7">
        <f>HYPERLINK("http://www.lingerieopt.ru/item/4128-korotkoe-elastichnoe-poluprozrachnoe-plate/","4128")</f>
      </c>
      <c r="B4091" s="8" t="s">
        <v>3933</v>
      </c>
      <c r="C4091" s="9">
        <v>2111</v>
      </c>
      <c r="D4091" s="0">
        <v>30</v>
      </c>
      <c r="E4091" s="10">
        <f>HYPERLINK("http://www.lingerieopt.ru/images/original/05cd034f-da1e-4668-8e37-2407f1859304.jpg","Фото")</f>
      </c>
    </row>
    <row r="4092">
      <c r="A4092" s="7">
        <f>HYPERLINK("http://www.lingerieopt.ru/item/4137-plate-s-raznoobraziem-azhurnjh-perepletenii/","4137")</f>
      </c>
      <c r="B4092" s="8" t="s">
        <v>3934</v>
      </c>
      <c r="C4092" s="9">
        <v>1787</v>
      </c>
      <c r="D4092" s="0">
        <v>30</v>
      </c>
      <c r="E4092" s="10">
        <f>HYPERLINK("http://www.lingerieopt.ru/images/original/31dee768-ff84-4ff5-be16-ad27c6e3b784.jpg","Фото")</f>
      </c>
    </row>
    <row r="4093">
      <c r="A4093" s="7">
        <f>HYPERLINK("http://www.lingerieopt.ru/item/4139-malenkoe-korotkoe-plate-v-polosku/","4139")</f>
      </c>
      <c r="B4093" s="8" t="s">
        <v>3935</v>
      </c>
      <c r="C4093" s="9">
        <v>1322</v>
      </c>
      <c r="D4093" s="0">
        <v>30</v>
      </c>
      <c r="E4093" s="10">
        <f>HYPERLINK("http://www.lingerieopt.ru/images/original/cc81f1ad-f332-4223-ba9a-e54070e54e74.jpg","Фото")</f>
      </c>
    </row>
    <row r="4094">
      <c r="A4094" s="7">
        <f>HYPERLINK("http://www.lingerieopt.ru/item/4139-malenkoe-korotkoe-plate-v-polosku/","4139")</f>
      </c>
      <c r="B4094" s="8" t="s">
        <v>3936</v>
      </c>
      <c r="C4094" s="9">
        <v>1322</v>
      </c>
      <c r="D4094" s="0">
        <v>0</v>
      </c>
      <c r="E4094" s="10">
        <f>HYPERLINK("http://www.lingerieopt.ru/images/original/cc81f1ad-f332-4223-ba9a-e54070e54e74.jpg","Фото")</f>
      </c>
    </row>
    <row r="4095">
      <c r="A4095" s="7">
        <f>HYPERLINK("http://www.lingerieopt.ru/item/4139-malenkoe-korotkoe-plate-v-polosku/","4139")</f>
      </c>
      <c r="B4095" s="8" t="s">
        <v>3937</v>
      </c>
      <c r="C4095" s="9">
        <v>1322</v>
      </c>
      <c r="D4095" s="0">
        <v>30</v>
      </c>
      <c r="E4095" s="10">
        <f>HYPERLINK("http://www.lingerieopt.ru/images/original/cc81f1ad-f332-4223-ba9a-e54070e54e74.jpg","Фото")</f>
      </c>
    </row>
    <row r="4096">
      <c r="A4096" s="7">
        <f>HYPERLINK("http://www.lingerieopt.ru/item/4139-malenkoe-korotkoe-plate-v-polosku/","4139")</f>
      </c>
      <c r="B4096" s="8" t="s">
        <v>3938</v>
      </c>
      <c r="C4096" s="9">
        <v>1322</v>
      </c>
      <c r="D4096" s="0">
        <v>0</v>
      </c>
      <c r="E4096" s="10">
        <f>HYPERLINK("http://www.lingerieopt.ru/images/original/cc81f1ad-f332-4223-ba9a-e54070e54e74.jpg","Фото")</f>
      </c>
    </row>
    <row r="4097">
      <c r="A4097" s="7">
        <f>HYPERLINK("http://www.lingerieopt.ru/item/4146-roskoshnoe-mini-plate-iz-kruzheva/","4146")</f>
      </c>
      <c r="B4097" s="8" t="s">
        <v>3939</v>
      </c>
      <c r="C4097" s="9">
        <v>2111</v>
      </c>
      <c r="D4097" s="0">
        <v>6</v>
      </c>
      <c r="E4097" s="10">
        <f>HYPERLINK("http://www.lingerieopt.ru/images/original/41e17b3d-d685-468f-a6c3-97222fe6305b.jpg","Фото")</f>
      </c>
    </row>
    <row r="4098">
      <c r="A4098" s="7">
        <f>HYPERLINK("http://www.lingerieopt.ru/item/4153-korotkoe-odnotonnoe-poluprozrachnoe-plate/","4153")</f>
      </c>
      <c r="B4098" s="8" t="s">
        <v>3940</v>
      </c>
      <c r="C4098" s="9">
        <v>2275</v>
      </c>
      <c r="D4098" s="0">
        <v>30</v>
      </c>
      <c r="E4098" s="10">
        <f>HYPERLINK("http://www.lingerieopt.ru/images/original/bf98f903-e4e4-49a4-933e-a0aecd03cfa9.jpg","Фото")</f>
      </c>
    </row>
    <row r="4099">
      <c r="A4099" s="7">
        <f>HYPERLINK("http://www.lingerieopt.ru/item/4153-korotkoe-odnotonnoe-poluprozrachnoe-plate/","4153")</f>
      </c>
      <c r="B4099" s="8" t="s">
        <v>3941</v>
      </c>
      <c r="C4099" s="9">
        <v>2275</v>
      </c>
      <c r="D4099" s="0">
        <v>30</v>
      </c>
      <c r="E4099" s="10">
        <f>HYPERLINK("http://www.lingerieopt.ru/images/original/bf98f903-e4e4-49a4-933e-a0aecd03cfa9.jpg","Фото")</f>
      </c>
    </row>
    <row r="4100">
      <c r="A4100" s="7">
        <f>HYPERLINK("http://www.lingerieopt.ru/item/4154-sverkayuschee-plate-s-paietkami/","4154")</f>
      </c>
      <c r="B4100" s="8" t="s">
        <v>3942</v>
      </c>
      <c r="C4100" s="9">
        <v>2111</v>
      </c>
      <c r="D4100" s="0">
        <v>30</v>
      </c>
      <c r="E4100" s="10">
        <f>HYPERLINK("http://www.lingerieopt.ru/images/original/cc52f7ab-e2a3-4f3e-8e99-17102140a1cf.jpg","Фото")</f>
      </c>
    </row>
    <row r="4101">
      <c r="A4101" s="7">
        <f>HYPERLINK("http://www.lingerieopt.ru/item/4158-oblegayuschee-plate-sexy-drive/","4158")</f>
      </c>
      <c r="B4101" s="8" t="s">
        <v>3943</v>
      </c>
      <c r="C4101" s="9">
        <v>2437</v>
      </c>
      <c r="D4101" s="0">
        <v>30</v>
      </c>
      <c r="E4101" s="10">
        <f>HYPERLINK("http://www.lingerieopt.ru/images/original/a2955709-f42e-434d-80fe-3c1b00025e5f.jpg","Фото")</f>
      </c>
    </row>
    <row r="4102">
      <c r="A4102" s="7">
        <f>HYPERLINK("http://www.lingerieopt.ru/item/4166-plate-s-otkrjtoi-spinoi/","4166")</f>
      </c>
      <c r="B4102" s="8" t="s">
        <v>3944</v>
      </c>
      <c r="C4102" s="9">
        <v>876</v>
      </c>
      <c r="D4102" s="0">
        <v>1</v>
      </c>
      <c r="E4102" s="10">
        <f>HYPERLINK("http://www.lingerieopt.ru/images/original/79edcf8e-5c9b-4a68-af28-a6671cc66080.jpg","Фото")</f>
      </c>
    </row>
    <row r="4103">
      <c r="A4103" s="7">
        <f>HYPERLINK("http://www.lingerieopt.ru/item/4173-prozrachnoe-plate-s-dlinnjmi-rukavami/","4173")</f>
      </c>
      <c r="B4103" s="8" t="s">
        <v>3945</v>
      </c>
      <c r="C4103" s="9">
        <v>2111</v>
      </c>
      <c r="D4103" s="0">
        <v>8</v>
      </c>
      <c r="E4103" s="10">
        <f>HYPERLINK("http://www.lingerieopt.ru/images/original/ffc8d067-766f-4484-87c2-4c7372bc0fa2.jpg","Фото")</f>
      </c>
    </row>
    <row r="4104">
      <c r="A4104" s="7">
        <f>HYPERLINK("http://www.lingerieopt.ru/item/4249-plate-s-podderzhivayuschim-lifom-na-kostochkah/","4249")</f>
      </c>
      <c r="B4104" s="8" t="s">
        <v>3946</v>
      </c>
      <c r="C4104" s="9">
        <v>2437</v>
      </c>
      <c r="D4104" s="0">
        <v>0</v>
      </c>
      <c r="E4104" s="10">
        <f>HYPERLINK("http://www.lingerieopt.ru/images/original/5af511b0-2e8a-4616-941e-dce6aa00699a.jpg","Фото")</f>
      </c>
    </row>
    <row r="4105">
      <c r="A4105" s="7">
        <f>HYPERLINK("http://www.lingerieopt.ru/item/4249-plate-s-podderzhivayuschim-lifom-na-kostochkah/","4249")</f>
      </c>
      <c r="B4105" s="8" t="s">
        <v>3947</v>
      </c>
      <c r="C4105" s="9">
        <v>2437</v>
      </c>
      <c r="D4105" s="0">
        <v>0</v>
      </c>
      <c r="E4105" s="10">
        <f>HYPERLINK("http://www.lingerieopt.ru/images/original/5af511b0-2e8a-4616-941e-dce6aa00699a.jpg","Фото")</f>
      </c>
    </row>
    <row r="4106">
      <c r="A4106" s="7">
        <f>HYPERLINK("http://www.lingerieopt.ru/item/4249-plate-s-podderzhivayuschim-lifom-na-kostochkah/","4249")</f>
      </c>
      <c r="B4106" s="8" t="s">
        <v>3948</v>
      </c>
      <c r="C4106" s="9">
        <v>2437</v>
      </c>
      <c r="D4106" s="0">
        <v>0</v>
      </c>
      <c r="E4106" s="10">
        <f>HYPERLINK("http://www.lingerieopt.ru/images/original/5af511b0-2e8a-4616-941e-dce6aa00699a.jpg","Фото")</f>
      </c>
    </row>
    <row r="4107">
      <c r="A4107" s="7">
        <f>HYPERLINK("http://www.lingerieopt.ru/item/4249-plate-s-podderzhivayuschim-lifom-na-kostochkah/","4249")</f>
      </c>
      <c r="B4107" s="8" t="s">
        <v>3949</v>
      </c>
      <c r="C4107" s="9">
        <v>2437</v>
      </c>
      <c r="D4107" s="0">
        <v>1</v>
      </c>
      <c r="E4107" s="10">
        <f>HYPERLINK("http://www.lingerieopt.ru/images/original/5af511b0-2e8a-4616-941e-dce6aa00699a.jpg","Фото")</f>
      </c>
    </row>
    <row r="4108">
      <c r="A4108" s="7">
        <f>HYPERLINK("http://www.lingerieopt.ru/item/4291-korotkoe-plate-s-serebristoi-otdelkoi/","4291")</f>
      </c>
      <c r="B4108" s="8" t="s">
        <v>3616</v>
      </c>
      <c r="C4108" s="9">
        <v>4549</v>
      </c>
      <c r="D4108" s="0">
        <v>0</v>
      </c>
      <c r="E4108" s="10">
        <f>HYPERLINK("http://www.lingerieopt.ru/images/original/7476b463-7cb2-4962-baef-3aca443e173e.jpg","Фото")</f>
      </c>
    </row>
    <row r="4109">
      <c r="A4109" s="7">
        <f>HYPERLINK("http://www.lingerieopt.ru/item/4291-korotkoe-plate-s-serebristoi-otdelkoi/","4291")</f>
      </c>
      <c r="B4109" s="8" t="s">
        <v>3614</v>
      </c>
      <c r="C4109" s="9">
        <v>4549</v>
      </c>
      <c r="D4109" s="0">
        <v>0</v>
      </c>
      <c r="E4109" s="10">
        <f>HYPERLINK("http://www.lingerieopt.ru/images/original/7476b463-7cb2-4962-baef-3aca443e173e.jpg","Фото")</f>
      </c>
    </row>
    <row r="4110">
      <c r="A4110" s="7">
        <f>HYPERLINK("http://www.lingerieopt.ru/item/4291-korotkoe-plate-s-serebristoi-otdelkoi/","4291")</f>
      </c>
      <c r="B4110" s="8" t="s">
        <v>3615</v>
      </c>
      <c r="C4110" s="9">
        <v>4549</v>
      </c>
      <c r="D4110" s="0">
        <v>1</v>
      </c>
      <c r="E4110" s="10">
        <f>HYPERLINK("http://www.lingerieopt.ru/images/original/7476b463-7cb2-4962-baef-3aca443e173e.jpg","Фото")</f>
      </c>
    </row>
    <row r="4111">
      <c r="A4111" s="7">
        <f>HYPERLINK("http://www.lingerieopt.ru/item/4297-plate-s-lakovoi-vstavkoi/","4297")</f>
      </c>
      <c r="B4111" s="8" t="s">
        <v>3618</v>
      </c>
      <c r="C4111" s="9">
        <v>4549</v>
      </c>
      <c r="D4111" s="0">
        <v>3</v>
      </c>
      <c r="E4111" s="10">
        <f>HYPERLINK("http://www.lingerieopt.ru/images/original/cbd5e72e-da6d-4580-970c-0ad096091b01.jpg","Фото")</f>
      </c>
    </row>
    <row r="4112">
      <c r="A4112" s="7">
        <f>HYPERLINK("http://www.lingerieopt.ru/item/4297-plate-s-lakovoi-vstavkoi/","4297")</f>
      </c>
      <c r="B4112" s="8" t="s">
        <v>3619</v>
      </c>
      <c r="C4112" s="9">
        <v>4549</v>
      </c>
      <c r="D4112" s="0">
        <v>0</v>
      </c>
      <c r="E4112" s="10">
        <f>HYPERLINK("http://www.lingerieopt.ru/images/original/cbd5e72e-da6d-4580-970c-0ad096091b01.jpg","Фото")</f>
      </c>
    </row>
    <row r="4113">
      <c r="A4113" s="7">
        <f>HYPERLINK("http://www.lingerieopt.ru/item/4297-plate-s-lakovoi-vstavkoi/","4297")</f>
      </c>
      <c r="B4113" s="8" t="s">
        <v>3617</v>
      </c>
      <c r="C4113" s="9">
        <v>4549</v>
      </c>
      <c r="D4113" s="0">
        <v>1</v>
      </c>
      <c r="E4113" s="10">
        <f>HYPERLINK("http://www.lingerieopt.ru/images/original/cbd5e72e-da6d-4580-970c-0ad096091b01.jpg","Фото")</f>
      </c>
    </row>
    <row r="4114">
      <c r="A4114" s="7">
        <f>HYPERLINK("http://www.lingerieopt.ru/item/4370-obtyagivayuschee-plate-s-kruzhevnjmi-vstavkami/","4370")</f>
      </c>
      <c r="B4114" s="8" t="s">
        <v>3950</v>
      </c>
      <c r="C4114" s="9">
        <v>2812</v>
      </c>
      <c r="D4114" s="0">
        <v>3</v>
      </c>
      <c r="E4114" s="10">
        <f>HYPERLINK("http://www.lingerieopt.ru/images/original/81962803-0664-4371-a49c-4ff3ece8f689.jpg","Фото")</f>
      </c>
    </row>
    <row r="4115">
      <c r="A4115" s="7">
        <f>HYPERLINK("http://www.lingerieopt.ru/item/4370-obtyagivayuschee-plate-s-kruzhevnjmi-vstavkami/","4370")</f>
      </c>
      <c r="B4115" s="8" t="s">
        <v>3951</v>
      </c>
      <c r="C4115" s="9">
        <v>2812</v>
      </c>
      <c r="D4115" s="0">
        <v>6</v>
      </c>
      <c r="E4115" s="10">
        <f>HYPERLINK("http://www.lingerieopt.ru/images/original/81962803-0664-4371-a49c-4ff3ece8f689.jpg","Фото")</f>
      </c>
    </row>
    <row r="4116">
      <c r="A4116" s="7">
        <f>HYPERLINK("http://www.lingerieopt.ru/item/4370-obtyagivayuschee-plate-s-kruzhevnjmi-vstavkami/","4370")</f>
      </c>
      <c r="B4116" s="8" t="s">
        <v>3952</v>
      </c>
      <c r="C4116" s="9">
        <v>2812</v>
      </c>
      <c r="D4116" s="0">
        <v>3</v>
      </c>
      <c r="E4116" s="10">
        <f>HYPERLINK("http://www.lingerieopt.ru/images/original/81962803-0664-4371-a49c-4ff3ece8f689.jpg","Фото")</f>
      </c>
    </row>
    <row r="4117">
      <c r="A4117" s="7">
        <f>HYPERLINK("http://www.lingerieopt.ru/item/4370-obtyagivayuschee-plate-s-kruzhevnjmi-vstavkami/","4370")</f>
      </c>
      <c r="B4117" s="8" t="s">
        <v>3953</v>
      </c>
      <c r="C4117" s="9">
        <v>2812</v>
      </c>
      <c r="D4117" s="0">
        <v>6</v>
      </c>
      <c r="E4117" s="10">
        <f>HYPERLINK("http://www.lingerieopt.ru/images/original/81962803-0664-4371-a49c-4ff3ece8f689.jpg","Фото")</f>
      </c>
    </row>
    <row r="4118">
      <c r="A4118" s="7">
        <f>HYPERLINK("http://www.lingerieopt.ru/item/4655-kruzhevnoe-plate-s-ovalnjm-vjrezom/","4655")</f>
      </c>
      <c r="B4118" s="8" t="s">
        <v>3954</v>
      </c>
      <c r="C4118" s="9">
        <v>1627</v>
      </c>
      <c r="D4118" s="0">
        <v>30</v>
      </c>
      <c r="E4118" s="10">
        <f>HYPERLINK("http://www.lingerieopt.ru/images/original/370674b6-bc01-4d5d-97de-6bd99dfde7e1.jpg","Фото")</f>
      </c>
    </row>
    <row r="4119">
      <c r="A4119" s="7">
        <f>HYPERLINK("http://www.lingerieopt.ru/item/4670-obtyagivayuschee-plate-iz-krupnoi-setki-s-zastezhkoi-molniei/","4670")</f>
      </c>
      <c r="B4119" s="8" t="s">
        <v>3955</v>
      </c>
      <c r="C4119" s="9">
        <v>2437</v>
      </c>
      <c r="D4119" s="0">
        <v>3</v>
      </c>
      <c r="E4119" s="10">
        <f>HYPERLINK("http://www.lingerieopt.ru/images/original/e75d1f76-1ead-4dba-bdf6-316b6b3f6908.jpg","Фото")</f>
      </c>
    </row>
    <row r="4120">
      <c r="A4120" s="7">
        <f>HYPERLINK("http://www.lingerieopt.ru/item/4729-serebristoe-plate-halla-s-kruzhevnjmi-vstavkami/","4729")</f>
      </c>
      <c r="B4120" s="8" t="s">
        <v>3956</v>
      </c>
      <c r="C4120" s="9">
        <v>1319</v>
      </c>
      <c r="D4120" s="0">
        <v>31</v>
      </c>
      <c r="E4120" s="10">
        <f>HYPERLINK("http://www.lingerieopt.ru/images/original/2ab80cca-e0d9-4fb4-a382-a7714020713a.jpg","Фото")</f>
      </c>
    </row>
    <row r="4121">
      <c r="A4121" s="7">
        <f>HYPERLINK("http://www.lingerieopt.ru/item/4729-serebristoe-plate-halla-s-kruzhevnjmi-vstavkami/","4729")</f>
      </c>
      <c r="B4121" s="8" t="s">
        <v>3957</v>
      </c>
      <c r="C4121" s="9">
        <v>1319</v>
      </c>
      <c r="D4121" s="0">
        <v>17</v>
      </c>
      <c r="E4121" s="10">
        <f>HYPERLINK("http://www.lingerieopt.ru/images/original/2ab80cca-e0d9-4fb4-a382-a7714020713a.jpg","Фото")</f>
      </c>
    </row>
    <row r="4122">
      <c r="A4122" s="7">
        <f>HYPERLINK("http://www.lingerieopt.ru/item/4729-serebristoe-plate-halla-s-kruzhevnjmi-vstavkami/","4729")</f>
      </c>
      <c r="B4122" s="8" t="s">
        <v>3958</v>
      </c>
      <c r="C4122" s="9">
        <v>1319</v>
      </c>
      <c r="D4122" s="0">
        <v>18</v>
      </c>
      <c r="E4122" s="10">
        <f>HYPERLINK("http://www.lingerieopt.ru/images/original/2ab80cca-e0d9-4fb4-a382-a7714020713a.jpg","Фото")</f>
      </c>
    </row>
    <row r="4123">
      <c r="A4123" s="7">
        <f>HYPERLINK("http://www.lingerieopt.ru/item/4750-plate-s-otkrjtoi-spinoi-beltis/","4750")</f>
      </c>
      <c r="B4123" s="8" t="s">
        <v>3628</v>
      </c>
      <c r="C4123" s="9">
        <v>1334</v>
      </c>
      <c r="D4123" s="0">
        <v>0</v>
      </c>
      <c r="E4123" s="10">
        <f>HYPERLINK("http://www.lingerieopt.ru/images/original/9b126a52-2260-4bc4-ac9d-80435baad5b2.jpg","Фото")</f>
      </c>
    </row>
    <row r="4124">
      <c r="A4124" s="7">
        <f>HYPERLINK("http://www.lingerieopt.ru/item/4750-plate-s-otkrjtoi-spinoi-beltis/","4750")</f>
      </c>
      <c r="B4124" s="8" t="s">
        <v>3627</v>
      </c>
      <c r="C4124" s="9">
        <v>1334</v>
      </c>
      <c r="D4124" s="0">
        <v>3</v>
      </c>
      <c r="E4124" s="10">
        <f>HYPERLINK("http://www.lingerieopt.ru/images/original/9b126a52-2260-4bc4-ac9d-80435baad5b2.jpg","Фото")</f>
      </c>
    </row>
    <row r="4125">
      <c r="A4125" s="7">
        <f>HYPERLINK("http://www.lingerieopt.ru/item/4750-plate-s-otkrjtoi-spinoi-beltis/","4750")</f>
      </c>
      <c r="B4125" s="8" t="s">
        <v>3626</v>
      </c>
      <c r="C4125" s="9">
        <v>1334</v>
      </c>
      <c r="D4125" s="0">
        <v>5</v>
      </c>
      <c r="E4125" s="10">
        <f>HYPERLINK("http://www.lingerieopt.ru/images/original/9b126a52-2260-4bc4-ac9d-80435baad5b2.jpg","Фото")</f>
      </c>
    </row>
    <row r="4126">
      <c r="A4126" s="7">
        <f>HYPERLINK("http://www.lingerieopt.ru/item/4750-plate-s-otkrjtoi-spinoi-beltis/","4750")</f>
      </c>
      <c r="B4126" s="8" t="s">
        <v>3625</v>
      </c>
      <c r="C4126" s="9">
        <v>1334</v>
      </c>
      <c r="D4126" s="0">
        <v>2</v>
      </c>
      <c r="E4126" s="10">
        <f>HYPERLINK("http://www.lingerieopt.ru/images/original/9b126a52-2260-4bc4-ac9d-80435baad5b2.jpg","Фото")</f>
      </c>
    </row>
    <row r="4127">
      <c r="A4127" s="7">
        <f>HYPERLINK("http://www.lingerieopt.ru/item/4751-plate-femi-s-glubokim-dekolte-i-otkrjtoi-spinoi/","4751")</f>
      </c>
      <c r="B4127" s="8" t="s">
        <v>3959</v>
      </c>
      <c r="C4127" s="9">
        <v>828</v>
      </c>
      <c r="D4127" s="0">
        <v>0</v>
      </c>
      <c r="E4127" s="10">
        <f>HYPERLINK("http://www.lingerieopt.ru/images/original/8f7c7f3b-dd19-471f-b775-6d8c8c06690e.jpg","Фото")</f>
      </c>
    </row>
    <row r="4128">
      <c r="A4128" s="7">
        <f>HYPERLINK("http://www.lingerieopt.ru/item/4751-plate-femi-s-glubokim-dekolte-i-otkrjtoi-spinoi/","4751")</f>
      </c>
      <c r="B4128" s="8" t="s">
        <v>3960</v>
      </c>
      <c r="C4128" s="9">
        <v>828</v>
      </c>
      <c r="D4128" s="0">
        <v>6</v>
      </c>
      <c r="E4128" s="10">
        <f>HYPERLINK("http://www.lingerieopt.ru/images/original/8f7c7f3b-dd19-471f-b775-6d8c8c06690e.jpg","Фото")</f>
      </c>
    </row>
    <row r="4129">
      <c r="A4129" s="7">
        <f>HYPERLINK("http://www.lingerieopt.ru/item/4751-plate-femi-s-glubokim-dekolte-i-otkrjtoi-spinoi/","4751")</f>
      </c>
      <c r="B4129" s="8" t="s">
        <v>3961</v>
      </c>
      <c r="C4129" s="9">
        <v>828</v>
      </c>
      <c r="D4129" s="0">
        <v>0</v>
      </c>
      <c r="E4129" s="10">
        <f>HYPERLINK("http://www.lingerieopt.ru/images/original/8f7c7f3b-dd19-471f-b775-6d8c8c06690e.jpg","Фото")</f>
      </c>
    </row>
    <row r="4130">
      <c r="A4130" s="7">
        <f>HYPERLINK("http://www.lingerieopt.ru/item/4790-kruzhevnoe-plate-rayen-s-dlinnjmi-rukavami/","4790")</f>
      </c>
      <c r="B4130" s="8" t="s">
        <v>3962</v>
      </c>
      <c r="C4130" s="9">
        <v>1555</v>
      </c>
      <c r="D4130" s="0">
        <v>4</v>
      </c>
      <c r="E4130" s="10">
        <f>HYPERLINK("http://www.lingerieopt.ru/images/original/415aed52-35ae-4b89-8308-950984224d02.jpg","Фото")</f>
      </c>
    </row>
    <row r="4131">
      <c r="A4131" s="7">
        <f>HYPERLINK("http://www.lingerieopt.ru/item/4790-kruzhevnoe-plate-rayen-s-dlinnjmi-rukavami/","4790")</f>
      </c>
      <c r="B4131" s="8" t="s">
        <v>3963</v>
      </c>
      <c r="C4131" s="9">
        <v>1555</v>
      </c>
      <c r="D4131" s="0">
        <v>4</v>
      </c>
      <c r="E4131" s="10">
        <f>HYPERLINK("http://www.lingerieopt.ru/images/original/415aed52-35ae-4b89-8308-950984224d02.jpg","Фото")</f>
      </c>
    </row>
    <row r="4132">
      <c r="A4132" s="7">
        <f>HYPERLINK("http://www.lingerieopt.ru/item/4790-kruzhevnoe-plate-rayen-s-dlinnjmi-rukavami/","4790")</f>
      </c>
      <c r="B4132" s="8" t="s">
        <v>3964</v>
      </c>
      <c r="C4132" s="9">
        <v>1555</v>
      </c>
      <c r="D4132" s="0">
        <v>0</v>
      </c>
      <c r="E4132" s="10">
        <f>HYPERLINK("http://www.lingerieopt.ru/images/original/415aed52-35ae-4b89-8308-950984224d02.jpg","Фото")</f>
      </c>
    </row>
    <row r="4133">
      <c r="A4133" s="7">
        <f>HYPERLINK("http://www.lingerieopt.ru/item/4790-kruzhevnoe-plate-rayen-s-dlinnjmi-rukavami/","4790")</f>
      </c>
      <c r="B4133" s="8" t="s">
        <v>3965</v>
      </c>
      <c r="C4133" s="9">
        <v>1555</v>
      </c>
      <c r="D4133" s="0">
        <v>3</v>
      </c>
      <c r="E4133" s="10">
        <f>HYPERLINK("http://www.lingerieopt.ru/images/original/415aed52-35ae-4b89-8308-950984224d02.jpg","Фото")</f>
      </c>
    </row>
    <row r="4134">
      <c r="A4134" s="7">
        <f>HYPERLINK("http://www.lingerieopt.ru/item/4912-poluprozrachnaya-sorochka-eksin-s-gorlovinoi-amerikanka/","4912")</f>
      </c>
      <c r="B4134" s="8" t="s">
        <v>3966</v>
      </c>
      <c r="C4134" s="9">
        <v>1115</v>
      </c>
      <c r="D4134" s="0">
        <v>0</v>
      </c>
      <c r="E4134" s="10">
        <f>HYPERLINK("http://www.lingerieopt.ru/images/original/d25568ee-a5e3-4ebf-8c6d-9dece64a2ec4.jpg","Фото")</f>
      </c>
    </row>
    <row r="4135">
      <c r="A4135" s="7">
        <f>HYPERLINK("http://www.lingerieopt.ru/item/4912-poluprozrachnaya-sorochka-eksin-s-gorlovinoi-amerikanka/","4912")</f>
      </c>
      <c r="B4135" s="8" t="s">
        <v>3967</v>
      </c>
      <c r="C4135" s="9">
        <v>1115</v>
      </c>
      <c r="D4135" s="0">
        <v>0</v>
      </c>
      <c r="E4135" s="10">
        <f>HYPERLINK("http://www.lingerieopt.ru/images/original/d25568ee-a5e3-4ebf-8c6d-9dece64a2ec4.jpg","Фото")</f>
      </c>
    </row>
    <row r="4136">
      <c r="A4136" s="7">
        <f>HYPERLINK("http://www.lingerieopt.ru/item/4912-poluprozrachnaya-sorochka-eksin-s-gorlovinoi-amerikanka/","4912")</f>
      </c>
      <c r="B4136" s="8" t="s">
        <v>3968</v>
      </c>
      <c r="C4136" s="9">
        <v>1115</v>
      </c>
      <c r="D4136" s="0">
        <v>5</v>
      </c>
      <c r="E4136" s="10">
        <f>HYPERLINK("http://www.lingerieopt.ru/images/original/d25568ee-a5e3-4ebf-8c6d-9dece64a2ec4.jpg","Фото")</f>
      </c>
    </row>
    <row r="4137">
      <c r="A4137" s="7">
        <f>HYPERLINK("http://www.lingerieopt.ru/item/5311-oblegayuschee-plate-s-gorizontalnjmi-razrezami/","5311")</f>
      </c>
      <c r="B4137" s="8" t="s">
        <v>3969</v>
      </c>
      <c r="C4137" s="9">
        <v>1205</v>
      </c>
      <c r="D4137" s="0">
        <v>7</v>
      </c>
      <c r="E4137" s="10">
        <f>HYPERLINK("http://www.lingerieopt.ru/images/original/026dcedb-9de9-4016-848c-45b3b1a947bd.jpg","Фото")</f>
      </c>
    </row>
    <row r="4138">
      <c r="A4138" s="7">
        <f>HYPERLINK("http://www.lingerieopt.ru/item/5332-ultrakorotkoe-oblegayuschee-plate-byuste/","5332")</f>
      </c>
      <c r="B4138" s="8" t="s">
        <v>3970</v>
      </c>
      <c r="C4138" s="9">
        <v>1030</v>
      </c>
      <c r="D4138" s="0">
        <v>6</v>
      </c>
      <c r="E4138" s="10">
        <f>HYPERLINK("http://www.lingerieopt.ru/images/original/913d5db7-a7f0-475c-9c04-9a625ac176a7.jpg","Фото")</f>
      </c>
    </row>
    <row r="4139">
      <c r="A4139" s="7">
        <f>HYPERLINK("http://www.lingerieopt.ru/item/5337-oblegayuschee-poluprozrachnoe-plate-na-odnoi-lyamke/","5337")</f>
      </c>
      <c r="B4139" s="8" t="s">
        <v>3971</v>
      </c>
      <c r="C4139" s="9">
        <v>1205</v>
      </c>
      <c r="D4139" s="0">
        <v>30</v>
      </c>
      <c r="E4139" s="10">
        <f>HYPERLINK("http://www.lingerieopt.ru/images/original/42373483-b5e8-4a5e-8761-8735c2ac02b2.jpg","Фото")</f>
      </c>
    </row>
    <row r="4140">
      <c r="A4140" s="7">
        <f>HYPERLINK("http://www.lingerieopt.ru/item/5337-oblegayuschee-poluprozrachnoe-plate-na-odnoi-lyamke/","5337")</f>
      </c>
      <c r="B4140" s="8" t="s">
        <v>3972</v>
      </c>
      <c r="C4140" s="9">
        <v>1205</v>
      </c>
      <c r="D4140" s="0">
        <v>30</v>
      </c>
      <c r="E4140" s="10">
        <f>HYPERLINK("http://www.lingerieopt.ru/images/original/42373483-b5e8-4a5e-8761-8735c2ac02b2.jpg","Фото")</f>
      </c>
    </row>
    <row r="4141">
      <c r="A4141" s="7">
        <f>HYPERLINK("http://www.lingerieopt.ru/item/5337-oblegayuschee-poluprozrachnoe-plate-na-odnoi-lyamke/","5337")</f>
      </c>
      <c r="B4141" s="8" t="s">
        <v>3973</v>
      </c>
      <c r="C4141" s="9">
        <v>1205</v>
      </c>
      <c r="D4141" s="0">
        <v>3</v>
      </c>
      <c r="E4141" s="10">
        <f>HYPERLINK("http://www.lingerieopt.ru/images/original/42373483-b5e8-4a5e-8761-8735c2ac02b2.jpg","Фото")</f>
      </c>
    </row>
    <row r="4142">
      <c r="A4142" s="7">
        <f>HYPERLINK("http://www.lingerieopt.ru/item/5337-oblegayuschee-poluprozrachnoe-plate-na-odnoi-lyamke/","5337")</f>
      </c>
      <c r="B4142" s="8" t="s">
        <v>3974</v>
      </c>
      <c r="C4142" s="9">
        <v>1205</v>
      </c>
      <c r="D4142" s="0">
        <v>6</v>
      </c>
      <c r="E4142" s="10">
        <f>HYPERLINK("http://www.lingerieopt.ru/images/original/42373483-b5e8-4a5e-8761-8735c2ac02b2.jpg","Фото")</f>
      </c>
    </row>
    <row r="4143">
      <c r="A4143" s="7">
        <f>HYPERLINK("http://www.lingerieopt.ru/item/5639-novogodnee-mini-plate-s-mehovoi-otdelkoi/","5639")</f>
      </c>
      <c r="B4143" s="8" t="s">
        <v>3975</v>
      </c>
      <c r="C4143" s="9">
        <v>1981</v>
      </c>
      <c r="D4143" s="0">
        <v>1</v>
      </c>
      <c r="E4143" s="10">
        <f>HYPERLINK("http://www.lingerieopt.ru/images/original/0d0864ff-c254-43dc-a65f-0c542f4aa3bc.jpg","Фото")</f>
      </c>
    </row>
    <row r="4144">
      <c r="A4144" s="7">
        <f>HYPERLINK("http://www.lingerieopt.ru/item/5639-novogodnee-mini-plate-s-mehovoi-otdelkoi/","5639")</f>
      </c>
      <c r="B4144" s="8" t="s">
        <v>3976</v>
      </c>
      <c r="C4144" s="9">
        <v>1981</v>
      </c>
      <c r="D4144" s="0">
        <v>0</v>
      </c>
      <c r="E4144" s="10">
        <f>HYPERLINK("http://www.lingerieopt.ru/images/original/0d0864ff-c254-43dc-a65f-0c542f4aa3bc.jpg","Фото")</f>
      </c>
    </row>
    <row r="4145">
      <c r="A4145" s="7">
        <f>HYPERLINK("http://www.lingerieopt.ru/item/5932-plate-xymena-s-kolechkami-na-poyase/","5932")</f>
      </c>
      <c r="B4145" s="8" t="s">
        <v>3629</v>
      </c>
      <c r="C4145" s="9">
        <v>1474</v>
      </c>
      <c r="D4145" s="0">
        <v>30</v>
      </c>
      <c r="E4145" s="10">
        <f>HYPERLINK("http://www.lingerieopt.ru/images/original/621487c2-8f20-4251-956a-df297e9a4e31.jpg","Фото")</f>
      </c>
    </row>
    <row r="4146">
      <c r="A4146" s="7">
        <f>HYPERLINK("http://www.lingerieopt.ru/item/5932-plate-xymena-s-kolechkami-na-poyase/","5932")</f>
      </c>
      <c r="B4146" s="8" t="s">
        <v>3630</v>
      </c>
      <c r="C4146" s="9">
        <v>1474</v>
      </c>
      <c r="D4146" s="0">
        <v>61</v>
      </c>
      <c r="E4146" s="10">
        <f>HYPERLINK("http://www.lingerieopt.ru/images/original/621487c2-8f20-4251-956a-df297e9a4e31.jpg","Фото")</f>
      </c>
    </row>
    <row r="4147">
      <c r="A4147" s="7">
        <f>HYPERLINK("http://www.lingerieopt.ru/item/5933-oblegayuschee-plate-lea-s-effektom-mokrogo-bleska/","5933")</f>
      </c>
      <c r="B4147" s="8" t="s">
        <v>3631</v>
      </c>
      <c r="C4147" s="9">
        <v>1474</v>
      </c>
      <c r="D4147" s="0">
        <v>32</v>
      </c>
      <c r="E4147" s="10">
        <f>HYPERLINK("http://www.lingerieopt.ru/images/original/144e7a95-99a3-4bbb-aebb-ef8feab60f98.jpg","Фото")</f>
      </c>
    </row>
    <row r="4148">
      <c r="A4148" s="7">
        <f>HYPERLINK("http://www.lingerieopt.ru/item/5933-oblegayuschee-plate-lea-s-effektom-mokrogo-bleska/","5933")</f>
      </c>
      <c r="B4148" s="8" t="s">
        <v>3632</v>
      </c>
      <c r="C4148" s="9">
        <v>1474</v>
      </c>
      <c r="D4148" s="0">
        <v>22</v>
      </c>
      <c r="E4148" s="10">
        <f>HYPERLINK("http://www.lingerieopt.ru/images/original/144e7a95-99a3-4bbb-aebb-ef8feab60f98.jpg","Фото")</f>
      </c>
    </row>
    <row r="4149">
      <c r="A4149" s="7">
        <f>HYPERLINK("http://www.lingerieopt.ru/item/5999-dvustoronnee-plate-na-bretelyah/","5999")</f>
      </c>
      <c r="B4149" s="8" t="s">
        <v>3977</v>
      </c>
      <c r="C4149" s="9">
        <v>1949</v>
      </c>
      <c r="D4149" s="0">
        <v>1</v>
      </c>
      <c r="E4149" s="10">
        <f>HYPERLINK("http://www.lingerieopt.ru/images/original/f448b96e-fcbc-4e0b-90ea-5cca16e865c9.jpg","Фото")</f>
      </c>
    </row>
    <row r="4150">
      <c r="A4150" s="7">
        <f>HYPERLINK("http://www.lingerieopt.ru/item/6013-plate-red-heart-iz-cvetochnogo-gipyura/","6013")</f>
      </c>
      <c r="B4150" s="8" t="s">
        <v>3978</v>
      </c>
      <c r="C4150" s="9">
        <v>1787</v>
      </c>
      <c r="D4150" s="0">
        <v>3</v>
      </c>
      <c r="E4150" s="10">
        <f>HYPERLINK("http://www.lingerieopt.ru/images/original/79e76295-15a0-4b36-a93b-732046e73c5f.jpg","Фото")</f>
      </c>
    </row>
    <row r="4151">
      <c r="A4151" s="7">
        <f>HYPERLINK("http://www.lingerieopt.ru/item/6140-oblegayuschee-plate-s-kruzhevnoi-vstavkoi/","6140")</f>
      </c>
      <c r="B4151" s="8" t="s">
        <v>3979</v>
      </c>
      <c r="C4151" s="9">
        <v>1787</v>
      </c>
      <c r="D4151" s="0">
        <v>6</v>
      </c>
      <c r="E4151" s="10">
        <f>HYPERLINK("http://www.lingerieopt.ru/images/original/335cebf2-d873-4d62-83fd-f161c58fede7.jpg","Фото")</f>
      </c>
    </row>
    <row r="4152">
      <c r="A4152" s="7">
        <f>HYPERLINK("http://www.lingerieopt.ru/item/6275-effektnoe-plate-setka-s-gorizontalnjmi-polosami/","6275")</f>
      </c>
      <c r="B4152" s="8" t="s">
        <v>3980</v>
      </c>
      <c r="C4152" s="9">
        <v>636</v>
      </c>
      <c r="D4152" s="0">
        <v>2</v>
      </c>
      <c r="E4152" s="10">
        <f>HYPERLINK("http://www.lingerieopt.ru/images/original/8fc2487e-6d08-443c-b624-1b6889dcf6cf.jpg","Фото")</f>
      </c>
    </row>
    <row r="4153">
      <c r="A4153" s="7">
        <f>HYPERLINK("http://www.lingerieopt.ru/item/6275-effektnoe-plate-setka-s-gorizontalnjmi-polosami/","6275")</f>
      </c>
      <c r="B4153" s="8" t="s">
        <v>3981</v>
      </c>
      <c r="C4153" s="9">
        <v>636</v>
      </c>
      <c r="D4153" s="0">
        <v>11</v>
      </c>
      <c r="E4153" s="10">
        <f>HYPERLINK("http://www.lingerieopt.ru/images/original/8fc2487e-6d08-443c-b624-1b6889dcf6cf.jpg","Фото")</f>
      </c>
    </row>
    <row r="4154">
      <c r="A4154" s="7">
        <f>HYPERLINK("http://www.lingerieopt.ru/item/6275-effektnoe-plate-setka-s-gorizontalnjmi-polosami/","6275")</f>
      </c>
      <c r="B4154" s="8" t="s">
        <v>3982</v>
      </c>
      <c r="C4154" s="9">
        <v>636</v>
      </c>
      <c r="D4154" s="0">
        <v>8</v>
      </c>
      <c r="E4154" s="10">
        <f>HYPERLINK("http://www.lingerieopt.ru/images/original/8fc2487e-6d08-443c-b624-1b6889dcf6cf.jpg","Фото")</f>
      </c>
    </row>
    <row r="4155">
      <c r="A4155" s="7">
        <f>HYPERLINK("http://www.lingerieopt.ru/item/6276-plate-setka-s-v-obraznoi-plotnoi-vstavkoi/","6276")</f>
      </c>
      <c r="B4155" s="8" t="s">
        <v>3983</v>
      </c>
      <c r="C4155" s="9">
        <v>917</v>
      </c>
      <c r="D4155" s="0">
        <v>20</v>
      </c>
      <c r="E4155" s="10">
        <f>HYPERLINK("http://www.lingerieopt.ru/images/original/831104f2-b17f-4d44-bdb1-006b70f96fff.jpg","Фото")</f>
      </c>
    </row>
    <row r="4156">
      <c r="A4156" s="7">
        <f>HYPERLINK("http://www.lingerieopt.ru/item/6276-plate-setka-s-v-obraznoi-plotnoi-vstavkoi/","6276")</f>
      </c>
      <c r="B4156" s="8" t="s">
        <v>3984</v>
      </c>
      <c r="C4156" s="9">
        <v>917</v>
      </c>
      <c r="D4156" s="0">
        <v>12</v>
      </c>
      <c r="E4156" s="10">
        <f>HYPERLINK("http://www.lingerieopt.ru/images/original/831104f2-b17f-4d44-bdb1-006b70f96fff.jpg","Фото")</f>
      </c>
    </row>
    <row r="4157">
      <c r="A4157" s="7">
        <f>HYPERLINK("http://www.lingerieopt.ru/item/6276-plate-setka-s-v-obraznoi-plotnoi-vstavkoi/","6276")</f>
      </c>
      <c r="B4157" s="8" t="s">
        <v>3985</v>
      </c>
      <c r="C4157" s="9">
        <v>917</v>
      </c>
      <c r="D4157" s="0">
        <v>15</v>
      </c>
      <c r="E4157" s="10">
        <f>HYPERLINK("http://www.lingerieopt.ru/images/original/831104f2-b17f-4d44-bdb1-006b70f96fff.jpg","Фото")</f>
      </c>
    </row>
    <row r="4158">
      <c r="A4158" s="7">
        <f>HYPERLINK("http://www.lingerieopt.ru/item/6277-oblegayuschee-plate-s-setevjmi-vstavkami-po-bokam/","6277")</f>
      </c>
      <c r="B4158" s="8" t="s">
        <v>3986</v>
      </c>
      <c r="C4158" s="9">
        <v>636</v>
      </c>
      <c r="D4158" s="0">
        <v>11</v>
      </c>
      <c r="E4158" s="10">
        <f>HYPERLINK("http://www.lingerieopt.ru/images/original/0ea6d9e6-14d9-4eca-89ad-e0c9c069c6c1.jpg","Фото")</f>
      </c>
    </row>
    <row r="4159">
      <c r="A4159" s="7">
        <f>HYPERLINK("http://www.lingerieopt.ru/item/6277-oblegayuschee-plate-s-setevjmi-vstavkami-po-bokam/","6277")</f>
      </c>
      <c r="B4159" s="8" t="s">
        <v>3987</v>
      </c>
      <c r="C4159" s="9">
        <v>636</v>
      </c>
      <c r="D4159" s="0">
        <v>0</v>
      </c>
      <c r="E4159" s="10">
        <f>HYPERLINK("http://www.lingerieopt.ru/images/original/0ea6d9e6-14d9-4eca-89ad-e0c9c069c6c1.jpg","Фото")</f>
      </c>
    </row>
    <row r="4160">
      <c r="A4160" s="7">
        <f>HYPERLINK("http://www.lingerieopt.ru/item/6278-effektnoe-plate-s-setchatjmi-dlinnjmi-rukavami/","6278")</f>
      </c>
      <c r="B4160" s="8" t="s">
        <v>3988</v>
      </c>
      <c r="C4160" s="9">
        <v>1000</v>
      </c>
      <c r="D4160" s="0">
        <v>1</v>
      </c>
      <c r="E4160" s="10">
        <f>HYPERLINK("http://www.lingerieopt.ru/images/original/ed63f359-8c2d-4f0e-82bf-5e88fa3fd828.jpg","Фото")</f>
      </c>
    </row>
    <row r="4161">
      <c r="A4161" s="7">
        <f>HYPERLINK("http://www.lingerieopt.ru/item/6278-effektnoe-plate-s-setchatjmi-dlinnjmi-rukavami/","6278")</f>
      </c>
      <c r="B4161" s="8" t="s">
        <v>3989</v>
      </c>
      <c r="C4161" s="9">
        <v>1000</v>
      </c>
      <c r="D4161" s="0">
        <v>5</v>
      </c>
      <c r="E4161" s="10">
        <f>HYPERLINK("http://www.lingerieopt.ru/images/original/ed63f359-8c2d-4f0e-82bf-5e88fa3fd828.jpg","Фото")</f>
      </c>
    </row>
    <row r="4162">
      <c r="A4162" s="7">
        <f>HYPERLINK("http://www.lingerieopt.ru/item/6297-azhurnoe-plate-azure-s-otkrjtoi-spinoi/","6297")</f>
      </c>
      <c r="B4162" s="8" t="s">
        <v>3990</v>
      </c>
      <c r="C4162" s="9">
        <v>1746</v>
      </c>
      <c r="D4162" s="0">
        <v>1</v>
      </c>
      <c r="E4162" s="10">
        <f>HYPERLINK("http://www.lingerieopt.ru/images/original/86ffe945-190c-42ea-811b-bfec2c186d5d.jpg","Фото")</f>
      </c>
    </row>
    <row r="4163">
      <c r="A4163" s="7">
        <f>HYPERLINK("http://www.lingerieopt.ru/item/6297-azhurnoe-plate-azure-s-otkrjtoi-spinoi/","6297")</f>
      </c>
      <c r="B4163" s="8" t="s">
        <v>3991</v>
      </c>
      <c r="C4163" s="9">
        <v>1746</v>
      </c>
      <c r="D4163" s="0">
        <v>0</v>
      </c>
      <c r="E4163" s="10">
        <f>HYPERLINK("http://www.lingerieopt.ru/images/original/86ffe945-190c-42ea-811b-bfec2c186d5d.jpg","Фото")</f>
      </c>
    </row>
    <row r="4164">
      <c r="A4164" s="7">
        <f>HYPERLINK("http://www.lingerieopt.ru/item/6297-azhurnoe-plate-azure-s-otkrjtoi-spinoi/","6297")</f>
      </c>
      <c r="B4164" s="8" t="s">
        <v>3992</v>
      </c>
      <c r="C4164" s="9">
        <v>1746</v>
      </c>
      <c r="D4164" s="0">
        <v>0</v>
      </c>
      <c r="E4164" s="10">
        <f>HYPERLINK("http://www.lingerieopt.ru/images/original/86ffe945-190c-42ea-811b-bfec2c186d5d.jpg","Фото")</f>
      </c>
    </row>
    <row r="4165">
      <c r="A4165" s="7">
        <f>HYPERLINK("http://www.lingerieopt.ru/item/6297-azhurnoe-plate-azure-s-otkrjtoi-spinoi/","6297")</f>
      </c>
      <c r="B4165" s="8" t="s">
        <v>3993</v>
      </c>
      <c r="C4165" s="9">
        <v>1746</v>
      </c>
      <c r="D4165" s="0">
        <v>0</v>
      </c>
      <c r="E4165" s="10">
        <f>HYPERLINK("http://www.lingerieopt.ru/images/original/86ffe945-190c-42ea-811b-bfec2c186d5d.jpg","Фото")</f>
      </c>
    </row>
    <row r="4166">
      <c r="A4166" s="7">
        <f>HYPERLINK("http://www.lingerieopt.ru/item/6297-azhurnoe-plate-azure-s-otkrjtoi-spinoi/","6297")</f>
      </c>
      <c r="B4166" s="8" t="s">
        <v>3994</v>
      </c>
      <c r="C4166" s="9">
        <v>1746</v>
      </c>
      <c r="D4166" s="0">
        <v>0</v>
      </c>
      <c r="E4166" s="10">
        <f>HYPERLINK("http://www.lingerieopt.ru/images/original/86ffe945-190c-42ea-811b-bfec2c186d5d.jpg","Фото")</f>
      </c>
    </row>
    <row r="4167">
      <c r="A4167" s="7">
        <f>HYPERLINK("http://www.lingerieopt.ru/item/6297-azhurnoe-plate-azure-s-otkrjtoi-spinoi/","6297")</f>
      </c>
      <c r="B4167" s="8" t="s">
        <v>3995</v>
      </c>
      <c r="C4167" s="9">
        <v>1746</v>
      </c>
      <c r="D4167" s="0">
        <v>0</v>
      </c>
      <c r="E4167" s="10">
        <f>HYPERLINK("http://www.lingerieopt.ru/images/original/86ffe945-190c-42ea-811b-bfec2c186d5d.jpg","Фото")</f>
      </c>
    </row>
    <row r="4168">
      <c r="A4168" s="7">
        <f>HYPERLINK("http://www.lingerieopt.ru/item/6297-azhurnoe-plate-azure-s-otkrjtoi-spinoi/","6297")</f>
      </c>
      <c r="B4168" s="8" t="s">
        <v>3996</v>
      </c>
      <c r="C4168" s="9">
        <v>1746</v>
      </c>
      <c r="D4168" s="0">
        <v>1</v>
      </c>
      <c r="E4168" s="10">
        <f>HYPERLINK("http://www.lingerieopt.ru/images/original/86ffe945-190c-42ea-811b-bfec2c186d5d.jpg","Фото")</f>
      </c>
    </row>
    <row r="4169">
      <c r="A4169" s="7">
        <f>HYPERLINK("http://www.lingerieopt.ru/item/6298-plate-beatrix-s-otkrjtoi-grudyu/","6298")</f>
      </c>
      <c r="B4169" s="8" t="s">
        <v>3634</v>
      </c>
      <c r="C4169" s="9">
        <v>1812</v>
      </c>
      <c r="D4169" s="0">
        <v>5</v>
      </c>
      <c r="E4169" s="10">
        <f>HYPERLINK("http://www.lingerieopt.ru/images/original/f9084482-032f-4fe6-a271-7a09305c1f02.jpg","Фото")</f>
      </c>
    </row>
    <row r="4170">
      <c r="A4170" s="7">
        <f>HYPERLINK("http://www.lingerieopt.ru/item/6298-plate-beatrix-s-otkrjtoi-grudyu/","6298")</f>
      </c>
      <c r="B4170" s="8" t="s">
        <v>3633</v>
      </c>
      <c r="C4170" s="9">
        <v>1812</v>
      </c>
      <c r="D4170" s="0">
        <v>10</v>
      </c>
      <c r="E4170" s="10">
        <f>HYPERLINK("http://www.lingerieopt.ru/images/original/f9084482-032f-4fe6-a271-7a09305c1f02.jpg","Фото")</f>
      </c>
    </row>
    <row r="4171">
      <c r="A4171" s="7">
        <f>HYPERLINK("http://www.lingerieopt.ru/item/6298-plate-beatrix-s-otkrjtoi-grudyu/","6298")</f>
      </c>
      <c r="B4171" s="8" t="s">
        <v>3635</v>
      </c>
      <c r="C4171" s="9">
        <v>1812</v>
      </c>
      <c r="D4171" s="0">
        <v>14</v>
      </c>
      <c r="E4171" s="10">
        <f>HYPERLINK("http://www.lingerieopt.ru/images/original/f9084482-032f-4fe6-a271-7a09305c1f02.jpg","Фото")</f>
      </c>
    </row>
    <row r="4172">
      <c r="A4172" s="7">
        <f>HYPERLINK("http://www.lingerieopt.ru/item/6299-dlinnoe-plate-dorothea-s-vjrezami-po-vsei-dline/","6299")</f>
      </c>
      <c r="B4172" s="8" t="s">
        <v>3636</v>
      </c>
      <c r="C4172" s="9">
        <v>3160</v>
      </c>
      <c r="D4172" s="0">
        <v>20</v>
      </c>
      <c r="E4172" s="10">
        <f>HYPERLINK("http://www.lingerieopt.ru/images/original/3e91d3ab-7949-4475-99b1-e5c3602b73a6.jpg","Фото")</f>
      </c>
    </row>
    <row r="4173">
      <c r="A4173" s="7">
        <f>HYPERLINK("http://www.lingerieopt.ru/item/6299-dlinnoe-plate-dorothea-s-vjrezami-po-vsei-dline/","6299")</f>
      </c>
      <c r="B4173" s="8" t="s">
        <v>3637</v>
      </c>
      <c r="C4173" s="9">
        <v>3160</v>
      </c>
      <c r="D4173" s="0">
        <v>15</v>
      </c>
      <c r="E4173" s="10">
        <f>HYPERLINK("http://www.lingerieopt.ru/images/original/3e91d3ab-7949-4475-99b1-e5c3602b73a6.jpg","Фото")</f>
      </c>
    </row>
    <row r="4174">
      <c r="A4174" s="7">
        <f>HYPERLINK("http://www.lingerieopt.ru/item/6300-plate-iris-s-korsetnoi-chastyu/","6300")</f>
      </c>
      <c r="B4174" s="8" t="s">
        <v>3997</v>
      </c>
      <c r="C4174" s="9">
        <v>2324</v>
      </c>
      <c r="D4174" s="0">
        <v>3</v>
      </c>
      <c r="E4174" s="10">
        <f>HYPERLINK("http://www.lingerieopt.ru/images/original/bd4577a8-5195-4157-8d12-cedcc15ce5c1.jpg","Фото")</f>
      </c>
    </row>
    <row r="4175">
      <c r="A4175" s="7">
        <f>HYPERLINK("http://www.lingerieopt.ru/item/6300-plate-iris-s-korsetnoi-chastyu/","6300")</f>
      </c>
      <c r="B4175" s="8" t="s">
        <v>3998</v>
      </c>
      <c r="C4175" s="9">
        <v>2324</v>
      </c>
      <c r="D4175" s="0">
        <v>0</v>
      </c>
      <c r="E4175" s="10">
        <f>HYPERLINK("http://www.lingerieopt.ru/images/original/bd4577a8-5195-4157-8d12-cedcc15ce5c1.jpg","Фото")</f>
      </c>
    </row>
    <row r="4176">
      <c r="A4176" s="7">
        <f>HYPERLINK("http://www.lingerieopt.ru/item/6301-plate-setka-malvina-s-polosami/","6301")</f>
      </c>
      <c r="B4176" s="8" t="s">
        <v>3999</v>
      </c>
      <c r="C4176" s="9">
        <v>2183</v>
      </c>
      <c r="D4176" s="0">
        <v>20</v>
      </c>
      <c r="E4176" s="10">
        <f>HYPERLINK("http://www.lingerieopt.ru/images/original/1c0bd90c-e34b-4d50-96f5-a2f3567875fb.jpg","Фото")</f>
      </c>
    </row>
    <row r="4177">
      <c r="A4177" s="7">
        <f>HYPERLINK("http://www.lingerieopt.ru/item/6301-plate-setka-malvina-s-polosami/","6301")</f>
      </c>
      <c r="B4177" s="8" t="s">
        <v>4000</v>
      </c>
      <c r="C4177" s="9">
        <v>2183</v>
      </c>
      <c r="D4177" s="0">
        <v>13</v>
      </c>
      <c r="E4177" s="10">
        <f>HYPERLINK("http://www.lingerieopt.ru/images/original/1c0bd90c-e34b-4d50-96f5-a2f3567875fb.jpg","Фото")</f>
      </c>
    </row>
    <row r="4178">
      <c r="A4178" s="7">
        <f>HYPERLINK("http://www.lingerieopt.ru/item/6302-kruzhevnoe-plate-maxime/","6302")</f>
      </c>
      <c r="B4178" s="8" t="s">
        <v>4001</v>
      </c>
      <c r="C4178" s="9">
        <v>2621</v>
      </c>
      <c r="D4178" s="0">
        <v>1</v>
      </c>
      <c r="E4178" s="10">
        <f>HYPERLINK("http://www.lingerieopt.ru/images/original/2ed0a80e-9105-483c-a10f-76dec7513421.jpg","Фото")</f>
      </c>
    </row>
    <row r="4179">
      <c r="A4179" s="7">
        <f>HYPERLINK("http://www.lingerieopt.ru/item/6304-otkrovennoe-plate-ursel-s-poluotkrjtoi-popkoi/","6304")</f>
      </c>
      <c r="B4179" s="8" t="s">
        <v>3639</v>
      </c>
      <c r="C4179" s="9">
        <v>2358</v>
      </c>
      <c r="D4179" s="0">
        <v>12</v>
      </c>
      <c r="E4179" s="10">
        <f>HYPERLINK("http://www.lingerieopt.ru/images/original/48e274d6-dce8-40ea-8753-071f900da7cf.jpg","Фото")</f>
      </c>
    </row>
    <row r="4180">
      <c r="A4180" s="7">
        <f>HYPERLINK("http://www.lingerieopt.ru/item/6304-otkrovennoe-plate-ursel-s-poluotkrjtoi-popkoi/","6304")</f>
      </c>
      <c r="B4180" s="8" t="s">
        <v>3638</v>
      </c>
      <c r="C4180" s="9">
        <v>2358</v>
      </c>
      <c r="D4180" s="0">
        <v>20</v>
      </c>
      <c r="E4180" s="10">
        <f>HYPERLINK("http://www.lingerieopt.ru/images/original/48e274d6-dce8-40ea-8753-071f900da7cf.jpg","Фото")</f>
      </c>
    </row>
    <row r="4181">
      <c r="A4181" s="7">
        <f>HYPERLINK("http://www.lingerieopt.ru/item/6305-dvuhstoronnee-plate-s-cepyami-veronique/","6305")</f>
      </c>
      <c r="B4181" s="8" t="s">
        <v>3641</v>
      </c>
      <c r="C4181" s="9">
        <v>2249</v>
      </c>
      <c r="D4181" s="0">
        <v>20</v>
      </c>
      <c r="E4181" s="10">
        <f>HYPERLINK("http://www.lingerieopt.ru/images/original/bf0df199-030b-4d8d-ab56-86f21c780a89.jpg","Фото")</f>
      </c>
    </row>
    <row r="4182">
      <c r="A4182" s="7">
        <f>HYPERLINK("http://www.lingerieopt.ru/item/6305-dvuhstoronnee-plate-s-cepyami-veronique/","6305")</f>
      </c>
      <c r="B4182" s="8" t="s">
        <v>3640</v>
      </c>
      <c r="C4182" s="9">
        <v>2249</v>
      </c>
      <c r="D4182" s="0">
        <v>8</v>
      </c>
      <c r="E4182" s="10">
        <f>HYPERLINK("http://www.lingerieopt.ru/images/original/bf0df199-030b-4d8d-ab56-86f21c780a89.jpg","Фото")</f>
      </c>
    </row>
    <row r="4183">
      <c r="A4183" s="7">
        <f>HYPERLINK("http://www.lingerieopt.ru/item/6318-pikantnoe-plate-anette-s-cepochkami/","6318")</f>
      </c>
      <c r="B4183" s="8" t="s">
        <v>3642</v>
      </c>
      <c r="C4183" s="9">
        <v>2309</v>
      </c>
      <c r="D4183" s="0">
        <v>11</v>
      </c>
      <c r="E4183" s="10">
        <f>HYPERLINK("http://www.lingerieopt.ru/images/original/e28e2715-402d-40f5-9e7d-607a65cd28ce.jpg","Фото")</f>
      </c>
    </row>
    <row r="4184">
      <c r="A4184" s="7">
        <f>HYPERLINK("http://www.lingerieopt.ru/item/6318-pikantnoe-plate-anette-s-cepochkami/","6318")</f>
      </c>
      <c r="B4184" s="8" t="s">
        <v>3643</v>
      </c>
      <c r="C4184" s="9">
        <v>2309</v>
      </c>
      <c r="D4184" s="0">
        <v>4</v>
      </c>
      <c r="E4184" s="10">
        <f>HYPERLINK("http://www.lingerieopt.ru/images/original/e28e2715-402d-40f5-9e7d-607a65cd28ce.jpg","Фото")</f>
      </c>
    </row>
    <row r="4185">
      <c r="A4185" s="7">
        <f>HYPERLINK("http://www.lingerieopt.ru/item/6319-bondazhnoe-plate-lucie-iz-shirokih-polos/","6319")</f>
      </c>
      <c r="B4185" s="8" t="s">
        <v>4002</v>
      </c>
      <c r="C4185" s="9">
        <v>2183</v>
      </c>
      <c r="D4185" s="0">
        <v>3</v>
      </c>
      <c r="E4185" s="10">
        <f>HYPERLINK("http://www.lingerieopt.ru/images/original/284f8250-0262-45a9-850b-6068f38af7c7.jpg","Фото")</f>
      </c>
    </row>
    <row r="4186">
      <c r="A4186" s="7">
        <f>HYPERLINK("http://www.lingerieopt.ru/item/6377-dlinnoe-oblegayuschee-plate-bez-bretelei-big-spender-seamless-long-dress/","6377")</f>
      </c>
      <c r="B4186" s="8" t="s">
        <v>4003</v>
      </c>
      <c r="C4186" s="9">
        <v>2928</v>
      </c>
      <c r="D4186" s="0">
        <v>5</v>
      </c>
      <c r="E4186" s="10">
        <f>HYPERLINK("http://www.lingerieopt.ru/images/original/fe07ad86-566a-4869-9a8b-75e68bfd8351.jpg","Фото")</f>
      </c>
    </row>
    <row r="4187">
      <c r="A4187" s="7">
        <f>HYPERLINK("http://www.lingerieopt.ru/item/6400-plate-iris-premium-s-korsetnoi-chastyu-i-chulkami/","6400")</f>
      </c>
      <c r="B4187" s="8" t="s">
        <v>3644</v>
      </c>
      <c r="C4187" s="9">
        <v>3346</v>
      </c>
      <c r="D4187" s="0">
        <v>2</v>
      </c>
      <c r="E4187" s="10">
        <f>HYPERLINK("http://www.lingerieopt.ru/images/original/9c0e617b-328d-4b01-8035-a8692ac7f3b5.jpg","Фото")</f>
      </c>
    </row>
    <row r="4188">
      <c r="A4188" s="7">
        <f>HYPERLINK("http://www.lingerieopt.ru/item/6400-plate-iris-premium-s-korsetnoi-chastyu-i-chulkami/","6400")</f>
      </c>
      <c r="B4188" s="8" t="s">
        <v>3645</v>
      </c>
      <c r="C4188" s="9">
        <v>3346</v>
      </c>
      <c r="D4188" s="0">
        <v>3</v>
      </c>
      <c r="E4188" s="10">
        <f>HYPERLINK("http://www.lingerieopt.ru/images/original/9c0e617b-328d-4b01-8035-a8692ac7f3b5.jpg","Фото")</f>
      </c>
    </row>
    <row r="4189">
      <c r="A4189" s="7">
        <f>HYPERLINK("http://www.lingerieopt.ru/item/6402-plate-veronique-3-s-effektom-mokroi-tkani/","6402")</f>
      </c>
      <c r="B4189" s="8" t="s">
        <v>3647</v>
      </c>
      <c r="C4189" s="9">
        <v>2249</v>
      </c>
      <c r="D4189" s="0">
        <v>17</v>
      </c>
      <c r="E4189" s="10">
        <f>HYPERLINK("http://www.lingerieopt.ru/images/original/fc18e8ac-6964-44a4-a645-da02c4f9407b.jpg","Фото")</f>
      </c>
    </row>
    <row r="4190">
      <c r="A4190" s="7">
        <f>HYPERLINK("http://www.lingerieopt.ru/item/6402-plate-veronique-3-s-effektom-mokroi-tkani/","6402")</f>
      </c>
      <c r="B4190" s="8" t="s">
        <v>3646</v>
      </c>
      <c r="C4190" s="9">
        <v>2249</v>
      </c>
      <c r="D4190" s="0">
        <v>2</v>
      </c>
      <c r="E4190" s="10">
        <f>HYPERLINK("http://www.lingerieopt.ru/images/original/fc18e8ac-6964-44a4-a645-da02c4f9407b.jpg","Фото")</f>
      </c>
    </row>
    <row r="4191">
      <c r="A4191" s="7">
        <f>HYPERLINK("http://www.lingerieopt.ru/item/6730-dlinnoe-plate-anastasia/","6730")</f>
      </c>
      <c r="B4191" s="8" t="s">
        <v>4004</v>
      </c>
      <c r="C4191" s="9">
        <v>2740</v>
      </c>
      <c r="D4191" s="0">
        <v>19</v>
      </c>
      <c r="E4191" s="10">
        <f>HYPERLINK("http://www.lingerieopt.ru/images/original/a6541d88-ba10-48ed-917d-09b51122a3da.jpg","Фото")</f>
      </c>
    </row>
    <row r="4192">
      <c r="A4192" s="7">
        <f>HYPERLINK("http://www.lingerieopt.ru/item/6731-mini-plate-dagmar-s-vjrezami-na-spine-i-pope/","6731")</f>
      </c>
      <c r="B4192" s="8" t="s">
        <v>4005</v>
      </c>
      <c r="C4192" s="9">
        <v>2740</v>
      </c>
      <c r="D4192" s="0">
        <v>1</v>
      </c>
      <c r="E4192" s="10">
        <f>HYPERLINK("http://www.lingerieopt.ru/images/original/590c1176-c769-4071-a003-b8cac1346ec3.jpg","Фото")</f>
      </c>
    </row>
    <row r="4193">
      <c r="A4193" s="7">
        <f>HYPERLINK("http://www.lingerieopt.ru/item/6732-derzkoe-plate-martha-s-oborkami/","6732")</f>
      </c>
      <c r="B4193" s="8" t="s">
        <v>3649</v>
      </c>
      <c r="C4193" s="9">
        <v>3013</v>
      </c>
      <c r="D4193" s="0">
        <v>3</v>
      </c>
      <c r="E4193" s="10">
        <f>HYPERLINK("http://www.lingerieopt.ru/images/original/d08cd9d9-77de-4d20-b987-562aa042406c.jpg","Фото")</f>
      </c>
    </row>
    <row r="4194">
      <c r="A4194" s="7">
        <f>HYPERLINK("http://www.lingerieopt.ru/item/6733-plate-martha-premium-v-komplekte-s-chulkami/","6733")</f>
      </c>
      <c r="B4194" s="8" t="s">
        <v>3650</v>
      </c>
      <c r="C4194" s="9">
        <v>3299</v>
      </c>
      <c r="D4194" s="0">
        <v>3</v>
      </c>
      <c r="E4194" s="10">
        <f>HYPERLINK("http://www.lingerieopt.ru/images/original/f41a7a05-d3e0-4c97-8126-4b15106d3b8c.jpg","Фото")</f>
      </c>
    </row>
    <row r="4195">
      <c r="A4195" s="7">
        <f>HYPERLINK("http://www.lingerieopt.ru/item/6977-plate-s-otkrjtoi-grudyu-yuriko-s-verevkami-dlya-svyazjvaniya-v-komplekte/","6977")</f>
      </c>
      <c r="B4195" s="8" t="s">
        <v>4006</v>
      </c>
      <c r="C4195" s="9">
        <v>3685</v>
      </c>
      <c r="D4195" s="0">
        <v>2</v>
      </c>
      <c r="E4195" s="10">
        <f>HYPERLINK("http://www.lingerieopt.ru/images/original/74042d5d-39d8-4fea-a6a9-91a13faa0284.jpg","Фото")</f>
      </c>
    </row>
    <row r="4196">
      <c r="A4196" s="7">
        <f>HYPERLINK("http://www.lingerieopt.ru/item/6977-plate-s-otkrjtoi-grudyu-yuriko-s-verevkami-dlya-svyazjvaniya-v-komplekte/","6977")</f>
      </c>
      <c r="B4196" s="8" t="s">
        <v>4007</v>
      </c>
      <c r="C4196" s="9">
        <v>3685</v>
      </c>
      <c r="D4196" s="0">
        <v>5</v>
      </c>
      <c r="E4196" s="10">
        <f>HYPERLINK("http://www.lingerieopt.ru/images/original/74042d5d-39d8-4fea-a6a9-91a13faa0284.jpg","Фото")</f>
      </c>
    </row>
    <row r="4197">
      <c r="A4197" s="7">
        <f>HYPERLINK("http://www.lingerieopt.ru/item/6977-plate-s-otkrjtoi-grudyu-yuriko-s-verevkami-dlya-svyazjvaniya-v-komplekte/","6977")</f>
      </c>
      <c r="B4197" s="8" t="s">
        <v>4008</v>
      </c>
      <c r="C4197" s="9">
        <v>3685</v>
      </c>
      <c r="D4197" s="0">
        <v>3</v>
      </c>
      <c r="E4197" s="10">
        <f>HYPERLINK("http://www.lingerieopt.ru/images/original/74042d5d-39d8-4fea-a6a9-91a13faa0284.jpg","Фото")</f>
      </c>
    </row>
    <row r="4198">
      <c r="A4198" s="7">
        <f>HYPERLINK("http://www.lingerieopt.ru/item/6984-korotkoe-plate-marissa-s-cvetochnoi-vjshivkoi/","6984")</f>
      </c>
      <c r="B4198" s="8" t="s">
        <v>4009</v>
      </c>
      <c r="C4198" s="9">
        <v>2558</v>
      </c>
      <c r="D4198" s="0">
        <v>1</v>
      </c>
      <c r="E4198" s="10">
        <f>HYPERLINK("http://www.lingerieopt.ru/images/original/d30a6e6c-ee8c-4f46-8076-caef68ed2bae.jpg","Фото")</f>
      </c>
    </row>
    <row r="4199">
      <c r="A4199" s="7">
        <f>HYPERLINK("http://www.lingerieopt.ru/item/6984-korotkoe-plate-marissa-s-cvetochnoi-vjshivkoi/","6984")</f>
      </c>
      <c r="B4199" s="8" t="s">
        <v>4010</v>
      </c>
      <c r="C4199" s="9">
        <v>2558</v>
      </c>
      <c r="D4199" s="0">
        <v>0</v>
      </c>
      <c r="E4199" s="10">
        <f>HYPERLINK("http://www.lingerieopt.ru/images/original/d30a6e6c-ee8c-4f46-8076-caef68ed2bae.jpg","Фото")</f>
      </c>
    </row>
    <row r="4200">
      <c r="A4200" s="7">
        <f>HYPERLINK("http://www.lingerieopt.ru/item/6984-korotkoe-plate-marissa-s-cvetochnoi-vjshivkoi/","6984")</f>
      </c>
      <c r="B4200" s="8" t="s">
        <v>4011</v>
      </c>
      <c r="C4200" s="9">
        <v>2558</v>
      </c>
      <c r="D4200" s="0">
        <v>0</v>
      </c>
      <c r="E4200" s="10">
        <f>HYPERLINK("http://www.lingerieopt.ru/images/original/d30a6e6c-ee8c-4f46-8076-caef68ed2bae.jpg","Фото")</f>
      </c>
    </row>
    <row r="4201">
      <c r="A4201" s="7">
        <f>HYPERLINK("http://www.lingerieopt.ru/item/7216-plate-anita-v-vide-setki-iz-strep-lent/","7216")</f>
      </c>
      <c r="B4201" s="8" t="s">
        <v>4012</v>
      </c>
      <c r="C4201" s="9">
        <v>1743</v>
      </c>
      <c r="D4201" s="0">
        <v>6</v>
      </c>
      <c r="E4201" s="10">
        <f>HYPERLINK("http://www.lingerieopt.ru/images/original/07ee0265-0cac-486e-8749-a23e91c4e176.jpg","Фото")</f>
      </c>
    </row>
    <row r="4202">
      <c r="A4202" s="7">
        <f>HYPERLINK("http://www.lingerieopt.ru/item/7216-plate-anita-v-vide-setki-iz-strep-lent/","7216")</f>
      </c>
      <c r="B4202" s="8" t="s">
        <v>4013</v>
      </c>
      <c r="C4202" s="9">
        <v>1743</v>
      </c>
      <c r="D4202" s="0">
        <v>7</v>
      </c>
      <c r="E4202" s="10">
        <f>HYPERLINK("http://www.lingerieopt.ru/images/original/07ee0265-0cac-486e-8749-a23e91c4e176.jpg","Фото")</f>
      </c>
    </row>
    <row r="4203">
      <c r="A4203" s="7">
        <f>HYPERLINK("http://www.lingerieopt.ru/item/7216-plate-anita-v-vide-setki-iz-strep-lent/","7216")</f>
      </c>
      <c r="B4203" s="8" t="s">
        <v>4014</v>
      </c>
      <c r="C4203" s="9">
        <v>1743</v>
      </c>
      <c r="D4203" s="0">
        <v>3</v>
      </c>
      <c r="E4203" s="10">
        <f>HYPERLINK("http://www.lingerieopt.ru/images/original/07ee0265-0cac-486e-8749-a23e91c4e176.jpg","Фото")</f>
      </c>
    </row>
    <row r="4204">
      <c r="A4204" s="7">
        <f>HYPERLINK("http://www.lingerieopt.ru/item/7216-plate-anita-v-vide-setki-iz-strep-lent/","7216")</f>
      </c>
      <c r="B4204" s="8" t="s">
        <v>4015</v>
      </c>
      <c r="C4204" s="9">
        <v>1743</v>
      </c>
      <c r="D4204" s="0">
        <v>12</v>
      </c>
      <c r="E4204" s="10">
        <f>HYPERLINK("http://www.lingerieopt.ru/images/original/07ee0265-0cac-486e-8749-a23e91c4e176.jpg","Фото")</f>
      </c>
    </row>
    <row r="4205">
      <c r="A4205" s="7">
        <f>HYPERLINK("http://www.lingerieopt.ru/item/7216-plate-anita-v-vide-setki-iz-strep-lent/","7216")</f>
      </c>
      <c r="B4205" s="8" t="s">
        <v>4016</v>
      </c>
      <c r="C4205" s="9">
        <v>1743</v>
      </c>
      <c r="D4205" s="0">
        <v>5</v>
      </c>
      <c r="E4205" s="10">
        <f>HYPERLINK("http://www.lingerieopt.ru/images/original/07ee0265-0cac-486e-8749-a23e91c4e176.jpg","Фото")</f>
      </c>
    </row>
    <row r="4206">
      <c r="A4206" s="7">
        <f>HYPERLINK("http://www.lingerieopt.ru/item/7216-plate-anita-v-vide-setki-iz-strep-lent/","7216")</f>
      </c>
      <c r="B4206" s="8" t="s">
        <v>4017</v>
      </c>
      <c r="C4206" s="9">
        <v>1743</v>
      </c>
      <c r="D4206" s="0">
        <v>6</v>
      </c>
      <c r="E4206" s="10">
        <f>HYPERLINK("http://www.lingerieopt.ru/images/original/07ee0265-0cac-486e-8749-a23e91c4e176.jpg","Фото")</f>
      </c>
    </row>
    <row r="4207">
      <c r="A4207" s="7">
        <f>HYPERLINK("http://www.lingerieopt.ru/item/7392-plate-bez-bretelei-yukiko-s-verevkami-dlya-svyazjvaniya/","7392")</f>
      </c>
      <c r="B4207" s="8" t="s">
        <v>4018</v>
      </c>
      <c r="C4207" s="9">
        <v>3614</v>
      </c>
      <c r="D4207" s="0">
        <v>1</v>
      </c>
      <c r="E4207" s="10">
        <f>HYPERLINK("http://www.lingerieopt.ru/images/original/476ef34d-a808-4c1b-9943-0a823f01092f.jpg","Фото")</f>
      </c>
    </row>
    <row r="4208">
      <c r="A4208" s="7">
        <f>HYPERLINK("http://www.lingerieopt.ru/item/7393-originalnoe-plate-yvone-s-prozrachnjm-podolom/","7393")</f>
      </c>
      <c r="B4208" s="8" t="s">
        <v>4019</v>
      </c>
      <c r="C4208" s="9">
        <v>2510</v>
      </c>
      <c r="D4208" s="0">
        <v>2</v>
      </c>
      <c r="E4208" s="10">
        <f>HYPERLINK("http://www.lingerieopt.ru/images/original/5e83336b-7dfc-49ca-8b8b-0fa472c91608.jpg","Фото")</f>
      </c>
    </row>
    <row r="4209">
      <c r="A4209" s="7">
        <f>HYPERLINK("http://www.lingerieopt.ru/item/7396-otkrovennoe-plate-colette-iz-lent/","7396")</f>
      </c>
      <c r="B4209" s="8" t="s">
        <v>4020</v>
      </c>
      <c r="C4209" s="9">
        <v>2001</v>
      </c>
      <c r="D4209" s="0">
        <v>3</v>
      </c>
      <c r="E4209" s="10">
        <f>HYPERLINK("http://www.lingerieopt.ru/images/original/c01f71af-ff3b-402d-befe-66a8c283a9be.jpg","Фото")</f>
      </c>
    </row>
    <row r="4210">
      <c r="A4210" s="7">
        <f>HYPERLINK("http://www.lingerieopt.ru/item/7396-otkrovennoe-plate-colette-iz-lent/","7396")</f>
      </c>
      <c r="B4210" s="8" t="s">
        <v>4021</v>
      </c>
      <c r="C4210" s="9">
        <v>2001</v>
      </c>
      <c r="D4210" s="0">
        <v>8</v>
      </c>
      <c r="E4210" s="10">
        <f>HYPERLINK("http://www.lingerieopt.ru/images/original/c01f71af-ff3b-402d-befe-66a8c283a9be.jpg","Фото")</f>
      </c>
    </row>
    <row r="4211">
      <c r="A4211" s="7">
        <f>HYPERLINK("http://www.lingerieopt.ru/item/7396-otkrovennoe-plate-colette-iz-lent/","7396")</f>
      </c>
      <c r="B4211" s="8" t="s">
        <v>4022</v>
      </c>
      <c r="C4211" s="9">
        <v>2001</v>
      </c>
      <c r="D4211" s="0">
        <v>7</v>
      </c>
      <c r="E4211" s="10">
        <f>HYPERLINK("http://www.lingerieopt.ru/images/original/c01f71af-ff3b-402d-befe-66a8c283a9be.jpg","Фото")</f>
      </c>
    </row>
    <row r="4212">
      <c r="A4212" s="7">
        <f>HYPERLINK("http://www.lingerieopt.ru/item/7396-otkrovennoe-plate-colette-iz-lent/","7396")</f>
      </c>
      <c r="B4212" s="8" t="s">
        <v>4023</v>
      </c>
      <c r="C4212" s="9">
        <v>2001</v>
      </c>
      <c r="D4212" s="0">
        <v>6</v>
      </c>
      <c r="E4212" s="10">
        <f>HYPERLINK("http://www.lingerieopt.ru/images/original/c01f71af-ff3b-402d-befe-66a8c283a9be.jpg","Фото")</f>
      </c>
    </row>
    <row r="4213">
      <c r="A4213" s="7">
        <f>HYPERLINK("http://www.lingerieopt.ru/item/7396-otkrovennoe-plate-colette-iz-lent/","7396")</f>
      </c>
      <c r="B4213" s="8" t="s">
        <v>4024</v>
      </c>
      <c r="C4213" s="9">
        <v>2001</v>
      </c>
      <c r="D4213" s="0">
        <v>3</v>
      </c>
      <c r="E4213" s="10">
        <f>HYPERLINK("http://www.lingerieopt.ru/images/original/c01f71af-ff3b-402d-befe-66a8c283a9be.jpg","Фото")</f>
      </c>
    </row>
    <row r="4214">
      <c r="A4214" s="7">
        <f>HYPERLINK("http://www.lingerieopt.ru/item/7396-otkrovennoe-plate-colette-iz-lent/","7396")</f>
      </c>
      <c r="B4214" s="8" t="s">
        <v>4025</v>
      </c>
      <c r="C4214" s="9">
        <v>2001</v>
      </c>
      <c r="D4214" s="0">
        <v>12</v>
      </c>
      <c r="E4214" s="10">
        <f>HYPERLINK("http://www.lingerieopt.ru/images/original/c01f71af-ff3b-402d-befe-66a8c283a9be.jpg","Фото")</f>
      </c>
    </row>
    <row r="4215">
      <c r="A4215" s="7">
        <f>HYPERLINK("http://www.lingerieopt.ru/item/7397-provokacionnoe-plate-adele-iz-strep-lent/","7397")</f>
      </c>
      <c r="B4215" s="8" t="s">
        <v>4026</v>
      </c>
      <c r="C4215" s="9">
        <v>2287</v>
      </c>
      <c r="D4215" s="0">
        <v>20</v>
      </c>
      <c r="E4215" s="10">
        <f>HYPERLINK("http://www.lingerieopt.ru/images/original/2ddd5721-c05a-4c8c-84b9-89dd40c03234.jpg","Фото")</f>
      </c>
    </row>
    <row r="4216">
      <c r="A4216" s="7">
        <f>HYPERLINK("http://www.lingerieopt.ru/item/7397-provokacionnoe-plate-adele-iz-strep-lent/","7397")</f>
      </c>
      <c r="B4216" s="8" t="s">
        <v>4027</v>
      </c>
      <c r="C4216" s="9">
        <v>2287</v>
      </c>
      <c r="D4216" s="0">
        <v>11</v>
      </c>
      <c r="E4216" s="10">
        <f>HYPERLINK("http://www.lingerieopt.ru/images/original/2ddd5721-c05a-4c8c-84b9-89dd40c03234.jpg","Фото")</f>
      </c>
    </row>
    <row r="4217">
      <c r="A4217" s="7">
        <f>HYPERLINK("http://www.lingerieopt.ru/item/7397-provokacionnoe-plate-adele-iz-strep-lent/","7397")</f>
      </c>
      <c r="B4217" s="8" t="s">
        <v>4028</v>
      </c>
      <c r="C4217" s="9">
        <v>2287</v>
      </c>
      <c r="D4217" s="0">
        <v>4</v>
      </c>
      <c r="E4217" s="10">
        <f>HYPERLINK("http://www.lingerieopt.ru/images/original/2ddd5721-c05a-4c8c-84b9-89dd40c03234.jpg","Фото")</f>
      </c>
    </row>
    <row r="4218">
      <c r="A4218" s="7">
        <f>HYPERLINK("http://www.lingerieopt.ru/item/7397-provokacionnoe-plate-adele-iz-strep-lent/","7397")</f>
      </c>
      <c r="B4218" s="8" t="s">
        <v>4029</v>
      </c>
      <c r="C4218" s="9">
        <v>2287</v>
      </c>
      <c r="D4218" s="0">
        <v>7</v>
      </c>
      <c r="E4218" s="10">
        <f>HYPERLINK("http://www.lingerieopt.ru/images/original/2ddd5721-c05a-4c8c-84b9-89dd40c03234.jpg","Фото")</f>
      </c>
    </row>
    <row r="4219">
      <c r="A4219" s="7">
        <f>HYPERLINK("http://www.lingerieopt.ru/item/7397-provokacionnoe-plate-adele-iz-strep-lent/","7397")</f>
      </c>
      <c r="B4219" s="8" t="s">
        <v>4030</v>
      </c>
      <c r="C4219" s="9">
        <v>2287</v>
      </c>
      <c r="D4219" s="0">
        <v>8</v>
      </c>
      <c r="E4219" s="10">
        <f>HYPERLINK("http://www.lingerieopt.ru/images/original/2ddd5721-c05a-4c8c-84b9-89dd40c03234.jpg","Фото")</f>
      </c>
    </row>
    <row r="4220">
      <c r="A4220" s="7">
        <f>HYPERLINK("http://www.lingerieopt.ru/item/7397-provokacionnoe-plate-adele-iz-strep-lent/","7397")</f>
      </c>
      <c r="B4220" s="8" t="s">
        <v>4031</v>
      </c>
      <c r="C4220" s="9">
        <v>2287</v>
      </c>
      <c r="D4220" s="0">
        <v>3</v>
      </c>
      <c r="E4220" s="10">
        <f>HYPERLINK("http://www.lingerieopt.ru/images/original/2ddd5721-c05a-4c8c-84b9-89dd40c03234.jpg","Фото")</f>
      </c>
    </row>
    <row r="4221">
      <c r="A4221" s="7">
        <f>HYPERLINK("http://www.lingerieopt.ru/item/7452-dlinnoe-plate-jacqueline-s-glubokim-dekolte-i-vjrezom-na-spine/","7452")</f>
      </c>
      <c r="B4221" s="8" t="s">
        <v>3653</v>
      </c>
      <c r="C4221" s="9">
        <v>3221</v>
      </c>
      <c r="D4221" s="0">
        <v>7</v>
      </c>
      <c r="E4221" s="10">
        <f>HYPERLINK("http://www.lingerieopt.ru/images/original/4992e64d-851b-495c-935d-c040deb4b904.jpg","Фото")</f>
      </c>
    </row>
    <row r="4222">
      <c r="A4222" s="7">
        <f>HYPERLINK("http://www.lingerieopt.ru/item/7452-dlinnoe-plate-jacqueline-s-glubokim-dekolte-i-vjrezom-na-spine/","7452")</f>
      </c>
      <c r="B4222" s="8" t="s">
        <v>3654</v>
      </c>
      <c r="C4222" s="9">
        <v>3221</v>
      </c>
      <c r="D4222" s="0">
        <v>5</v>
      </c>
      <c r="E4222" s="10">
        <f>HYPERLINK("http://www.lingerieopt.ru/images/original/4992e64d-851b-495c-935d-c040deb4b904.jpg","Фото")</f>
      </c>
    </row>
    <row r="4223">
      <c r="A4223" s="7">
        <f>HYPERLINK("http://www.lingerieopt.ru/item/7452-dlinnoe-plate-jacqueline-s-glubokim-dekolte-i-vjrezom-na-spine/","7452")</f>
      </c>
      <c r="B4223" s="8" t="s">
        <v>3652</v>
      </c>
      <c r="C4223" s="9">
        <v>3221</v>
      </c>
      <c r="D4223" s="0">
        <v>7</v>
      </c>
      <c r="E4223" s="10">
        <f>HYPERLINK("http://www.lingerieopt.ru/images/original/4992e64d-851b-495c-935d-c040deb4b904.jpg","Фото")</f>
      </c>
    </row>
    <row r="4224">
      <c r="A4224" s="7">
        <f>HYPERLINK("http://www.lingerieopt.ru/item/7613-plate-maika-marise-v-melkuyu-setku/","7613")</f>
      </c>
      <c r="B4224" s="8" t="s">
        <v>4032</v>
      </c>
      <c r="C4224" s="9">
        <v>502</v>
      </c>
      <c r="D4224" s="0">
        <v>1</v>
      </c>
      <c r="E4224" s="10">
        <f>HYPERLINK("http://www.lingerieopt.ru/images/original/3d7b15c2-934a-44da-a0e6-8046c9eabfad.jpg","Фото")</f>
      </c>
    </row>
    <row r="4225">
      <c r="A4225" s="7">
        <f>HYPERLINK("http://www.lingerieopt.ru/item/7613-plate-maika-marise-v-melkuyu-setku/","7613")</f>
      </c>
      <c r="B4225" s="8" t="s">
        <v>4033</v>
      </c>
      <c r="C4225" s="9">
        <v>502</v>
      </c>
      <c r="D4225" s="0">
        <v>0</v>
      </c>
      <c r="E4225" s="10">
        <f>HYPERLINK("http://www.lingerieopt.ru/images/original/3d7b15c2-934a-44da-a0e6-8046c9eabfad.jpg","Фото")</f>
      </c>
    </row>
    <row r="4226">
      <c r="A4226" s="7">
        <f>HYPERLINK("http://www.lingerieopt.ru/item/7613-plate-maika-marise-v-melkuyu-setku/","7613")</f>
      </c>
      <c r="B4226" s="8" t="s">
        <v>4034</v>
      </c>
      <c r="C4226" s="9">
        <v>502</v>
      </c>
      <c r="D4226" s="0">
        <v>0</v>
      </c>
      <c r="E4226" s="10">
        <f>HYPERLINK("http://www.lingerieopt.ru/images/original/3d7b15c2-934a-44da-a0e6-8046c9eabfad.jpg","Фото")</f>
      </c>
    </row>
    <row r="4227">
      <c r="A4227" s="7">
        <f>HYPERLINK("http://www.lingerieopt.ru/item/7613-plate-maika-marise-v-melkuyu-setku/","7613")</f>
      </c>
      <c r="B4227" s="8" t="s">
        <v>4035</v>
      </c>
      <c r="C4227" s="9">
        <v>502</v>
      </c>
      <c r="D4227" s="0">
        <v>5</v>
      </c>
      <c r="E4227" s="10">
        <f>HYPERLINK("http://www.lingerieopt.ru/images/original/3d7b15c2-934a-44da-a0e6-8046c9eabfad.jpg","Фото")</f>
      </c>
    </row>
    <row r="4228">
      <c r="A4228" s="7">
        <f>HYPERLINK("http://www.lingerieopt.ru/item/7613-plate-maika-marise-v-melkuyu-setku/","7613")</f>
      </c>
      <c r="B4228" s="8" t="s">
        <v>4036</v>
      </c>
      <c r="C4228" s="9">
        <v>502</v>
      </c>
      <c r="D4228" s="0">
        <v>0</v>
      </c>
      <c r="E4228" s="10">
        <f>HYPERLINK("http://www.lingerieopt.ru/images/original/3d7b15c2-934a-44da-a0e6-8046c9eabfad.jpg","Фото")</f>
      </c>
    </row>
    <row r="4229">
      <c r="A4229" s="7">
        <f>HYPERLINK("http://www.lingerieopt.ru/item/7613-plate-maika-marise-v-melkuyu-setku/","7613")</f>
      </c>
      <c r="B4229" s="8" t="s">
        <v>4037</v>
      </c>
      <c r="C4229" s="9">
        <v>502</v>
      </c>
      <c r="D4229" s="0">
        <v>0</v>
      </c>
      <c r="E4229" s="10">
        <f>HYPERLINK("http://www.lingerieopt.ru/images/original/3d7b15c2-934a-44da-a0e6-8046c9eabfad.jpg","Фото")</f>
      </c>
    </row>
    <row r="4230">
      <c r="A4230" s="7">
        <f>HYPERLINK("http://www.lingerieopt.ru/item/7739-plate-bondazh/","7739")</f>
      </c>
      <c r="B4230" s="8" t="s">
        <v>4038</v>
      </c>
      <c r="C4230" s="9">
        <v>2655</v>
      </c>
      <c r="D4230" s="0">
        <v>0</v>
      </c>
      <c r="E4230" s="10">
        <f>HYPERLINK("http://www.lingerieopt.ru/images/original/ec9b5ab4-8876-418a-b400-9fd8cec37272.jpg","Фото")</f>
      </c>
    </row>
    <row r="4231">
      <c r="A4231" s="7">
        <f>HYPERLINK("http://www.lingerieopt.ru/item/7739-plate-bondazh/","7739")</f>
      </c>
      <c r="B4231" s="8" t="s">
        <v>4039</v>
      </c>
      <c r="C4231" s="9">
        <v>2655</v>
      </c>
      <c r="D4231" s="0">
        <v>9</v>
      </c>
      <c r="E4231" s="10">
        <f>HYPERLINK("http://www.lingerieopt.ru/images/original/ec9b5ab4-8876-418a-b400-9fd8cec37272.jpg","Фото")</f>
      </c>
    </row>
    <row r="4232">
      <c r="A4232" s="7">
        <f>HYPERLINK("http://www.lingerieopt.ru/item/7741-mini-plate-s-razrezami/","7741")</f>
      </c>
      <c r="B4232" s="8" t="s">
        <v>4040</v>
      </c>
      <c r="C4232" s="9">
        <v>754</v>
      </c>
      <c r="D4232" s="0">
        <v>3</v>
      </c>
      <c r="E4232" s="10">
        <f>HYPERLINK("http://www.lingerieopt.ru/images/original/87c95d2e-048a-4e10-a0d0-4e7e52feaa45.jpg","Фото")</f>
      </c>
    </row>
    <row r="4233">
      <c r="A4233" s="7">
        <f>HYPERLINK("http://www.lingerieopt.ru/item/7776-yarkoe-platice/","7776")</f>
      </c>
      <c r="B4233" s="8" t="s">
        <v>4041</v>
      </c>
      <c r="C4233" s="9">
        <v>1300</v>
      </c>
      <c r="D4233" s="0">
        <v>22</v>
      </c>
      <c r="E4233" s="10">
        <f>HYPERLINK("http://www.lingerieopt.ru/images/original/e9e12ea8-5cd2-410d-a310-6b165530141e.jpg","Фото")</f>
      </c>
    </row>
    <row r="4234">
      <c r="A4234" s="7">
        <f>HYPERLINK("http://www.lingerieopt.ru/item/7777-romanticheskoe-mini-plate-s-ukrasheniem-na-grudi/","7777")</f>
      </c>
      <c r="B4234" s="8" t="s">
        <v>4042</v>
      </c>
      <c r="C4234" s="9">
        <v>1675</v>
      </c>
      <c r="D4234" s="0">
        <v>13</v>
      </c>
      <c r="E4234" s="10">
        <f>HYPERLINK("http://www.lingerieopt.ru/images/original/2b0ce3ba-38ea-407c-b8df-047a98897621.jpg","Фото")</f>
      </c>
    </row>
    <row r="4235">
      <c r="A4235" s="7">
        <f>HYPERLINK("http://www.lingerieopt.ru/item/7790-soblaznitelnoe-plate-setka-s-imitaciei-shnurovki/","7790")</f>
      </c>
      <c r="B4235" s="8" t="s">
        <v>4043</v>
      </c>
      <c r="C4235" s="9">
        <v>642</v>
      </c>
      <c r="D4235" s="0">
        <v>11</v>
      </c>
      <c r="E4235" s="10">
        <f>HYPERLINK("http://www.lingerieopt.ru/images/original/5da8f607-2a72-40b7-8d6b-4d99ded3d2ea.jpg","Фото")</f>
      </c>
    </row>
    <row r="4236">
      <c r="A4236" s="7">
        <f>HYPERLINK("http://www.lingerieopt.ru/item/7791-prozrachnoe-mini-plate-s-cvetochnjm-uzorom-sboku/","7791")</f>
      </c>
      <c r="B4236" s="8" t="s">
        <v>4044</v>
      </c>
      <c r="C4236" s="9">
        <v>661</v>
      </c>
      <c r="D4236" s="0">
        <v>6</v>
      </c>
      <c r="E4236" s="10">
        <f>HYPERLINK("http://www.lingerieopt.ru/images/original/9e63d2f3-3967-4304-8617-07b815a98abd.jpg","Фото")</f>
      </c>
    </row>
    <row r="4237">
      <c r="A4237" s="7">
        <f>HYPERLINK("http://www.lingerieopt.ru/item/8385-effektnoe-setchatoe-plate-s-imitaciei-shnurovki-na-zhivotike-i-life/","8385")</f>
      </c>
      <c r="B4237" s="8" t="s">
        <v>4045</v>
      </c>
      <c r="C4237" s="9">
        <v>627</v>
      </c>
      <c r="D4237" s="0">
        <v>11</v>
      </c>
      <c r="E4237" s="10">
        <f>HYPERLINK("http://www.lingerieopt.ru/images/original/2de872cb-34d8-425a-8bbb-70796a601749.jpg","Фото")</f>
      </c>
    </row>
    <row r="4238">
      <c r="A4238" s="7">
        <f>HYPERLINK("http://www.lingerieopt.ru/item/8388-platice-s-zigzagoobraznjm-uzorom/","8388")</f>
      </c>
      <c r="B4238" s="8" t="s">
        <v>4046</v>
      </c>
      <c r="C4238" s="9">
        <v>627</v>
      </c>
      <c r="D4238" s="0">
        <v>11</v>
      </c>
      <c r="E4238" s="10">
        <f>HYPERLINK("http://www.lingerieopt.ru/images/original/38cac2a6-53c8-478d-ab0f-0fb3719f1422.jpg","Фото")</f>
      </c>
    </row>
    <row r="4239">
      <c r="A4239" s="7">
        <f>HYPERLINK("http://www.lingerieopt.ru/item/8471-azhurnoe-plate-s-otkrjtoi-spinoi/","8471")</f>
      </c>
      <c r="B4239" s="8" t="s">
        <v>4047</v>
      </c>
      <c r="C4239" s="9">
        <v>1750</v>
      </c>
      <c r="D4239" s="0">
        <v>2</v>
      </c>
      <c r="E4239" s="10">
        <f>HYPERLINK("http://www.lingerieopt.ru/images/original/0b95f2c7-a856-4d9e-a83f-c9bfdf2c5c57.jpg","Фото")</f>
      </c>
    </row>
    <row r="4240">
      <c r="A4240" s="7">
        <f>HYPERLINK("http://www.lingerieopt.ru/item/8471-azhurnoe-plate-s-otkrjtoi-spinoi/","8471")</f>
      </c>
      <c r="B4240" s="8" t="s">
        <v>4048</v>
      </c>
      <c r="C4240" s="9">
        <v>1750</v>
      </c>
      <c r="D4240" s="0">
        <v>24</v>
      </c>
      <c r="E4240" s="10">
        <f>HYPERLINK("http://www.lingerieopt.ru/images/original/0b95f2c7-a856-4d9e-a83f-c9bfdf2c5c57.jpg","Фото")</f>
      </c>
    </row>
    <row r="4241">
      <c r="A4241" s="7">
        <f>HYPERLINK("http://www.lingerieopt.ru/item/8516-plate-bellatrix-so-shnurovkoi-vo-vsyu-dlinu/","8516")</f>
      </c>
      <c r="B4241" s="8" t="s">
        <v>4049</v>
      </c>
      <c r="C4241" s="9">
        <v>1299</v>
      </c>
      <c r="D4241" s="0">
        <v>3</v>
      </c>
      <c r="E4241" s="10">
        <f>HYPERLINK("http://www.lingerieopt.ru/images/original/e9f9d278-c9d2-4e58-8476-3508970850a7.jpg","Фото")</f>
      </c>
    </row>
    <row r="4242">
      <c r="A4242" s="7">
        <f>HYPERLINK("http://www.lingerieopt.ru/item/8516-plate-bellatrix-so-shnurovkoi-vo-vsyu-dlinu/","8516")</f>
      </c>
      <c r="B4242" s="8" t="s">
        <v>4050</v>
      </c>
      <c r="C4242" s="9">
        <v>1299</v>
      </c>
      <c r="D4242" s="0">
        <v>3</v>
      </c>
      <c r="E4242" s="10">
        <f>HYPERLINK("http://www.lingerieopt.ru/images/original/e9f9d278-c9d2-4e58-8476-3508970850a7.jpg","Фото")</f>
      </c>
    </row>
    <row r="4243">
      <c r="A4243" s="7">
        <f>HYPERLINK("http://www.lingerieopt.ru/item/8651-seksualnoe-plate-cornelia-s-mokrjm-bleskom/","8651")</f>
      </c>
      <c r="B4243" s="8" t="s">
        <v>4051</v>
      </c>
      <c r="C4243" s="9">
        <v>1197</v>
      </c>
      <c r="D4243" s="0">
        <v>10</v>
      </c>
      <c r="E4243" s="10">
        <f>HYPERLINK("http://www.lingerieopt.ru/images/original/c951ff0f-aaec-4e46-8d08-729c22a69f00.jpg","Фото")</f>
      </c>
    </row>
    <row r="4244">
      <c r="A4244" s="7">
        <f>HYPERLINK("http://www.lingerieopt.ru/item/8651-seksualnoe-plate-cornelia-s-mokrjm-bleskom/","8651")</f>
      </c>
      <c r="B4244" s="8" t="s">
        <v>4052</v>
      </c>
      <c r="C4244" s="9">
        <v>1197</v>
      </c>
      <c r="D4244" s="0">
        <v>1</v>
      </c>
      <c r="E4244" s="10">
        <f>HYPERLINK("http://www.lingerieopt.ru/images/original/c951ff0f-aaec-4e46-8d08-729c22a69f00.jpg","Фото")</f>
      </c>
    </row>
    <row r="4245">
      <c r="A4245" s="7">
        <f>HYPERLINK("http://www.lingerieopt.ru/item/8651-seksualnoe-plate-cornelia-s-mokrjm-bleskom/","8651")</f>
      </c>
      <c r="B4245" s="8" t="s">
        <v>4053</v>
      </c>
      <c r="C4245" s="9">
        <v>1197</v>
      </c>
      <c r="D4245" s="0">
        <v>0</v>
      </c>
      <c r="E4245" s="10">
        <f>HYPERLINK("http://www.lingerieopt.ru/images/original/c951ff0f-aaec-4e46-8d08-729c22a69f00.jpg","Фото")</f>
      </c>
    </row>
    <row r="4246">
      <c r="A4246" s="7">
        <f>HYPERLINK("http://www.lingerieopt.ru/item/8651-seksualnoe-plate-cornelia-s-mokrjm-bleskom/","8651")</f>
      </c>
      <c r="B4246" s="8" t="s">
        <v>4054</v>
      </c>
      <c r="C4246" s="9">
        <v>1197</v>
      </c>
      <c r="D4246" s="0">
        <v>0</v>
      </c>
      <c r="E4246" s="10">
        <f>HYPERLINK("http://www.lingerieopt.ru/images/original/c951ff0f-aaec-4e46-8d08-729c22a69f00.jpg","Фото")</f>
      </c>
    </row>
    <row r="4247">
      <c r="A4247" s="7">
        <f>HYPERLINK("http://www.lingerieopt.ru/item/8854-effektnoe-plate-plus-size-s-setchatoi-verhnei-chastyu/","8854")</f>
      </c>
      <c r="B4247" s="8" t="s">
        <v>4055</v>
      </c>
      <c r="C4247" s="9">
        <v>1116</v>
      </c>
      <c r="D4247" s="0">
        <v>1</v>
      </c>
      <c r="E4247" s="10">
        <f>HYPERLINK("http://www.lingerieopt.ru/images/original/26396fd6-caf7-4f2d-8517-2d7485f0d85f.jpg","Фото")</f>
      </c>
    </row>
    <row r="4248">
      <c r="A4248" s="7">
        <f>HYPERLINK("http://www.lingerieopt.ru/item/8874-nityanoe-korotenkoe-plate-samantha/","8874")</f>
      </c>
      <c r="B4248" s="8" t="s">
        <v>4056</v>
      </c>
      <c r="C4248" s="9">
        <v>3243</v>
      </c>
      <c r="D4248" s="0">
        <v>3</v>
      </c>
      <c r="E4248" s="10">
        <f>HYPERLINK("http://www.lingerieopt.ru/images/original/c7b720cd-022f-4838-a65b-834aab71d781.jpg","Фото")</f>
      </c>
    </row>
    <row r="4249">
      <c r="A4249" s="7">
        <f>HYPERLINK("http://www.lingerieopt.ru/item/8874-nityanoe-korotenkoe-plate-samantha/","8874")</f>
      </c>
      <c r="B4249" s="8" t="s">
        <v>4057</v>
      </c>
      <c r="C4249" s="9">
        <v>3243</v>
      </c>
      <c r="D4249" s="0">
        <v>5</v>
      </c>
      <c r="E4249" s="10">
        <f>HYPERLINK("http://www.lingerieopt.ru/images/original/c7b720cd-022f-4838-a65b-834aab71d781.jpg","Фото")</f>
      </c>
    </row>
    <row r="4250">
      <c r="A4250" s="7">
        <f>HYPERLINK("http://www.lingerieopt.ru/item/8874-nityanoe-korotenkoe-plate-samantha/","8874")</f>
      </c>
      <c r="B4250" s="8" t="s">
        <v>4058</v>
      </c>
      <c r="C4250" s="9">
        <v>3243</v>
      </c>
      <c r="D4250" s="0">
        <v>1</v>
      </c>
      <c r="E4250" s="10">
        <f>HYPERLINK("http://www.lingerieopt.ru/images/original/c7b720cd-022f-4838-a65b-834aab71d781.jpg","Фото")</f>
      </c>
    </row>
    <row r="4251">
      <c r="A4251" s="7">
        <f>HYPERLINK("http://www.lingerieopt.ru/item/8899-chernoe-plate-s-otkrjtoi-popoi/","8899")</f>
      </c>
      <c r="B4251" s="8" t="s">
        <v>4059</v>
      </c>
      <c r="C4251" s="9">
        <v>2018</v>
      </c>
      <c r="D4251" s="0">
        <v>4</v>
      </c>
      <c r="E4251" s="10">
        <f>HYPERLINK("http://www.lingerieopt.ru/images/original/685e2c32-4f50-403b-80a3-723910d3d4af.jpg","Фото")</f>
      </c>
    </row>
    <row r="4252">
      <c r="A4252" s="7">
        <f>HYPERLINK("http://www.lingerieopt.ru/item/8900-oblegayuschee-plate-s-3-shnurovkami/","8900")</f>
      </c>
      <c r="B4252" s="8" t="s">
        <v>4060</v>
      </c>
      <c r="C4252" s="9">
        <v>2018</v>
      </c>
      <c r="D4252" s="0">
        <v>4</v>
      </c>
      <c r="E4252" s="10">
        <f>HYPERLINK("http://www.lingerieopt.ru/images/original/1f8908d5-3294-447a-9f7d-afe976bf6699.jpg","Фото")</f>
      </c>
    </row>
    <row r="4253">
      <c r="A4253" s="7">
        <f>HYPERLINK("http://www.lingerieopt.ru/item/8901-plate-s-otkrjtoi-grudyu-iz-materiala-pod-kozhu/","8901")</f>
      </c>
      <c r="B4253" s="8" t="s">
        <v>4061</v>
      </c>
      <c r="C4253" s="9">
        <v>1937</v>
      </c>
      <c r="D4253" s="0">
        <v>9</v>
      </c>
      <c r="E4253" s="10">
        <f>HYPERLINK("http://www.lingerieopt.ru/images/original/403d1307-bb3e-4120-be7a-5f28b58ab9a0.jpg","Фото")</f>
      </c>
    </row>
    <row r="4254">
      <c r="A4254" s="7">
        <f>HYPERLINK("http://www.lingerieopt.ru/item/8901-plate-s-otkrjtoi-grudyu-iz-materiala-pod-kozhu/","8901")</f>
      </c>
      <c r="B4254" s="8" t="s">
        <v>4062</v>
      </c>
      <c r="C4254" s="9">
        <v>1937</v>
      </c>
      <c r="D4254" s="0">
        <v>9</v>
      </c>
      <c r="E4254" s="10">
        <f>HYPERLINK("http://www.lingerieopt.ru/images/original/403d1307-bb3e-4120-be7a-5f28b58ab9a0.jpg","Фото")</f>
      </c>
    </row>
    <row r="4255">
      <c r="A4255" s="7">
        <f>HYPERLINK("http://www.lingerieopt.ru/item/8955-kruzhevnoe-plate-s-shirokoi-bretelyu-na-odno-plecho/","8955")</f>
      </c>
      <c r="B4255" s="8" t="s">
        <v>4063</v>
      </c>
      <c r="C4255" s="9">
        <v>580</v>
      </c>
      <c r="D4255" s="0">
        <v>20</v>
      </c>
      <c r="E4255" s="10">
        <f>HYPERLINK("http://www.lingerieopt.ru/images/original/60fd3703-7aa1-413d-aa2c-c2e122497381.jpg","Фото")</f>
      </c>
    </row>
    <row r="4256">
      <c r="A4256" s="7">
        <f>HYPERLINK("http://www.lingerieopt.ru/item/8956-chernoe-plate-setka-s-dlinnjmi-rukavchikami/","8956")</f>
      </c>
      <c r="B4256" s="8" t="s">
        <v>4064</v>
      </c>
      <c r="C4256" s="9">
        <v>309</v>
      </c>
      <c r="D4256" s="0">
        <v>13</v>
      </c>
      <c r="E4256" s="10">
        <f>HYPERLINK("http://www.lingerieopt.ru/images/original/f2063e2c-1908-47f8-9a9a-f8ce7997a04c.jpg","Фото")</f>
      </c>
    </row>
    <row r="4257">
      <c r="A4257" s="7">
        <f>HYPERLINK("http://www.lingerieopt.ru/item/8992-oblegayuschee-plate-sophie-s-kruzhevami/","8992")</f>
      </c>
      <c r="B4257" s="8" t="s">
        <v>4065</v>
      </c>
      <c r="C4257" s="9">
        <v>1980</v>
      </c>
      <c r="D4257" s="0">
        <v>3</v>
      </c>
      <c r="E4257" s="10">
        <f>HYPERLINK("http://www.lingerieopt.ru/images/original/761aa567-d5ae-42a6-a568-56571c706827.jpg","Фото")</f>
      </c>
    </row>
    <row r="4258">
      <c r="A4258" s="7">
        <f>HYPERLINK("http://www.lingerieopt.ru/item/8992-oblegayuschee-plate-sophie-s-kruzhevami/","8992")</f>
      </c>
      <c r="B4258" s="8" t="s">
        <v>4066</v>
      </c>
      <c r="C4258" s="9">
        <v>1980</v>
      </c>
      <c r="D4258" s="0">
        <v>0</v>
      </c>
      <c r="E4258" s="10">
        <f>HYPERLINK("http://www.lingerieopt.ru/images/original/761aa567-d5ae-42a6-a568-56571c706827.jpg","Фото")</f>
      </c>
    </row>
    <row r="4259">
      <c r="A4259" s="7">
        <f>HYPERLINK("http://www.lingerieopt.ru/item/8992-oblegayuschee-plate-sophie-s-kruzhevami/","8992")</f>
      </c>
      <c r="B4259" s="8" t="s">
        <v>4067</v>
      </c>
      <c r="C4259" s="9">
        <v>1980</v>
      </c>
      <c r="D4259" s="0">
        <v>0</v>
      </c>
      <c r="E4259" s="10">
        <f>HYPERLINK("http://www.lingerieopt.ru/images/original/761aa567-d5ae-42a6-a568-56571c706827.jpg","Фото")</f>
      </c>
    </row>
    <row r="4260">
      <c r="A4260" s="7">
        <f>HYPERLINK("http://www.lingerieopt.ru/item/9097-poluprozrachnoe-dlinnoe-plate-sarah/","9097")</f>
      </c>
      <c r="B4260" s="8" t="s">
        <v>4068</v>
      </c>
      <c r="C4260" s="9">
        <v>1794</v>
      </c>
      <c r="D4260" s="0">
        <v>4</v>
      </c>
      <c r="E4260" s="10">
        <f>HYPERLINK("http://www.lingerieopt.ru/images/original/e19847af-ef51-486d-92da-2b69b7558922.jpg","Фото")</f>
      </c>
    </row>
    <row r="4261">
      <c r="A4261" s="7">
        <f>HYPERLINK("http://www.lingerieopt.ru/item/9097-poluprozrachnoe-dlinnoe-plate-sarah/","9097")</f>
      </c>
      <c r="B4261" s="8" t="s">
        <v>4069</v>
      </c>
      <c r="C4261" s="9">
        <v>1794</v>
      </c>
      <c r="D4261" s="0">
        <v>4</v>
      </c>
      <c r="E4261" s="10">
        <f>HYPERLINK("http://www.lingerieopt.ru/images/original/e19847af-ef51-486d-92da-2b69b7558922.jpg","Фото")</f>
      </c>
    </row>
    <row r="4262">
      <c r="A4262" s="7">
        <f>HYPERLINK("http://www.lingerieopt.ru/item/9097-poluprozrachnoe-dlinnoe-plate-sarah/","9097")</f>
      </c>
      <c r="B4262" s="8" t="s">
        <v>4070</v>
      </c>
      <c r="C4262" s="9">
        <v>1794</v>
      </c>
      <c r="D4262" s="0">
        <v>4</v>
      </c>
      <c r="E4262" s="10">
        <f>HYPERLINK("http://www.lingerieopt.ru/images/original/e19847af-ef51-486d-92da-2b69b7558922.jpg","Фото")</f>
      </c>
    </row>
    <row r="4263">
      <c r="A4263" s="7">
        <f>HYPERLINK("http://www.lingerieopt.ru/item/9097-poluprozrachnoe-dlinnoe-plate-sarah/","9097")</f>
      </c>
      <c r="B4263" s="8" t="s">
        <v>4071</v>
      </c>
      <c r="C4263" s="9">
        <v>1794</v>
      </c>
      <c r="D4263" s="0">
        <v>1</v>
      </c>
      <c r="E4263" s="10">
        <f>HYPERLINK("http://www.lingerieopt.ru/images/original/e19847af-ef51-486d-92da-2b69b7558922.jpg","Фото")</f>
      </c>
    </row>
    <row r="4264">
      <c r="A4264" s="7">
        <f>HYPERLINK("http://www.lingerieopt.ru/item/9097-poluprozrachnoe-dlinnoe-plate-sarah/","9097")</f>
      </c>
      <c r="B4264" s="8" t="s">
        <v>4072</v>
      </c>
      <c r="C4264" s="9">
        <v>1794</v>
      </c>
      <c r="D4264" s="0">
        <v>2</v>
      </c>
      <c r="E4264" s="10">
        <f>HYPERLINK("http://www.lingerieopt.ru/images/original/e19847af-ef51-486d-92da-2b69b7558922.jpg","Фото")</f>
      </c>
    </row>
    <row r="4265">
      <c r="A4265" s="7">
        <f>HYPERLINK("http://www.lingerieopt.ru/item/9097-poluprozrachnoe-dlinnoe-plate-sarah/","9097")</f>
      </c>
      <c r="B4265" s="8" t="s">
        <v>4073</v>
      </c>
      <c r="C4265" s="9">
        <v>1794</v>
      </c>
      <c r="D4265" s="0">
        <v>1</v>
      </c>
      <c r="E4265" s="10">
        <f>HYPERLINK("http://www.lingerieopt.ru/images/original/e19847af-ef51-486d-92da-2b69b7558922.jpg","Фото")</f>
      </c>
    </row>
    <row r="4266">
      <c r="A4266" s="7">
        <f>HYPERLINK("http://www.lingerieopt.ru/item/9149-plate-s-bahromoi-i-lyureksom/","9149")</f>
      </c>
      <c r="B4266" s="8" t="s">
        <v>4074</v>
      </c>
      <c r="C4266" s="9">
        <v>1736</v>
      </c>
      <c r="D4266" s="0">
        <v>0</v>
      </c>
      <c r="E4266" s="10">
        <f>HYPERLINK("http://www.lingerieopt.ru/images/original/fe78cde3-dbac-434e-a8f3-260f5212292a.jpg","Фото")</f>
      </c>
    </row>
    <row r="4267">
      <c r="A4267" s="7">
        <f>HYPERLINK("http://www.lingerieopt.ru/item/9149-plate-s-bahromoi-i-lyureksom/","9149")</f>
      </c>
      <c r="B4267" s="8" t="s">
        <v>4075</v>
      </c>
      <c r="C4267" s="9">
        <v>1736</v>
      </c>
      <c r="D4267" s="0">
        <v>1</v>
      </c>
      <c r="E4267" s="10">
        <f>HYPERLINK("http://www.lingerieopt.ru/images/original/fe78cde3-dbac-434e-a8f3-260f5212292a.jpg","Фото")</f>
      </c>
    </row>
    <row r="4268">
      <c r="A4268" s="7">
        <f>HYPERLINK("http://www.lingerieopt.ru/item/9649-plate-beltis-s-otkrjtoi-spinoi/","9649")</f>
      </c>
      <c r="B4268" s="8" t="s">
        <v>4076</v>
      </c>
      <c r="C4268" s="9">
        <v>1462</v>
      </c>
      <c r="D4268" s="0">
        <v>2</v>
      </c>
      <c r="E4268" s="10">
        <f>HYPERLINK("http://www.lingerieopt.ru/images/original/858934ca-38a6-491d-b7f9-81d3dbe5ee46.jpg","Фото")</f>
      </c>
    </row>
    <row r="4269">
      <c r="A4269" s="7">
        <f>HYPERLINK("http://www.lingerieopt.ru/item/9649-plate-beltis-s-otkrjtoi-spinoi/","9649")</f>
      </c>
      <c r="B4269" s="8" t="s">
        <v>4077</v>
      </c>
      <c r="C4269" s="9">
        <v>1462</v>
      </c>
      <c r="D4269" s="0">
        <v>4</v>
      </c>
      <c r="E4269" s="10">
        <f>HYPERLINK("http://www.lingerieopt.ru/images/original/858934ca-38a6-491d-b7f9-81d3dbe5ee46.jpg","Фото")</f>
      </c>
    </row>
    <row r="4270">
      <c r="A4270" s="7">
        <f>HYPERLINK("http://www.lingerieopt.ru/item/9649-plate-beltis-s-otkrjtoi-spinoi/","9649")</f>
      </c>
      <c r="B4270" s="8" t="s">
        <v>4078</v>
      </c>
      <c r="C4270" s="9">
        <v>1462</v>
      </c>
      <c r="D4270" s="0">
        <v>2</v>
      </c>
      <c r="E4270" s="10">
        <f>HYPERLINK("http://www.lingerieopt.ru/images/original/858934ca-38a6-491d-b7f9-81d3dbe5ee46.jpg","Фото")</f>
      </c>
    </row>
    <row r="4271">
      <c r="A4271" s="7">
        <f>HYPERLINK("http://www.lingerieopt.ru/item/9660-strogoe-plate-hellen-s-otkrjtoi-spinoi-i-wet-bleskom/","9660")</f>
      </c>
      <c r="B4271" s="8" t="s">
        <v>4079</v>
      </c>
      <c r="C4271" s="9">
        <v>1299</v>
      </c>
      <c r="D4271" s="0">
        <v>0</v>
      </c>
      <c r="E4271" s="10">
        <f>HYPERLINK("http://www.lingerieopt.ru/images/original/f6d9e0d5-44c9-44d6-bd2c-d8c11a54332d.jpg","Фото")</f>
      </c>
    </row>
    <row r="4272">
      <c r="A4272" s="7">
        <f>HYPERLINK("http://www.lingerieopt.ru/item/9660-strogoe-plate-hellen-s-otkrjtoi-spinoi-i-wet-bleskom/","9660")</f>
      </c>
      <c r="B4272" s="8" t="s">
        <v>4080</v>
      </c>
      <c r="C4272" s="9">
        <v>1299</v>
      </c>
      <c r="D4272" s="0">
        <v>4</v>
      </c>
      <c r="E4272" s="10">
        <f>HYPERLINK("http://www.lingerieopt.ru/images/original/f6d9e0d5-44c9-44d6-bd2c-d8c11a54332d.jpg","Фото")</f>
      </c>
    </row>
    <row r="4273">
      <c r="A4273" s="7">
        <f>HYPERLINK("http://www.lingerieopt.ru/item/9673-kruzhevnoe-plate-dressita-plus-size/","9673")</f>
      </c>
      <c r="B4273" s="8" t="s">
        <v>4081</v>
      </c>
      <c r="C4273" s="9">
        <v>1736</v>
      </c>
      <c r="D4273" s="0">
        <v>2</v>
      </c>
      <c r="E4273" s="10">
        <f>HYPERLINK("http://www.lingerieopt.ru/images/original/cac6e683-3a93-410f-a294-f5ef26947f84.jpg","Фото")</f>
      </c>
    </row>
    <row r="4274">
      <c r="A4274" s="7">
        <f>HYPERLINK("http://www.lingerieopt.ru/item/9681-plate-chantal-plus-size-s-otstegivayuschimsya-volanom/","9681")</f>
      </c>
      <c r="B4274" s="8" t="s">
        <v>3659</v>
      </c>
      <c r="C4274" s="9">
        <v>1743</v>
      </c>
      <c r="D4274" s="0">
        <v>2</v>
      </c>
      <c r="E4274" s="10">
        <f>HYPERLINK("http://www.lingerieopt.ru/images/original/ddb7aa18-a243-4cd6-85ff-7f9d7f4393fe.jpg","Фото")</f>
      </c>
    </row>
    <row r="4275">
      <c r="A4275" s="7">
        <f>HYPERLINK("http://www.lingerieopt.ru/item/9681-plate-chantal-plus-size-s-otstegivayuschimsya-volanom/","9681")</f>
      </c>
      <c r="B4275" s="8" t="s">
        <v>3658</v>
      </c>
      <c r="C4275" s="9">
        <v>1743</v>
      </c>
      <c r="D4275" s="0">
        <v>2</v>
      </c>
      <c r="E4275" s="10">
        <f>HYPERLINK("http://www.lingerieopt.ru/images/original/ddb7aa18-a243-4cd6-85ff-7f9d7f4393fe.jpg","Фото")</f>
      </c>
    </row>
    <row r="4276">
      <c r="A4276" s="7">
        <f>HYPERLINK("http://www.lingerieopt.ru/item/9729-chernoe-wet-look-plate-jasmin-so-shleifom/","9729")</f>
      </c>
      <c r="B4276" s="8" t="s">
        <v>4082</v>
      </c>
      <c r="C4276" s="9">
        <v>2242</v>
      </c>
      <c r="D4276" s="0">
        <v>6</v>
      </c>
      <c r="E4276" s="10">
        <f>HYPERLINK("http://www.lingerieopt.ru/images/original/da748ffe-6b91-479d-bc53-c3442082dae0.jpg","Фото")</f>
      </c>
    </row>
    <row r="4277">
      <c r="A4277" s="7">
        <f>HYPERLINK("http://www.lingerieopt.ru/item/9729-chernoe-wet-look-plate-jasmin-so-shleifom/","9729")</f>
      </c>
      <c r="B4277" s="8" t="s">
        <v>4083</v>
      </c>
      <c r="C4277" s="9">
        <v>2242</v>
      </c>
      <c r="D4277" s="0">
        <v>8</v>
      </c>
      <c r="E4277" s="10">
        <f>HYPERLINK("http://www.lingerieopt.ru/images/original/da748ffe-6b91-479d-bc53-c3442082dae0.jpg","Фото")</f>
      </c>
    </row>
    <row r="4278">
      <c r="A4278" s="7">
        <f>HYPERLINK("http://www.lingerieopt.ru/item/9730-eroticheskoe-wet-look-plate-jasmin-plus-size-so-shleifom/","9730")</f>
      </c>
      <c r="B4278" s="8" t="s">
        <v>3660</v>
      </c>
      <c r="C4278" s="9">
        <v>2242</v>
      </c>
      <c r="D4278" s="0">
        <v>4</v>
      </c>
      <c r="E4278" s="10">
        <f>HYPERLINK("http://www.lingerieopt.ru/images/original/02d0dc24-1471-4ff7-882c-a316a07d11ae.jpg","Фото")</f>
      </c>
    </row>
    <row r="4279">
      <c r="A4279" s="7">
        <f>HYPERLINK("http://www.lingerieopt.ru/item/9747-provokacionnoe-plate-adele-plus-size-iz-strep-lent/","9747")</f>
      </c>
      <c r="B4279" s="8" t="s">
        <v>4084</v>
      </c>
      <c r="C4279" s="9">
        <v>1650</v>
      </c>
      <c r="D4279" s="0">
        <v>3</v>
      </c>
      <c r="E4279" s="10">
        <f>HYPERLINK("http://www.lingerieopt.ru/images/original/50e519ee-68f4-4859-b0cf-45b1e27406b6.jpg","Фото")</f>
      </c>
    </row>
    <row r="4280">
      <c r="A4280" s="7">
        <f>HYPERLINK("http://www.lingerieopt.ru/item/9747-provokacionnoe-plate-adele-plus-size-iz-strep-lent/","9747")</f>
      </c>
      <c r="B4280" s="8" t="s">
        <v>4085</v>
      </c>
      <c r="C4280" s="9">
        <v>1650</v>
      </c>
      <c r="D4280" s="0">
        <v>3</v>
      </c>
      <c r="E4280" s="10">
        <f>HYPERLINK("http://www.lingerieopt.ru/images/original/50e519ee-68f4-4859-b0cf-45b1e27406b6.jpg","Фото")</f>
      </c>
    </row>
    <row r="4281">
      <c r="A4281" s="7">
        <f>HYPERLINK("http://www.lingerieopt.ru/item/9747-provokacionnoe-plate-adele-plus-size-iz-strep-lent/","9747")</f>
      </c>
      <c r="B4281" s="8" t="s">
        <v>4086</v>
      </c>
      <c r="C4281" s="9">
        <v>1650</v>
      </c>
      <c r="D4281" s="0">
        <v>2</v>
      </c>
      <c r="E4281" s="10">
        <f>HYPERLINK("http://www.lingerieopt.ru/images/original/50e519ee-68f4-4859-b0cf-45b1e27406b6.jpg","Фото")</f>
      </c>
    </row>
    <row r="4282">
      <c r="A4282" s="7">
        <f>HYPERLINK("http://www.lingerieopt.ru/item/9752-plate-anita-plus-size-v-vide-setki-iz-strep-lent/","9752")</f>
      </c>
      <c r="B4282" s="8" t="s">
        <v>4087</v>
      </c>
      <c r="C4282" s="9">
        <v>1743</v>
      </c>
      <c r="D4282" s="0">
        <v>2</v>
      </c>
      <c r="E4282" s="10">
        <f>HYPERLINK("http://www.lingerieopt.ru/images/original/b3e55721-5499-40b1-868a-2d4f6dc5c6e9.jpg","Фото")</f>
      </c>
    </row>
    <row r="4283">
      <c r="A4283" s="7">
        <f>HYPERLINK("http://www.lingerieopt.ru/item/9752-plate-anita-plus-size-v-vide-setki-iz-strep-lent/","9752")</f>
      </c>
      <c r="B4283" s="8" t="s">
        <v>4088</v>
      </c>
      <c r="C4283" s="9">
        <v>1743</v>
      </c>
      <c r="D4283" s="0">
        <v>4</v>
      </c>
      <c r="E4283" s="10">
        <f>HYPERLINK("http://www.lingerieopt.ru/images/original/b3e55721-5499-40b1-868a-2d4f6dc5c6e9.jpg","Фото")</f>
      </c>
    </row>
    <row r="4284">
      <c r="A4284" s="7">
        <f>HYPERLINK("http://www.lingerieopt.ru/item/9752-plate-anita-plus-size-v-vide-setki-iz-strep-lent/","9752")</f>
      </c>
      <c r="B4284" s="8" t="s">
        <v>4089</v>
      </c>
      <c r="C4284" s="9">
        <v>1743</v>
      </c>
      <c r="D4284" s="0">
        <v>4</v>
      </c>
      <c r="E4284" s="10">
        <f>HYPERLINK("http://www.lingerieopt.ru/images/original/b3e55721-5499-40b1-868a-2d4f6dc5c6e9.jpg","Фото")</f>
      </c>
    </row>
    <row r="4285">
      <c r="A4285" s="7">
        <f>HYPERLINK("http://www.lingerieopt.ru/item/9753-otkrovennoe-plate-colette-plus-size-iz-lent/","9753")</f>
      </c>
      <c r="B4285" s="8" t="s">
        <v>4090</v>
      </c>
      <c r="C4285" s="9">
        <v>2001</v>
      </c>
      <c r="D4285" s="0">
        <v>2</v>
      </c>
      <c r="E4285" s="10">
        <f>HYPERLINK("http://www.lingerieopt.ru/images/original/5ae1c849-eee7-4aca-b38d-799dadfc29df.jpg","Фото")</f>
      </c>
    </row>
    <row r="4286">
      <c r="A4286" s="7">
        <f>HYPERLINK("http://www.lingerieopt.ru/item/9753-otkrovennoe-plate-colette-plus-size-iz-lent/","9753")</f>
      </c>
      <c r="B4286" s="8" t="s">
        <v>4091</v>
      </c>
      <c r="C4286" s="9">
        <v>2001</v>
      </c>
      <c r="D4286" s="0">
        <v>2</v>
      </c>
      <c r="E4286" s="10">
        <f>HYPERLINK("http://www.lingerieopt.ru/images/original/5ae1c849-eee7-4aca-b38d-799dadfc29df.jpg","Фото")</f>
      </c>
    </row>
    <row r="4287">
      <c r="A4287" s="7">
        <f>HYPERLINK("http://www.lingerieopt.ru/item/9753-otkrovennoe-plate-colette-plus-size-iz-lent/","9753")</f>
      </c>
      <c r="B4287" s="8" t="s">
        <v>4092</v>
      </c>
      <c r="C4287" s="9">
        <v>2001</v>
      </c>
      <c r="D4287" s="0">
        <v>3</v>
      </c>
      <c r="E4287" s="10">
        <f>HYPERLINK("http://www.lingerieopt.ru/images/original/5ae1c849-eee7-4aca-b38d-799dadfc29df.jpg","Фото")</f>
      </c>
    </row>
    <row r="4288">
      <c r="A4288" s="7">
        <f>HYPERLINK("http://www.lingerieopt.ru/item/9761-roskoshnoe-plate-miracle-s-glubokim-dekolte/","9761")</f>
      </c>
      <c r="B4288" s="8" t="s">
        <v>4093</v>
      </c>
      <c r="C4288" s="9">
        <v>1416</v>
      </c>
      <c r="D4288" s="0">
        <v>4</v>
      </c>
      <c r="E4288" s="10">
        <f>HYPERLINK("http://www.lingerieopt.ru/images/original/838a719f-4cda-48c3-8829-0d69e872195c.jpg","Фото")</f>
      </c>
    </row>
    <row r="4289">
      <c r="A4289" s="7">
        <f>HYPERLINK("http://www.lingerieopt.ru/item/9761-roskoshnoe-plate-miracle-s-glubokim-dekolte/","9761")</f>
      </c>
      <c r="B4289" s="8" t="s">
        <v>4094</v>
      </c>
      <c r="C4289" s="9">
        <v>1416</v>
      </c>
      <c r="D4289" s="0">
        <v>7</v>
      </c>
      <c r="E4289" s="10">
        <f>HYPERLINK("http://www.lingerieopt.ru/images/original/838a719f-4cda-48c3-8829-0d69e872195c.jpg","Фото")</f>
      </c>
    </row>
    <row r="4290">
      <c r="A4290" s="7">
        <f>HYPERLINK("http://www.lingerieopt.ru/item/9761-roskoshnoe-plate-miracle-s-glubokim-dekolte/","9761")</f>
      </c>
      <c r="B4290" s="8" t="s">
        <v>4095</v>
      </c>
      <c r="C4290" s="9">
        <v>1416</v>
      </c>
      <c r="D4290" s="0">
        <v>5</v>
      </c>
      <c r="E4290" s="10">
        <f>HYPERLINK("http://www.lingerieopt.ru/images/original/838a719f-4cda-48c3-8829-0d69e872195c.jpg","Фото")</f>
      </c>
    </row>
    <row r="4291">
      <c r="A4291" s="7">
        <f>HYPERLINK("http://www.lingerieopt.ru/item/9761-roskoshnoe-plate-miracle-s-glubokim-dekolte/","9761")</f>
      </c>
      <c r="B4291" s="8" t="s">
        <v>4096</v>
      </c>
      <c r="C4291" s="9">
        <v>1416</v>
      </c>
      <c r="D4291" s="0">
        <v>4</v>
      </c>
      <c r="E4291" s="10">
        <f>HYPERLINK("http://www.lingerieopt.ru/images/original/838a719f-4cda-48c3-8829-0d69e872195c.jpg","Фото")</f>
      </c>
    </row>
    <row r="4292">
      <c r="A4292" s="7">
        <f>HYPERLINK("http://www.lingerieopt.ru/item/9761-roskoshnoe-plate-miracle-s-glubokim-dekolte/","9761")</f>
      </c>
      <c r="B4292" s="8" t="s">
        <v>4097</v>
      </c>
      <c r="C4292" s="9">
        <v>1416</v>
      </c>
      <c r="D4292" s="0">
        <v>4</v>
      </c>
      <c r="E4292" s="10">
        <f>HYPERLINK("http://www.lingerieopt.ru/images/original/838a719f-4cda-48c3-8829-0d69e872195c.jpg","Фото")</f>
      </c>
    </row>
    <row r="4293">
      <c r="A4293" s="7">
        <f>HYPERLINK("http://www.lingerieopt.ru/item/9761-roskoshnoe-plate-miracle-s-glubokim-dekolte/","9761")</f>
      </c>
      <c r="B4293" s="8" t="s">
        <v>4098</v>
      </c>
      <c r="C4293" s="9">
        <v>1416</v>
      </c>
      <c r="D4293" s="0">
        <v>4</v>
      </c>
      <c r="E4293" s="10">
        <f>HYPERLINK("http://www.lingerieopt.ru/images/original/838a719f-4cda-48c3-8829-0d69e872195c.jpg","Фото")</f>
      </c>
    </row>
    <row r="4294">
      <c r="A4294" s="7">
        <f>HYPERLINK("http://www.lingerieopt.ru/item/9840-kruzhevnoe-plate-rayen-plus-size-s-dlinnjmi-rukavami/","9840")</f>
      </c>
      <c r="B4294" s="8" t="s">
        <v>4099</v>
      </c>
      <c r="C4294" s="9">
        <v>1555</v>
      </c>
      <c r="D4294" s="0">
        <v>2</v>
      </c>
      <c r="E4294" s="10">
        <f>HYPERLINK("http://www.lingerieopt.ru/images/original/cadbb16c-cc3c-494c-bf58-bd5564bdc2ff.jpg","Фото")</f>
      </c>
    </row>
    <row r="4295">
      <c r="A4295" s="7">
        <f>HYPERLINK("http://www.lingerieopt.ru/item/9840-kruzhevnoe-plate-rayen-plus-size-s-dlinnjmi-rukavami/","9840")</f>
      </c>
      <c r="B4295" s="8" t="s">
        <v>4100</v>
      </c>
      <c r="C4295" s="9">
        <v>1555</v>
      </c>
      <c r="D4295" s="0">
        <v>2</v>
      </c>
      <c r="E4295" s="10">
        <f>HYPERLINK("http://www.lingerieopt.ru/images/original/cadbb16c-cc3c-494c-bf58-bd5564bdc2ff.jpg","Фото")</f>
      </c>
    </row>
    <row r="4296">
      <c r="A4296" s="7">
        <f>HYPERLINK("http://www.lingerieopt.ru/item/9841-kruzhevnoe-plate-rika-s-korotkim-rukavom/","9841")</f>
      </c>
      <c r="B4296" s="8" t="s">
        <v>4101</v>
      </c>
      <c r="C4296" s="9">
        <v>1452</v>
      </c>
      <c r="D4296" s="0">
        <v>0</v>
      </c>
      <c r="E4296" s="10">
        <f>HYPERLINK("http://www.lingerieopt.ru/images/original/936336ac-0622-42d3-9a8d-aebf48f6a3eb.jpg","Фото")</f>
      </c>
    </row>
    <row r="4297">
      <c r="A4297" s="7">
        <f>HYPERLINK("http://www.lingerieopt.ru/item/9841-kruzhevnoe-plate-rika-s-korotkim-rukavom/","9841")</f>
      </c>
      <c r="B4297" s="8" t="s">
        <v>4102</v>
      </c>
      <c r="C4297" s="9">
        <v>1452</v>
      </c>
      <c r="D4297" s="0">
        <v>0</v>
      </c>
      <c r="E4297" s="10">
        <f>HYPERLINK("http://www.lingerieopt.ru/images/original/936336ac-0622-42d3-9a8d-aebf48f6a3eb.jpg","Фото")</f>
      </c>
    </row>
    <row r="4298">
      <c r="A4298" s="7">
        <f>HYPERLINK("http://www.lingerieopt.ru/item/9841-kruzhevnoe-plate-rika-s-korotkim-rukavom/","9841")</f>
      </c>
      <c r="B4298" s="8" t="s">
        <v>4103</v>
      </c>
      <c r="C4298" s="9">
        <v>1452</v>
      </c>
      <c r="D4298" s="0">
        <v>1</v>
      </c>
      <c r="E4298" s="10">
        <f>HYPERLINK("http://www.lingerieopt.ru/images/original/936336ac-0622-42d3-9a8d-aebf48f6a3eb.jpg","Фото")</f>
      </c>
    </row>
    <row r="4299">
      <c r="A4299" s="7">
        <f>HYPERLINK("http://www.lingerieopt.ru/item/9841-kruzhevnoe-plate-rika-s-korotkim-rukavom/","9841")</f>
      </c>
      <c r="B4299" s="8" t="s">
        <v>4104</v>
      </c>
      <c r="C4299" s="9">
        <v>1452</v>
      </c>
      <c r="D4299" s="0">
        <v>0</v>
      </c>
      <c r="E4299" s="10">
        <f>HYPERLINK("http://www.lingerieopt.ru/images/original/936336ac-0622-42d3-9a8d-aebf48f6a3eb.jpg","Фото")</f>
      </c>
    </row>
    <row r="4300">
      <c r="A4300" s="7">
        <f>HYPERLINK("http://www.lingerieopt.ru/item/9842-azhurnoe-plate-rika-plus-size-s-korotkim-rukavom/","9842")</f>
      </c>
      <c r="B4300" s="8" t="s">
        <v>4105</v>
      </c>
      <c r="C4300" s="9">
        <v>1521</v>
      </c>
      <c r="D4300" s="0">
        <v>2</v>
      </c>
      <c r="E4300" s="10">
        <f>HYPERLINK("http://www.lingerieopt.ru/images/original/435be0e0-5274-4af8-8bda-b25a1b952187.jpg","Фото")</f>
      </c>
    </row>
    <row r="4301">
      <c r="A4301" s="7">
        <f>HYPERLINK("http://www.lingerieopt.ru/item/9842-azhurnoe-plate-rika-plus-size-s-korotkim-rukavom/","9842")</f>
      </c>
      <c r="B4301" s="8" t="s">
        <v>4106</v>
      </c>
      <c r="C4301" s="9">
        <v>1521</v>
      </c>
      <c r="D4301" s="0">
        <v>1</v>
      </c>
      <c r="E4301" s="10">
        <f>HYPERLINK("http://www.lingerieopt.ru/images/original/435be0e0-5274-4af8-8bda-b25a1b952187.jpg","Фото")</f>
      </c>
    </row>
    <row r="4302">
      <c r="A4302" s="7">
        <f>HYPERLINK("http://www.lingerieopt.ru/item/10248-plate-s-otkrjtjm-lifom-roxana-iz-materiala-wetlook/","10248")</f>
      </c>
      <c r="B4302" s="8" t="s">
        <v>4107</v>
      </c>
      <c r="C4302" s="9">
        <v>1164</v>
      </c>
      <c r="D4302" s="0">
        <v>6</v>
      </c>
      <c r="E4302" s="10">
        <f>HYPERLINK("http://www.lingerieopt.ru/images/original/56d9a589-fa7a-4f55-9e1f-bd450b5b68cf.jpg","Фото")</f>
      </c>
    </row>
    <row r="4303">
      <c r="A4303" s="7">
        <f>HYPERLINK("http://www.lingerieopt.ru/item/10248-plate-s-otkrjtjm-lifom-roxana-iz-materiala-wetlook/","10248")</f>
      </c>
      <c r="B4303" s="8" t="s">
        <v>4108</v>
      </c>
      <c r="C4303" s="9">
        <v>1164</v>
      </c>
      <c r="D4303" s="0">
        <v>5</v>
      </c>
      <c r="E4303" s="10">
        <f>HYPERLINK("http://www.lingerieopt.ru/images/original/56d9a589-fa7a-4f55-9e1f-bd450b5b68cf.jpg","Фото")</f>
      </c>
    </row>
    <row r="4304">
      <c r="A4304" s="7">
        <f>HYPERLINK("http://www.lingerieopt.ru/item/10248-plate-s-otkrjtjm-lifom-roxana-iz-materiala-wetlook/","10248")</f>
      </c>
      <c r="B4304" s="8" t="s">
        <v>4109</v>
      </c>
      <c r="C4304" s="9">
        <v>1164</v>
      </c>
      <c r="D4304" s="0">
        <v>3</v>
      </c>
      <c r="E4304" s="10">
        <f>HYPERLINK("http://www.lingerieopt.ru/images/original/56d9a589-fa7a-4f55-9e1f-bd450b5b68cf.jpg","Фото")</f>
      </c>
    </row>
    <row r="4305">
      <c r="A4305" s="7">
        <f>HYPERLINK("http://www.lingerieopt.ru/item/10248-plate-s-otkrjtjm-lifom-roxana-iz-materiala-wetlook/","10248")</f>
      </c>
      <c r="B4305" s="8" t="s">
        <v>4110</v>
      </c>
      <c r="C4305" s="9">
        <v>1164</v>
      </c>
      <c r="D4305" s="0">
        <v>5</v>
      </c>
      <c r="E4305" s="10">
        <f>HYPERLINK("http://www.lingerieopt.ru/images/original/56d9a589-fa7a-4f55-9e1f-bd450b5b68cf.jpg","Фото")</f>
      </c>
    </row>
    <row r="4306">
      <c r="A4306" s="7">
        <f>HYPERLINK("http://www.lingerieopt.ru/item/10248-plate-s-otkrjtjm-lifom-roxana-iz-materiala-wetlook/","10248")</f>
      </c>
      <c r="B4306" s="8" t="s">
        <v>4111</v>
      </c>
      <c r="C4306" s="9">
        <v>1164</v>
      </c>
      <c r="D4306" s="0">
        <v>3</v>
      </c>
      <c r="E4306" s="10">
        <f>HYPERLINK("http://www.lingerieopt.ru/images/original/56d9a589-fa7a-4f55-9e1f-bd450b5b68cf.jpg","Фото")</f>
      </c>
    </row>
    <row r="4307">
      <c r="A4307" s="7">
        <f>HYPERLINK("http://www.lingerieopt.ru/item/10248-plate-s-otkrjtjm-lifom-roxana-iz-materiala-wetlook/","10248")</f>
      </c>
      <c r="B4307" s="8" t="s">
        <v>4112</v>
      </c>
      <c r="C4307" s="9">
        <v>1164</v>
      </c>
      <c r="D4307" s="0">
        <v>6</v>
      </c>
      <c r="E4307" s="10">
        <f>HYPERLINK("http://www.lingerieopt.ru/images/original/56d9a589-fa7a-4f55-9e1f-bd450b5b68cf.jpg","Фото")</f>
      </c>
    </row>
    <row r="4308">
      <c r="A4308" s="7">
        <f>HYPERLINK("http://www.lingerieopt.ru/item/10260-plate-roxana-plus-size-s-verhnei-chastyu-v-vide-portupei/","10260")</f>
      </c>
      <c r="B4308" s="8" t="s">
        <v>3663</v>
      </c>
      <c r="C4308" s="9">
        <v>1164</v>
      </c>
      <c r="D4308" s="0">
        <v>2</v>
      </c>
      <c r="E4308" s="10">
        <f>HYPERLINK("http://www.lingerieopt.ru/images/original/99433093-7dd9-4c58-83cd-1d52aef8c147.jpg","Фото")</f>
      </c>
    </row>
    <row r="4309">
      <c r="A4309" s="7">
        <f>HYPERLINK("http://www.lingerieopt.ru/item/10260-plate-roxana-plus-size-s-verhnei-chastyu-v-vide-portupei/","10260")</f>
      </c>
      <c r="B4309" s="8" t="s">
        <v>3665</v>
      </c>
      <c r="C4309" s="9">
        <v>1164</v>
      </c>
      <c r="D4309" s="0">
        <v>1</v>
      </c>
      <c r="E4309" s="10">
        <f>HYPERLINK("http://www.lingerieopt.ru/images/original/99433093-7dd9-4c58-83cd-1d52aef8c147.jpg","Фото")</f>
      </c>
    </row>
    <row r="4310">
      <c r="A4310" s="7">
        <f>HYPERLINK("http://www.lingerieopt.ru/item/10260-plate-roxana-plus-size-s-verhnei-chastyu-v-vide-portupei/","10260")</f>
      </c>
      <c r="B4310" s="8" t="s">
        <v>3664</v>
      </c>
      <c r="C4310" s="9">
        <v>1164</v>
      </c>
      <c r="D4310" s="0">
        <v>2</v>
      </c>
      <c r="E4310" s="10">
        <f>HYPERLINK("http://www.lingerieopt.ru/images/original/99433093-7dd9-4c58-83cd-1d52aef8c147.jpg","Фото")</f>
      </c>
    </row>
    <row r="4311">
      <c r="A4311" s="7">
        <f>HYPERLINK("http://www.lingerieopt.ru/item/10261-plate-anija-s-otkrjtoi-grudyu/","10261")</f>
      </c>
      <c r="B4311" s="8" t="s">
        <v>4113</v>
      </c>
      <c r="C4311" s="9">
        <v>2518</v>
      </c>
      <c r="D4311" s="0">
        <v>7</v>
      </c>
      <c r="E4311" s="10">
        <f>HYPERLINK("http://www.lingerieopt.ru/images/original/3e9359f3-44b3-4380-9edc-9f591d2db4f2.jpg","Фото")</f>
      </c>
    </row>
    <row r="4312">
      <c r="A4312" s="7">
        <f>HYPERLINK("http://www.lingerieopt.ru/item/10261-plate-anija-s-otkrjtoi-grudyu/","10261")</f>
      </c>
      <c r="B4312" s="8" t="s">
        <v>4114</v>
      </c>
      <c r="C4312" s="9">
        <v>2518</v>
      </c>
      <c r="D4312" s="0">
        <v>0</v>
      </c>
      <c r="E4312" s="10">
        <f>HYPERLINK("http://www.lingerieopt.ru/images/original/3e9359f3-44b3-4380-9edc-9f591d2db4f2.jpg","Фото")</f>
      </c>
    </row>
    <row r="4313">
      <c r="A4313" s="7">
        <f>HYPERLINK("http://www.lingerieopt.ru/item/10262-dlinnoe-plate-christine-c-otkrjtoi-grudyu/","10262")</f>
      </c>
      <c r="B4313" s="8" t="s">
        <v>4115</v>
      </c>
      <c r="C4313" s="9">
        <v>3659</v>
      </c>
      <c r="D4313" s="0">
        <v>1</v>
      </c>
      <c r="E4313" s="10">
        <f>HYPERLINK("http://www.lingerieopt.ru/images/original/1c9ac299-f22f-4955-88af-53f12a1cd9ac.jpg","Фото")</f>
      </c>
    </row>
    <row r="4314">
      <c r="A4314" s="7">
        <f>HYPERLINK("http://www.lingerieopt.ru/item/10262-dlinnoe-plate-christine-c-otkrjtoi-grudyu/","10262")</f>
      </c>
      <c r="B4314" s="8" t="s">
        <v>4116</v>
      </c>
      <c r="C4314" s="9">
        <v>3659</v>
      </c>
      <c r="D4314" s="0">
        <v>0</v>
      </c>
      <c r="E4314" s="10">
        <f>HYPERLINK("http://www.lingerieopt.ru/images/original/1c9ac299-f22f-4955-88af-53f12a1cd9ac.jpg","Фото")</f>
      </c>
    </row>
    <row r="4315">
      <c r="A4315" s="7">
        <f>HYPERLINK("http://www.lingerieopt.ru/item/10265-plate-astrid-s-vertikalnoi-otkrjtoi-shnurovkoi/","10265")</f>
      </c>
      <c r="B4315" s="8" t="s">
        <v>4117</v>
      </c>
      <c r="C4315" s="9">
        <v>3286</v>
      </c>
      <c r="D4315" s="0">
        <v>5</v>
      </c>
      <c r="E4315" s="10">
        <f>HYPERLINK("http://www.lingerieopt.ru/images/original/f0e547f1-b6d1-4c05-8f27-0682e986fc53.jpg","Фото")</f>
      </c>
    </row>
    <row r="4316">
      <c r="A4316" s="7">
        <f>HYPERLINK("http://www.lingerieopt.ru/item/10265-plate-astrid-s-vertikalnoi-otkrjtoi-shnurovkoi/","10265")</f>
      </c>
      <c r="B4316" s="8" t="s">
        <v>4118</v>
      </c>
      <c r="C4316" s="9">
        <v>3286</v>
      </c>
      <c r="D4316" s="0">
        <v>4</v>
      </c>
      <c r="E4316" s="10">
        <f>HYPERLINK("http://www.lingerieopt.ru/images/original/f0e547f1-b6d1-4c05-8f27-0682e986fc53.jpg","Фото")</f>
      </c>
    </row>
    <row r="4317">
      <c r="A4317" s="7">
        <f>HYPERLINK("http://www.lingerieopt.ru/item/10265-plate-astrid-s-vertikalnoi-otkrjtoi-shnurovkoi/","10265")</f>
      </c>
      <c r="B4317" s="8" t="s">
        <v>4119</v>
      </c>
      <c r="C4317" s="9">
        <v>3286</v>
      </c>
      <c r="D4317" s="0">
        <v>0</v>
      </c>
      <c r="E4317" s="10">
        <f>HYPERLINK("http://www.lingerieopt.ru/images/original/f0e547f1-b6d1-4c05-8f27-0682e986fc53.jpg","Фото")</f>
      </c>
    </row>
    <row r="4318">
      <c r="A4318" s="7">
        <f>HYPERLINK("http://www.lingerieopt.ru/item/10266-komplekt-danika-s-otkrjtoi-grudyu/","10266")</f>
      </c>
      <c r="B4318" s="8" t="s">
        <v>3667</v>
      </c>
      <c r="C4318" s="9">
        <v>3442</v>
      </c>
      <c r="D4318" s="0">
        <v>4</v>
      </c>
      <c r="E4318" s="10">
        <f>HYPERLINK("http://www.lingerieopt.ru/images/original/83d0c4f6-91a7-4996-9939-538f8f81bfad.jpg","Фото")</f>
      </c>
    </row>
    <row r="4319">
      <c r="A4319" s="7">
        <f>HYPERLINK("http://www.lingerieopt.ru/item/10266-komplekt-danika-s-otkrjtoi-grudyu/","10266")</f>
      </c>
      <c r="B4319" s="8" t="s">
        <v>3666</v>
      </c>
      <c r="C4319" s="9">
        <v>3442</v>
      </c>
      <c r="D4319" s="0">
        <v>0</v>
      </c>
      <c r="E4319" s="10">
        <f>HYPERLINK("http://www.lingerieopt.ru/images/original/83d0c4f6-91a7-4996-9939-538f8f81bfad.jpg","Фото")</f>
      </c>
    </row>
    <row r="4320">
      <c r="A4320" s="7">
        <f>HYPERLINK("http://www.lingerieopt.ru/item/10267-komplekt-erna-s-otkrjtoi-grudyu/","10267")</f>
      </c>
      <c r="B4320" s="8" t="s">
        <v>3669</v>
      </c>
      <c r="C4320" s="9">
        <v>3659</v>
      </c>
      <c r="D4320" s="0">
        <v>3</v>
      </c>
      <c r="E4320" s="10">
        <f>HYPERLINK("http://www.lingerieopt.ru/images/original/afe9aab3-ef6d-443e-9dd8-76eb28841b5e.jpg","Фото")</f>
      </c>
    </row>
    <row r="4321">
      <c r="A4321" s="7">
        <f>HYPERLINK("http://www.lingerieopt.ru/item/10267-komplekt-erna-s-otkrjtoi-grudyu/","10267")</f>
      </c>
      <c r="B4321" s="8" t="s">
        <v>3668</v>
      </c>
      <c r="C4321" s="9">
        <v>3659</v>
      </c>
      <c r="D4321" s="0">
        <v>3</v>
      </c>
      <c r="E4321" s="10">
        <f>HYPERLINK("http://www.lingerieopt.ru/images/original/afe9aab3-ef6d-443e-9dd8-76eb28841b5e.jpg","Фото")</f>
      </c>
    </row>
    <row r="4322">
      <c r="A4322" s="7">
        <f>HYPERLINK("http://www.lingerieopt.ru/item/10268-plate-ingrid-s-otkrjtoi-grudyu-i-vjrezom-serdcem-na-pope/","10268")</f>
      </c>
      <c r="B4322" s="8" t="s">
        <v>4120</v>
      </c>
      <c r="C4322" s="9">
        <v>2409</v>
      </c>
      <c r="D4322" s="0">
        <v>1</v>
      </c>
      <c r="E4322" s="10">
        <f>HYPERLINK("http://www.lingerieopt.ru/images/original/5d8abd7d-d0f1-43ad-b665-c4fbd1a761d3.jpg","Фото")</f>
      </c>
    </row>
    <row r="4323">
      <c r="A4323" s="7">
        <f>HYPERLINK("http://www.lingerieopt.ru/item/10268-plate-ingrid-s-otkrjtoi-grudyu-i-vjrezom-serdcem-na-pope/","10268")</f>
      </c>
      <c r="B4323" s="8" t="s">
        <v>4121</v>
      </c>
      <c r="C4323" s="9">
        <v>2409</v>
      </c>
      <c r="D4323" s="0">
        <v>7</v>
      </c>
      <c r="E4323" s="10">
        <f>HYPERLINK("http://www.lingerieopt.ru/images/original/5d8abd7d-d0f1-43ad-b665-c4fbd1a761d3.jpg","Фото")</f>
      </c>
    </row>
    <row r="4324">
      <c r="A4324" s="7">
        <f>HYPERLINK("http://www.lingerieopt.ru/item/10270-plate-kerstin-s-otkrjtoi-grudyu-i-vjrezom-v-forme-serdca-szadi/","10270")</f>
      </c>
      <c r="B4324" s="8" t="s">
        <v>3671</v>
      </c>
      <c r="C4324" s="9">
        <v>3873</v>
      </c>
      <c r="D4324" s="0">
        <v>2</v>
      </c>
      <c r="E4324" s="10">
        <f>HYPERLINK("http://www.lingerieopt.ru/images/original/f49a0fef-e6e2-4773-b98b-d68f4f9471c8.jpg","Фото")</f>
      </c>
    </row>
    <row r="4325">
      <c r="A4325" s="7">
        <f>HYPERLINK("http://www.lingerieopt.ru/item/10270-plate-kerstin-s-otkrjtoi-grudyu-i-vjrezom-v-forme-serdca-szadi/","10270")</f>
      </c>
      <c r="B4325" s="8" t="s">
        <v>3670</v>
      </c>
      <c r="C4325" s="9">
        <v>3873</v>
      </c>
      <c r="D4325" s="0">
        <v>4</v>
      </c>
      <c r="E4325" s="10">
        <f>HYPERLINK("http://www.lingerieopt.ru/images/original/f49a0fef-e6e2-4773-b98b-d68f4f9471c8.jpg","Фото")</f>
      </c>
    </row>
    <row r="4326">
      <c r="A4326" s="7">
        <f>HYPERLINK("http://www.lingerieopt.ru/item/10271-plate-laureen-s-otkrjtoi-grudyu-i-vjrezom-v-forme-serdca-szadi/","10271")</f>
      </c>
      <c r="B4326" s="8" t="s">
        <v>3672</v>
      </c>
      <c r="C4326" s="9">
        <v>3659</v>
      </c>
      <c r="D4326" s="0">
        <v>5</v>
      </c>
      <c r="E4326" s="10">
        <f>HYPERLINK("http://www.lingerieopt.ru/images/original/1ff8fec4-0b3c-4ffe-b43c-d15d9e0421e6.jpg","Фото")</f>
      </c>
    </row>
    <row r="4327">
      <c r="A4327" s="7">
        <f>HYPERLINK("http://www.lingerieopt.ru/item/10271-plate-laureen-s-otkrjtoi-grudyu-i-vjrezom-v-forme-serdca-szadi/","10271")</f>
      </c>
      <c r="B4327" s="8" t="s">
        <v>3673</v>
      </c>
      <c r="C4327" s="9">
        <v>3659</v>
      </c>
      <c r="D4327" s="0">
        <v>5</v>
      </c>
      <c r="E4327" s="10">
        <f>HYPERLINK("http://www.lingerieopt.ru/images/original/1ff8fec4-0b3c-4ffe-b43c-d15d9e0421e6.jpg","Фото")</f>
      </c>
    </row>
    <row r="4328">
      <c r="A4328" s="7">
        <f>HYPERLINK("http://www.lingerieopt.ru/item/10413-otkrovennoe-mini-plate-mirror/","10413")</f>
      </c>
      <c r="B4328" s="8" t="s">
        <v>4122</v>
      </c>
      <c r="C4328" s="9">
        <v>1872</v>
      </c>
      <c r="D4328" s="0">
        <v>2</v>
      </c>
      <c r="E4328" s="10">
        <f>HYPERLINK("http://www.lingerieopt.ru/images/original/fa8cf6ad-d717-44fb-a25c-2bba5811354c.jpg","Фото")</f>
      </c>
    </row>
    <row r="4329">
      <c r="A4329" s="7">
        <f>HYPERLINK("http://www.lingerieopt.ru/item/10413-otkrovennoe-mini-plate-mirror/","10413")</f>
      </c>
      <c r="B4329" s="8" t="s">
        <v>4123</v>
      </c>
      <c r="C4329" s="9">
        <v>1872</v>
      </c>
      <c r="D4329" s="0">
        <v>4</v>
      </c>
      <c r="E4329" s="10">
        <f>HYPERLINK("http://www.lingerieopt.ru/images/original/fa8cf6ad-d717-44fb-a25c-2bba5811354c.jpg","Фото")</f>
      </c>
    </row>
    <row r="4330">
      <c r="A4330" s="7">
        <f>HYPERLINK("http://www.lingerieopt.ru/item/10453-korotenkoe-plate-lara-s-otkrjtoi-spinkoi/","10453")</f>
      </c>
      <c r="B4330" s="8" t="s">
        <v>4124</v>
      </c>
      <c r="C4330" s="9">
        <v>1264</v>
      </c>
      <c r="D4330" s="0">
        <v>3</v>
      </c>
      <c r="E4330" s="10">
        <f>HYPERLINK("http://www.lingerieopt.ru/images/original/342b6fba-2e24-4f11-bb88-7ca3422ae38c.jpg","Фото")</f>
      </c>
    </row>
    <row r="4331">
      <c r="A4331" s="7">
        <f>HYPERLINK("http://www.lingerieopt.ru/item/10453-korotenkoe-plate-lara-s-otkrjtoi-spinkoi/","10453")</f>
      </c>
      <c r="B4331" s="8" t="s">
        <v>4125</v>
      </c>
      <c r="C4331" s="9">
        <v>1264</v>
      </c>
      <c r="D4331" s="0">
        <v>4</v>
      </c>
      <c r="E4331" s="10">
        <f>HYPERLINK("http://www.lingerieopt.ru/images/original/342b6fba-2e24-4f11-bb88-7ca3422ae38c.jpg","Фото")</f>
      </c>
    </row>
    <row r="4332">
      <c r="A4332" s="7">
        <f>HYPERLINK("http://www.lingerieopt.ru/item/10453-korotenkoe-plate-lara-s-otkrjtoi-spinkoi/","10453")</f>
      </c>
      <c r="B4332" s="8" t="s">
        <v>4126</v>
      </c>
      <c r="C4332" s="9">
        <v>1264</v>
      </c>
      <c r="D4332" s="0">
        <v>3</v>
      </c>
      <c r="E4332" s="10">
        <f>HYPERLINK("http://www.lingerieopt.ru/images/original/342b6fba-2e24-4f11-bb88-7ca3422ae38c.jpg","Фото")</f>
      </c>
    </row>
    <row r="4333">
      <c r="A4333" s="7">
        <f>HYPERLINK("http://www.lingerieopt.ru/item/10453-korotenkoe-plate-lara-s-otkrjtoi-spinkoi/","10453")</f>
      </c>
      <c r="B4333" s="8" t="s">
        <v>4127</v>
      </c>
      <c r="C4333" s="9">
        <v>1264</v>
      </c>
      <c r="D4333" s="0">
        <v>2</v>
      </c>
      <c r="E4333" s="10">
        <f>HYPERLINK("http://www.lingerieopt.ru/images/original/342b6fba-2e24-4f11-bb88-7ca3422ae38c.jpg","Фото")</f>
      </c>
    </row>
    <row r="4334">
      <c r="A4334" s="7">
        <f>HYPERLINK("http://www.lingerieopt.ru/item/10454-korotenkoe-plate-lara-plus-size-s-otkrjtoi-spinkoi/","10454")</f>
      </c>
      <c r="B4334" s="8" t="s">
        <v>4128</v>
      </c>
      <c r="C4334" s="9">
        <v>1264</v>
      </c>
      <c r="D4334" s="0">
        <v>3</v>
      </c>
      <c r="E4334" s="10">
        <f>HYPERLINK("http://www.lingerieopt.ru/images/original/34990a1a-711d-4b27-ba40-54fa0b724448.jpg","Фото")</f>
      </c>
    </row>
    <row r="4335">
      <c r="A4335" s="7">
        <f>HYPERLINK("http://www.lingerieopt.ru/item/10454-korotenkoe-plate-lara-plus-size-s-otkrjtoi-spinkoi/","10454")</f>
      </c>
      <c r="B4335" s="8" t="s">
        <v>4129</v>
      </c>
      <c r="C4335" s="9">
        <v>1264</v>
      </c>
      <c r="D4335" s="0">
        <v>2</v>
      </c>
      <c r="E4335" s="10">
        <f>HYPERLINK("http://www.lingerieopt.ru/images/original/34990a1a-711d-4b27-ba40-54fa0b724448.jpg","Фото")</f>
      </c>
    </row>
    <row r="4336">
      <c r="A4336" s="7">
        <f>HYPERLINK("http://www.lingerieopt.ru/item/10457-poluprozrachnoe-dlinnoe-plate-sarah-plus-size-s-vorotnikom-stoikoi/","10457")</f>
      </c>
      <c r="B4336" s="8" t="s">
        <v>4130</v>
      </c>
      <c r="C4336" s="9">
        <v>1794</v>
      </c>
      <c r="D4336" s="0">
        <v>3</v>
      </c>
      <c r="E4336" s="10">
        <f>HYPERLINK("http://www.lingerieopt.ru/images/original/ff18611c-e32c-44e1-9155-85b2871d4f0a.jpg","Фото")</f>
      </c>
    </row>
    <row r="4337">
      <c r="A4337" s="7">
        <f>HYPERLINK("http://www.lingerieopt.ru/item/10457-poluprozrachnoe-dlinnoe-plate-sarah-plus-size-s-vorotnikom-stoikoi/","10457")</f>
      </c>
      <c r="B4337" s="8" t="s">
        <v>4131</v>
      </c>
      <c r="C4337" s="9">
        <v>1794</v>
      </c>
      <c r="D4337" s="0">
        <v>2</v>
      </c>
      <c r="E4337" s="10">
        <f>HYPERLINK("http://www.lingerieopt.ru/images/original/ff18611c-e32c-44e1-9155-85b2871d4f0a.jpg","Фото")</f>
      </c>
    </row>
    <row r="4338">
      <c r="A4338" s="7">
        <f>HYPERLINK("http://www.lingerieopt.ru/item/10457-poluprozrachnoe-dlinnoe-plate-sarah-plus-size-s-vorotnikom-stoikoi/","10457")</f>
      </c>
      <c r="B4338" s="8" t="s">
        <v>4132</v>
      </c>
      <c r="C4338" s="9">
        <v>1794</v>
      </c>
      <c r="D4338" s="0">
        <v>3</v>
      </c>
      <c r="E4338" s="10">
        <f>HYPERLINK("http://www.lingerieopt.ru/images/original/ff18611c-e32c-44e1-9155-85b2871d4f0a.jpg","Фото")</f>
      </c>
    </row>
    <row r="4339">
      <c r="A4339" s="7">
        <f>HYPERLINK("http://www.lingerieopt.ru/item/10458-plate-truba-xenia-bez-bretelei/","10458")</f>
      </c>
      <c r="B4339" s="8" t="s">
        <v>4133</v>
      </c>
      <c r="C4339" s="9">
        <v>1014</v>
      </c>
      <c r="D4339" s="0">
        <v>0</v>
      </c>
      <c r="E4339" s="10">
        <f>HYPERLINK("http://www.lingerieopt.ru/images/original/81bf2eaf-c365-428f-8e60-126b230e6a54.jpg","Фото")</f>
      </c>
    </row>
    <row r="4340">
      <c r="A4340" s="7">
        <f>HYPERLINK("http://www.lingerieopt.ru/item/10458-plate-truba-xenia-bez-bretelei/","10458")</f>
      </c>
      <c r="B4340" s="8" t="s">
        <v>4134</v>
      </c>
      <c r="C4340" s="9">
        <v>1014</v>
      </c>
      <c r="D4340" s="0">
        <v>0</v>
      </c>
      <c r="E4340" s="10">
        <f>HYPERLINK("http://www.lingerieopt.ru/images/original/81bf2eaf-c365-428f-8e60-126b230e6a54.jpg","Фото")</f>
      </c>
    </row>
    <row r="4341">
      <c r="A4341" s="7">
        <f>HYPERLINK("http://www.lingerieopt.ru/item/10458-plate-truba-xenia-bez-bretelei/","10458")</f>
      </c>
      <c r="B4341" s="8" t="s">
        <v>4135</v>
      </c>
      <c r="C4341" s="9">
        <v>1014</v>
      </c>
      <c r="D4341" s="0">
        <v>1</v>
      </c>
      <c r="E4341" s="10">
        <f>HYPERLINK("http://www.lingerieopt.ru/images/original/81bf2eaf-c365-428f-8e60-126b230e6a54.jpg","Фото")</f>
      </c>
    </row>
    <row r="4342">
      <c r="A4342" s="7">
        <f>HYPERLINK("http://www.lingerieopt.ru/item/10458-plate-truba-xenia-bez-bretelei/","10458")</f>
      </c>
      <c r="B4342" s="8" t="s">
        <v>4136</v>
      </c>
      <c r="C4342" s="9">
        <v>1014</v>
      </c>
      <c r="D4342" s="0">
        <v>0</v>
      </c>
      <c r="E4342" s="10">
        <f>HYPERLINK("http://www.lingerieopt.ru/images/original/81bf2eaf-c365-428f-8e60-126b230e6a54.jpg","Фото")</f>
      </c>
    </row>
    <row r="4343">
      <c r="A4343" s="7">
        <f>HYPERLINK("http://www.lingerieopt.ru/item/10479-oblegayuschee-plate-joline-iz-materiala-pod-kozhu/","10479")</f>
      </c>
      <c r="B4343" s="8" t="s">
        <v>4137</v>
      </c>
      <c r="C4343" s="9">
        <v>2024</v>
      </c>
      <c r="D4343" s="0">
        <v>2</v>
      </c>
      <c r="E4343" s="10">
        <f>HYPERLINK("http://www.lingerieopt.ru/images/original/9cf5bf83-923c-4af4-9ac8-ae7c9629ac69.jpg","Фото")</f>
      </c>
    </row>
    <row r="4344">
      <c r="A4344" s="7">
        <f>HYPERLINK("http://www.lingerieopt.ru/item/10479-oblegayuschee-plate-joline-iz-materiala-pod-kozhu/","10479")</f>
      </c>
      <c r="B4344" s="8" t="s">
        <v>4138</v>
      </c>
      <c r="C4344" s="9">
        <v>2024</v>
      </c>
      <c r="D4344" s="0">
        <v>3</v>
      </c>
      <c r="E4344" s="10">
        <f>HYPERLINK("http://www.lingerieopt.ru/images/original/9cf5bf83-923c-4af4-9ac8-ae7c9629ac69.jpg","Фото")</f>
      </c>
    </row>
    <row r="4345">
      <c r="A4345" s="7">
        <f>HYPERLINK("http://www.lingerieopt.ru/item/10501-plate-xymena-plus-size-s-kolechkami-na-poyase/","10501")</f>
      </c>
      <c r="B4345" s="8" t="s">
        <v>3681</v>
      </c>
      <c r="C4345" s="9">
        <v>1474</v>
      </c>
      <c r="D4345" s="0">
        <v>9</v>
      </c>
      <c r="E4345" s="10">
        <f>HYPERLINK("http://www.lingerieopt.ru/images/original/18cb9acc-399b-48c5-a50f-e64107a59a32.jpg","Фото")</f>
      </c>
    </row>
    <row r="4346">
      <c r="A4346" s="7">
        <f>HYPERLINK("http://www.lingerieopt.ru/item/10575-oblegayuschee-plate-lea-plus-size-s-effektom-mokrogo-bleska/","10575")</f>
      </c>
      <c r="B4346" s="8" t="s">
        <v>3685</v>
      </c>
      <c r="C4346" s="9">
        <v>1474</v>
      </c>
      <c r="D4346" s="0">
        <v>10</v>
      </c>
      <c r="E4346" s="10">
        <f>HYPERLINK("http://www.lingerieopt.ru/images/original/f7a89fc4-0118-42ac-8ccf-c4de0d396388.jpg","Фото")</f>
      </c>
    </row>
    <row r="4347">
      <c r="A4347" s="7">
        <f>HYPERLINK("http://www.lingerieopt.ru/item/10711-oblegayuschee-plate-joline-plus-size-iz-materiala-pod-kozhu/","10711")</f>
      </c>
      <c r="B4347" s="8" t="s">
        <v>3694</v>
      </c>
      <c r="C4347" s="9">
        <v>2024</v>
      </c>
      <c r="D4347" s="0">
        <v>3</v>
      </c>
      <c r="E4347" s="10">
        <f>HYPERLINK("http://www.lingerieopt.ru/images/original/5f4c7b42-3402-4e51-9d6e-f936208d764e.jpg","Фото")</f>
      </c>
    </row>
    <row r="4348">
      <c r="A4348" s="7">
        <f>HYPERLINK("http://www.lingerieopt.ru/item/10967-plate-glitterati-s-otkrjtjm-plechom-i-paietkami/","10967")</f>
      </c>
      <c r="B4348" s="8" t="s">
        <v>4139</v>
      </c>
      <c r="C4348" s="9">
        <v>3540</v>
      </c>
      <c r="D4348" s="0">
        <v>4</v>
      </c>
      <c r="E4348" s="10">
        <f>HYPERLINK("http://www.lingerieopt.ru/images/original/cf0dfc54-5828-425b-9be2-aab7c7e38479.jpg","Фото")</f>
      </c>
    </row>
    <row r="4349">
      <c r="A4349" s="7">
        <f>HYPERLINK("http://www.lingerieopt.ru/item/10989-setchatoe-plate-teaser-diamond-plus-size/","10989")</f>
      </c>
      <c r="B4349" s="8" t="s">
        <v>4140</v>
      </c>
      <c r="C4349" s="9">
        <v>1718</v>
      </c>
      <c r="D4349" s="0">
        <v>9</v>
      </c>
      <c r="E4349" s="10">
        <f>HYPERLINK("http://www.lingerieopt.ru/images/original/2e08728b-da0d-4e34-b15f-49539f5fe0ba.jpg","Фото")</f>
      </c>
    </row>
    <row r="4350">
      <c r="A4350" s="7">
        <f>HYPERLINK("http://www.lingerieopt.ru/item/11011-plate-setka-nothing-but-net-seamless-dress/","11011")</f>
      </c>
      <c r="B4350" s="8" t="s">
        <v>4141</v>
      </c>
      <c r="C4350" s="9">
        <v>1178</v>
      </c>
      <c r="D4350" s="0">
        <v>41</v>
      </c>
      <c r="E4350" s="10">
        <f>HYPERLINK("http://www.lingerieopt.ru/images/original/6f61a3ad-016f-4eba-b732-bbc8566cb18b.jpg","Фото")</f>
      </c>
    </row>
    <row r="4351">
      <c r="A4351" s="7">
        <f>HYPERLINK("http://www.lingerieopt.ru/item/11224-korotenkoe-azhurnoe-plate-setka/","11224")</f>
      </c>
      <c r="B4351" s="8" t="s">
        <v>4142</v>
      </c>
      <c r="C4351" s="9">
        <v>996</v>
      </c>
      <c r="D4351" s="0">
        <v>4</v>
      </c>
      <c r="E4351" s="10">
        <f>HYPERLINK("http://www.lingerieopt.ru/images/original/ea94b4c0-52a8-41c2-9192-88995a8da2ef.jpg","Фото")</f>
      </c>
    </row>
    <row r="4352">
      <c r="A4352" s="7">
        <f>HYPERLINK("http://www.lingerieopt.ru/item/11295-oblegayuschee-plate-s-imitaciei-shnurovok-po-bokam/","11295")</f>
      </c>
      <c r="B4352" s="8" t="s">
        <v>4143</v>
      </c>
      <c r="C4352" s="9">
        <v>973</v>
      </c>
      <c r="D4352" s="0">
        <v>18</v>
      </c>
      <c r="E4352" s="10">
        <f>HYPERLINK("http://www.lingerieopt.ru/images/original/5c241e84-4bd5-4afa-9d7b-54666e649758.jpg","Фото")</f>
      </c>
    </row>
    <row r="4353">
      <c r="A4353" s="7">
        <f>HYPERLINK("http://www.lingerieopt.ru/item/11315-plate-v-setku-s-izobrazheniem-kostei-skeleton-bone-net-dress/","11315")</f>
      </c>
      <c r="B4353" s="8" t="s">
        <v>4144</v>
      </c>
      <c r="C4353" s="9">
        <v>1866</v>
      </c>
      <c r="D4353" s="0">
        <v>9</v>
      </c>
      <c r="E4353" s="10">
        <f>HYPERLINK("http://www.lingerieopt.ru/images/original/8e6ef639-ecd7-474b-bc30-d2405a019bd5.jpg","Фото")</f>
      </c>
    </row>
    <row r="4354">
      <c r="A4354" s="7">
        <f>HYPERLINK("http://www.lingerieopt.ru/item/11332-effektnoe-plate-setka-s-zavyazkami-vokrug-shei/","11332")</f>
      </c>
      <c r="B4354" s="8" t="s">
        <v>4145</v>
      </c>
      <c r="C4354" s="9">
        <v>1117</v>
      </c>
      <c r="D4354" s="0">
        <v>11</v>
      </c>
      <c r="E4354" s="10">
        <f>HYPERLINK("http://www.lingerieopt.ru/images/original/24aaceb2-13e4-4aec-9e01-76cf7b751098.jpg","Фото")</f>
      </c>
    </row>
    <row r="4355">
      <c r="A4355" s="5"/>
      <c r="B4355" s="6" t="s">
        <v>4146</v>
      </c>
      <c r="C4355" s="5"/>
      <c r="D4355" s="5"/>
      <c r="E4355" s="5"/>
    </row>
    <row r="4356">
      <c r="A4356" s="7">
        <f>HYPERLINK("http://www.lingerieopt.ru/item/431-shirokaya-kruzhevnaya-podvyazka-na-nogu/","431")</f>
      </c>
      <c r="B4356" s="8" t="s">
        <v>4147</v>
      </c>
      <c r="C4356" s="9">
        <v>347</v>
      </c>
      <c r="D4356" s="0">
        <v>6</v>
      </c>
      <c r="E4356" s="10">
        <f>HYPERLINK("http://www.lingerieopt.ru/images/original/33e25a67-aad1-464f-92a2-83ef24c373a8.jpg","Фото")</f>
      </c>
    </row>
    <row r="4357">
      <c r="A4357" s="7">
        <f>HYPERLINK("http://www.lingerieopt.ru/item/431-shirokaya-kruzhevnaya-podvyazka-na-nogu/","431")</f>
      </c>
      <c r="B4357" s="8" t="s">
        <v>4148</v>
      </c>
      <c r="C4357" s="9">
        <v>347</v>
      </c>
      <c r="D4357" s="0">
        <v>8</v>
      </c>
      <c r="E4357" s="10">
        <f>HYPERLINK("http://www.lingerieopt.ru/images/original/33e25a67-aad1-464f-92a2-83ef24c373a8.jpg","Фото")</f>
      </c>
    </row>
    <row r="4358">
      <c r="A4358" s="7">
        <f>HYPERLINK("http://www.lingerieopt.ru/item/431-shirokaya-kruzhevnaya-podvyazka-na-nogu/","431")</f>
      </c>
      <c r="B4358" s="8" t="s">
        <v>4149</v>
      </c>
      <c r="C4358" s="9">
        <v>347</v>
      </c>
      <c r="D4358" s="0">
        <v>5</v>
      </c>
      <c r="E4358" s="10">
        <f>HYPERLINK("http://www.lingerieopt.ru/images/original/33e25a67-aad1-464f-92a2-83ef24c373a8.jpg","Фото")</f>
      </c>
    </row>
    <row r="4359">
      <c r="A4359" s="7">
        <f>HYPERLINK("http://www.lingerieopt.ru/item/1187-kruzhevnaya-povyazka-na-sheyu/","1187")</f>
      </c>
      <c r="B4359" s="8" t="s">
        <v>4150</v>
      </c>
      <c r="C4359" s="9">
        <v>437</v>
      </c>
      <c r="D4359" s="0">
        <v>7</v>
      </c>
      <c r="E4359" s="10">
        <f>HYPERLINK("http://www.lingerieopt.ru/images/original/0d9c5b7d-c6c4-4ee6-9873-00b1801c9513.jpg","Фото")</f>
      </c>
    </row>
    <row r="4360">
      <c r="A4360" s="7">
        <f>HYPERLINK("http://www.lingerieopt.ru/item/1188-kruzhevnaya-povyazka-na-sheyu/","1188")</f>
      </c>
      <c r="B4360" s="8" t="s">
        <v>4150</v>
      </c>
      <c r="C4360" s="9">
        <v>354</v>
      </c>
      <c r="D4360" s="0">
        <v>10</v>
      </c>
      <c r="E4360" s="10">
        <f>HYPERLINK("http://www.lingerieopt.ru/images/original/59207412-9ad0-4fec-9bce-29b62dc5cd1d.jpg","Фото")</f>
      </c>
    </row>
    <row r="4361">
      <c r="A4361" s="7">
        <f>HYPERLINK("http://www.lingerieopt.ru/item/1193-kruzhevnaya-podvyazka-s-bantikom/","1193")</f>
      </c>
      <c r="B4361" s="8" t="s">
        <v>4151</v>
      </c>
      <c r="C4361" s="9">
        <v>354</v>
      </c>
      <c r="D4361" s="0">
        <v>0</v>
      </c>
      <c r="E4361" s="10">
        <f>HYPERLINK("http://www.lingerieopt.ru/images/original/ac8d1e2c-eaa3-4ceb-b3da-676bc727c9f1.jpg","Фото")</f>
      </c>
    </row>
    <row r="4362">
      <c r="A4362" s="7">
        <f>HYPERLINK("http://www.lingerieopt.ru/item/1193-kruzhevnaya-podvyazka-s-bantikom/","1193")</f>
      </c>
      <c r="B4362" s="8" t="s">
        <v>4152</v>
      </c>
      <c r="C4362" s="9">
        <v>354</v>
      </c>
      <c r="D4362" s="0">
        <v>6</v>
      </c>
      <c r="E4362" s="10">
        <f>HYPERLINK("http://www.lingerieopt.ru/images/original/ac8d1e2c-eaa3-4ceb-b3da-676bc727c9f1.jpg","Фото")</f>
      </c>
    </row>
    <row r="4363">
      <c r="A4363" s="7">
        <f>HYPERLINK("http://www.lingerieopt.ru/item/1193-kruzhevnaya-podvyazka-s-bantikom/","1193")</f>
      </c>
      <c r="B4363" s="8" t="s">
        <v>4153</v>
      </c>
      <c r="C4363" s="9">
        <v>354</v>
      </c>
      <c r="D4363" s="0">
        <v>8</v>
      </c>
      <c r="E4363" s="10">
        <f>HYPERLINK("http://www.lingerieopt.ru/images/original/ac8d1e2c-eaa3-4ceb-b3da-676bc727c9f1.jpg","Фото")</f>
      </c>
    </row>
    <row r="4364">
      <c r="A4364" s="7">
        <f>HYPERLINK("http://www.lingerieopt.ru/item/1194-podvyazka-na-nogu/","1194")</f>
      </c>
      <c r="B4364" s="8" t="s">
        <v>4154</v>
      </c>
      <c r="C4364" s="9">
        <v>347</v>
      </c>
      <c r="D4364" s="0">
        <v>10</v>
      </c>
      <c r="E4364" s="10">
        <f>HYPERLINK("http://www.lingerieopt.ru/images/original/8930d73b-b9b5-4c1c-a73f-3b6feeab4e11.jpg","Фото")</f>
      </c>
    </row>
    <row r="4365">
      <c r="A4365" s="7">
        <f>HYPERLINK("http://www.lingerieopt.ru/item/1194-podvyazka-na-nogu/","1194")</f>
      </c>
      <c r="B4365" s="8" t="s">
        <v>4155</v>
      </c>
      <c r="C4365" s="9">
        <v>347</v>
      </c>
      <c r="D4365" s="0">
        <v>6</v>
      </c>
      <c r="E4365" s="10">
        <f>HYPERLINK("http://www.lingerieopt.ru/images/original/8930d73b-b9b5-4c1c-a73f-3b6feeab4e11.jpg","Фото")</f>
      </c>
    </row>
    <row r="4366">
      <c r="A4366" s="7">
        <f>HYPERLINK("http://www.lingerieopt.ru/item/1194-podvyazka-na-nogu/","1194")</f>
      </c>
      <c r="B4366" s="8" t="s">
        <v>4156</v>
      </c>
      <c r="C4366" s="9">
        <v>347</v>
      </c>
      <c r="D4366" s="0">
        <v>8</v>
      </c>
      <c r="E4366" s="10">
        <f>HYPERLINK("http://www.lingerieopt.ru/images/original/8930d73b-b9b5-4c1c-a73f-3b6feeab4e11.jpg","Фото")</f>
      </c>
    </row>
    <row r="4367">
      <c r="A4367" s="7">
        <f>HYPERLINK("http://www.lingerieopt.ru/item/2125-podvyazka-moryachki/","2125")</f>
      </c>
      <c r="B4367" s="8" t="s">
        <v>4157</v>
      </c>
      <c r="C4367" s="9">
        <v>95</v>
      </c>
      <c r="D4367" s="0">
        <v>20</v>
      </c>
      <c r="E4367" s="10">
        <f>HYPERLINK("http://www.lingerieopt.ru/images/original/2cb5026e-7dcd-4cc1-8ce0-e22fc9a43913.jpg","Фото")</f>
      </c>
    </row>
    <row r="4368">
      <c r="A4368" s="7">
        <f>HYPERLINK("http://www.lingerieopt.ru/item/2763-azhurnaya-podvyazka-s-bantom-i-serdechkom/","2763")</f>
      </c>
      <c r="B4368" s="8" t="s">
        <v>4158</v>
      </c>
      <c r="C4368" s="9">
        <v>300</v>
      </c>
      <c r="D4368" s="0">
        <v>1</v>
      </c>
      <c r="E4368" s="10">
        <f>HYPERLINK("http://www.lingerieopt.ru/images/original/3ce57137-56d2-461d-839a-f33cd4346fc5.jpg","Фото")</f>
      </c>
    </row>
    <row r="4369">
      <c r="A4369" s="7">
        <f>HYPERLINK("http://www.lingerieopt.ru/item/3559-azhurnaya-podvyazka-na-nozhku-hustler/","3559")</f>
      </c>
      <c r="B4369" s="8" t="s">
        <v>4159</v>
      </c>
      <c r="C4369" s="9">
        <v>502</v>
      </c>
      <c r="D4369" s="0">
        <v>0</v>
      </c>
      <c r="E4369" s="10">
        <f>HYPERLINK("http://www.lingerieopt.ru/images/original/51379954-6e91-43ff-9d2f-58b479f9233c.jpg","Фото")</f>
      </c>
    </row>
    <row r="4370">
      <c r="A4370" s="7">
        <f>HYPERLINK("http://www.lingerieopt.ru/item/3559-azhurnaya-podvyazka-na-nozhku-hustler/","3559")</f>
      </c>
      <c r="B4370" s="8" t="s">
        <v>4160</v>
      </c>
      <c r="C4370" s="9">
        <v>502</v>
      </c>
      <c r="D4370" s="0">
        <v>30</v>
      </c>
      <c r="E4370" s="10">
        <f>HYPERLINK("http://www.lingerieopt.ru/images/original/51379954-6e91-43ff-9d2f-58b479f9233c.jpg","Фото")</f>
      </c>
    </row>
    <row r="4371">
      <c r="A4371" s="7">
        <f>HYPERLINK("http://www.lingerieopt.ru/item/3559-azhurnaya-podvyazka-na-nozhku-hustler/","3559")</f>
      </c>
      <c r="B4371" s="8" t="s">
        <v>4161</v>
      </c>
      <c r="C4371" s="9">
        <v>502</v>
      </c>
      <c r="D4371" s="0">
        <v>0</v>
      </c>
      <c r="E4371" s="10">
        <f>HYPERLINK("http://www.lingerieopt.ru/images/original/51379954-6e91-43ff-9d2f-58b479f9233c.jpg","Фото")</f>
      </c>
    </row>
    <row r="4372">
      <c r="A4372" s="7">
        <f>HYPERLINK("http://www.lingerieopt.ru/item/3965-kruzhevnaya-podvyazka/","3965")</f>
      </c>
      <c r="B4372" s="8" t="s">
        <v>4162</v>
      </c>
      <c r="C4372" s="9">
        <v>408</v>
      </c>
      <c r="D4372" s="0">
        <v>30</v>
      </c>
      <c r="E4372" s="10">
        <f>HYPERLINK("http://www.lingerieopt.ru/images/original/a0dbded1-23c4-4e77-894c-105f3a54af5c.jpg","Фото")</f>
      </c>
    </row>
    <row r="4373">
      <c r="A4373" s="7">
        <f>HYPERLINK("http://www.lingerieopt.ru/item/3965-kruzhevnaya-podvyazka/","3965")</f>
      </c>
      <c r="B4373" s="8" t="s">
        <v>4163</v>
      </c>
      <c r="C4373" s="9">
        <v>408</v>
      </c>
      <c r="D4373" s="0">
        <v>0</v>
      </c>
      <c r="E4373" s="10">
        <f>HYPERLINK("http://www.lingerieopt.ru/images/original/a0dbded1-23c4-4e77-894c-105f3a54af5c.jpg","Фото")</f>
      </c>
    </row>
    <row r="4374">
      <c r="A4374" s="7">
        <f>HYPERLINK("http://www.lingerieopt.ru/item/3965-kruzhevnaya-podvyazka/","3965")</f>
      </c>
      <c r="B4374" s="8" t="s">
        <v>4164</v>
      </c>
      <c r="C4374" s="9">
        <v>408</v>
      </c>
      <c r="D4374" s="0">
        <v>0</v>
      </c>
      <c r="E4374" s="10">
        <f>HYPERLINK("http://www.lingerieopt.ru/images/original/a0dbded1-23c4-4e77-894c-105f3a54af5c.jpg","Фото")</f>
      </c>
    </row>
    <row r="4375">
      <c r="A4375" s="7">
        <f>HYPERLINK("http://www.lingerieopt.ru/item/6592-kruzhevnoi-komplekt-magnolia-iz-3-predmetov/","6592")</f>
      </c>
      <c r="B4375" s="8" t="s">
        <v>4165</v>
      </c>
      <c r="C4375" s="9">
        <v>784</v>
      </c>
      <c r="D4375" s="0">
        <v>3</v>
      </c>
      <c r="E4375" s="10">
        <f>HYPERLINK("http://www.lingerieopt.ru/images/original/e28716f0-e9bc-413e-b553-6a806bdacc9f.jpg","Фото")</f>
      </c>
    </row>
    <row r="4376">
      <c r="A4376" s="7">
        <f>HYPERLINK("http://www.lingerieopt.ru/item/6592-kruzhevnoi-komplekt-magnolia-iz-3-predmetov/","6592")</f>
      </c>
      <c r="B4376" s="8" t="s">
        <v>4166</v>
      </c>
      <c r="C4376" s="9">
        <v>784</v>
      </c>
      <c r="D4376" s="0">
        <v>6</v>
      </c>
      <c r="E4376" s="10">
        <f>HYPERLINK("http://www.lingerieopt.ru/images/original/e28716f0-e9bc-413e-b553-6a806bdacc9f.jpg","Фото")</f>
      </c>
    </row>
    <row r="4377">
      <c r="A4377" s="7">
        <f>HYPERLINK("http://www.lingerieopt.ru/item/6592-kruzhevnoi-komplekt-magnolia-iz-3-predmetov/","6592")</f>
      </c>
      <c r="B4377" s="8" t="s">
        <v>4167</v>
      </c>
      <c r="C4377" s="9">
        <v>784</v>
      </c>
      <c r="D4377" s="0">
        <v>6</v>
      </c>
      <c r="E4377" s="10">
        <f>HYPERLINK("http://www.lingerieopt.ru/images/original/e28716f0-e9bc-413e-b553-6a806bdacc9f.jpg","Фото")</f>
      </c>
    </row>
    <row r="4378">
      <c r="A4378" s="7">
        <f>HYPERLINK("http://www.lingerieopt.ru/item/6860-kruzhevnaya-podvyazka-na-nozhku-swanita/","6860")</f>
      </c>
      <c r="B4378" s="8" t="s">
        <v>4168</v>
      </c>
      <c r="C4378" s="9">
        <v>381</v>
      </c>
      <c r="D4378" s="0">
        <v>2</v>
      </c>
      <c r="E4378" s="10">
        <f>HYPERLINK("http://www.lingerieopt.ru/images/original/51c0193a-8fdc-4a38-a55e-677545760e6d.jpg","Фото")</f>
      </c>
    </row>
    <row r="4379">
      <c r="A4379" s="7">
        <f>HYPERLINK("http://www.lingerieopt.ru/item/10218-komplekt-allure-iz-2-podvyazok-s-ryushevjmi-oborkami/","10218")</f>
      </c>
      <c r="B4379" s="8" t="s">
        <v>4169</v>
      </c>
      <c r="C4379" s="9">
        <v>1441</v>
      </c>
      <c r="D4379" s="0">
        <v>0</v>
      </c>
      <c r="E4379" s="10">
        <f>HYPERLINK("http://www.lingerieopt.ru/images/original/2d572f68-dd92-40d3-bab6-0066444bf8b7.jpg","Фото")</f>
      </c>
    </row>
    <row r="4380">
      <c r="A4380" s="7">
        <f>HYPERLINK("http://www.lingerieopt.ru/item/10218-komplekt-allure-iz-2-podvyazok-s-ryushevjmi-oborkami/","10218")</f>
      </c>
      <c r="B4380" s="8" t="s">
        <v>4170</v>
      </c>
      <c r="C4380" s="9">
        <v>1441</v>
      </c>
      <c r="D4380" s="0">
        <v>3</v>
      </c>
      <c r="E4380" s="10">
        <f>HYPERLINK("http://www.lingerieopt.ru/images/original/2d572f68-dd92-40d3-bab6-0066444bf8b7.jpg","Фото")</f>
      </c>
    </row>
    <row r="4381">
      <c r="A4381" s="7">
        <f>HYPERLINK("http://www.lingerieopt.ru/item/10218-komplekt-allure-iz-2-podvyazok-s-ryushevjmi-oborkami/","10218")</f>
      </c>
      <c r="B4381" s="8" t="s">
        <v>4171</v>
      </c>
      <c r="C4381" s="9">
        <v>1441</v>
      </c>
      <c r="D4381" s="0">
        <v>2</v>
      </c>
      <c r="E4381" s="10">
        <f>HYPERLINK("http://www.lingerieopt.ru/images/original/2d572f68-dd92-40d3-bab6-0066444bf8b7.jpg","Фото")</f>
      </c>
    </row>
    <row r="4382">
      <c r="A4382" s="7">
        <f>HYPERLINK("http://www.lingerieopt.ru/item/10219-komplekt-iz-2-podvyazok-bonita-s-bantikami/","10219")</f>
      </c>
      <c r="B4382" s="8" t="s">
        <v>4172</v>
      </c>
      <c r="C4382" s="9">
        <v>1050</v>
      </c>
      <c r="D4382" s="0">
        <v>0</v>
      </c>
      <c r="E4382" s="10">
        <f>HYPERLINK("http://www.lingerieopt.ru/images/original/09e5ed4b-a8c5-4eaa-9c0b-9ee9de65a7a8.jpg","Фото")</f>
      </c>
    </row>
    <row r="4383">
      <c r="A4383" s="7">
        <f>HYPERLINK("http://www.lingerieopt.ru/item/10219-komplekt-iz-2-podvyazok-bonita-s-bantikami/","10219")</f>
      </c>
      <c r="B4383" s="8" t="s">
        <v>4173</v>
      </c>
      <c r="C4383" s="9">
        <v>1050</v>
      </c>
      <c r="D4383" s="0">
        <v>0</v>
      </c>
      <c r="E4383" s="10">
        <f>HYPERLINK("http://www.lingerieopt.ru/images/original/09e5ed4b-a8c5-4eaa-9c0b-9ee9de65a7a8.jpg","Фото")</f>
      </c>
    </row>
    <row r="4384">
      <c r="A4384" s="7">
        <f>HYPERLINK("http://www.lingerieopt.ru/item/10219-komplekt-iz-2-podvyazok-bonita-s-bantikami/","10219")</f>
      </c>
      <c r="B4384" s="8" t="s">
        <v>4174</v>
      </c>
      <c r="C4384" s="9">
        <v>1050</v>
      </c>
      <c r="D4384" s="0">
        <v>1</v>
      </c>
      <c r="E4384" s="10">
        <f>HYPERLINK("http://www.lingerieopt.ru/images/original/09e5ed4b-a8c5-4eaa-9c0b-9ee9de65a7a8.jpg","Фото")</f>
      </c>
    </row>
    <row r="4385">
      <c r="A4385" s="7">
        <f>HYPERLINK("http://www.lingerieopt.ru/item/10290-chernaya-kozhanaya-podvyazka/","10290")</f>
      </c>
      <c r="B4385" s="8" t="s">
        <v>3676</v>
      </c>
      <c r="C4385" s="9">
        <v>225</v>
      </c>
      <c r="D4385" s="0">
        <v>14</v>
      </c>
      <c r="E4385" s="10">
        <f>HYPERLINK("http://www.lingerieopt.ru/images/original/5ca4eada-5280-4411-a2d2-fe221da60082.jpg","Фото")</f>
      </c>
    </row>
    <row r="4386">
      <c r="A4386" s="7">
        <f>HYPERLINK("http://www.lingerieopt.ru/item/10291-dvoinaya-kozhanaya-podvyazka-na-nogu/","10291")</f>
      </c>
      <c r="B4386" s="8" t="s">
        <v>4175</v>
      </c>
      <c r="C4386" s="9">
        <v>248</v>
      </c>
      <c r="D4386" s="0">
        <v>13</v>
      </c>
      <c r="E4386" s="10">
        <f>HYPERLINK("http://www.lingerieopt.ru/images/original/94a8699f-c19a-4861-a02e-91f6ea798cc8.jpg","Фото")</f>
      </c>
    </row>
    <row r="4387">
      <c r="A4387" s="7">
        <f>HYPERLINK("http://www.lingerieopt.ru/item/10292-dvoinaya-kozhanaya-podvyazka-na-nogu-s-bantom/","10292")</f>
      </c>
      <c r="B4387" s="8" t="s">
        <v>3677</v>
      </c>
      <c r="C4387" s="9">
        <v>248</v>
      </c>
      <c r="D4387" s="0">
        <v>12</v>
      </c>
      <c r="E4387" s="10">
        <f>HYPERLINK("http://www.lingerieopt.ru/images/original/92937d3c-903c-4a15-87a4-a91608f44b8b.jpg","Фото")</f>
      </c>
    </row>
    <row r="4388">
      <c r="A4388" s="7">
        <f>HYPERLINK("http://www.lingerieopt.ru/item/10294-podvyazka-so-sborkami-i-bantom/","10294")</f>
      </c>
      <c r="B4388" s="8" t="s">
        <v>4176</v>
      </c>
      <c r="C4388" s="9">
        <v>178</v>
      </c>
      <c r="D4388" s="0">
        <v>14</v>
      </c>
      <c r="E4388" s="10">
        <f>HYPERLINK("http://www.lingerieopt.ru/images/original/35997e12-2d94-48b0-9a90-2cd2c5789b7e.jpg","Фото")</f>
      </c>
    </row>
    <row r="4389">
      <c r="A4389" s="7">
        <f>HYPERLINK("http://www.lingerieopt.ru/item/10474-nabor-pikantnjh-aksessuarov-velma-plus-size/","10474")</f>
      </c>
      <c r="B4389" s="8" t="s">
        <v>4177</v>
      </c>
      <c r="C4389" s="9">
        <v>1164</v>
      </c>
      <c r="D4389" s="0">
        <v>1</v>
      </c>
      <c r="E4389" s="10">
        <f>HYPERLINK("http://www.lingerieopt.ru/images/original/b24ff55d-1d13-4ec4-9b0e-a2b85f47d33a.jpg","Фото")</f>
      </c>
    </row>
    <row r="4390">
      <c r="A4390" s="7">
        <f>HYPERLINK("http://www.lingerieopt.ru/item/10574-krasivaya-podvyazka-na-nozhku-s-bantom-i-melkoi-ryushei-po-krayu/","10574")</f>
      </c>
      <c r="B4390" s="8" t="s">
        <v>4178</v>
      </c>
      <c r="C4390" s="9">
        <v>368</v>
      </c>
      <c r="D4390" s="0">
        <v>27</v>
      </c>
      <c r="E4390" s="10">
        <f>HYPERLINK("http://www.lingerieopt.ru/images/original/39643294-a62e-4466-ac05-d832ef99a30e.jpg","Фото")</f>
      </c>
    </row>
    <row r="4391">
      <c r="A4391" s="7">
        <f>HYPERLINK("http://www.lingerieopt.ru/item/10717-komplekt-kruzhevnjh-podvyazok-plus-size-dlya-zaschitj-ot-natiranii/","10717")</f>
      </c>
      <c r="B4391" s="8" t="s">
        <v>4179</v>
      </c>
      <c r="C4391" s="9">
        <v>419</v>
      </c>
      <c r="D4391" s="0">
        <v>93</v>
      </c>
      <c r="E4391" s="10">
        <f>HYPERLINK("http://www.lingerieopt.ru/images/original/880168e7-bfdf-48d1-b1c5-190fb3e89ce8.jpg","Фото")</f>
      </c>
    </row>
    <row r="4392">
      <c r="A4392" s="7">
        <f>HYPERLINK("http://www.lingerieopt.ru/item/10717-komplekt-kruzhevnjh-podvyazok-plus-size-dlya-zaschitj-ot-natiranii/","10717")</f>
      </c>
      <c r="B4392" s="8" t="s">
        <v>4180</v>
      </c>
      <c r="C4392" s="9">
        <v>419</v>
      </c>
      <c r="D4392" s="0">
        <v>84</v>
      </c>
      <c r="E4392" s="10">
        <f>HYPERLINK("http://www.lingerieopt.ru/images/original/880168e7-bfdf-48d1-b1c5-190fb3e89ce8.jpg","Фото")</f>
      </c>
    </row>
    <row r="4393">
      <c r="A4393" s="7">
        <f>HYPERLINK("http://www.lingerieopt.ru/item/10717-komplekt-kruzhevnjh-podvyazok-plus-size-dlya-zaschitj-ot-natiranii/","10717")</f>
      </c>
      <c r="B4393" s="8" t="s">
        <v>4181</v>
      </c>
      <c r="C4393" s="9">
        <v>419</v>
      </c>
      <c r="D4393" s="0">
        <v>54</v>
      </c>
      <c r="E4393" s="10">
        <f>HYPERLINK("http://www.lingerieopt.ru/images/original/880168e7-bfdf-48d1-b1c5-190fb3e89ce8.jpg","Фото")</f>
      </c>
    </row>
    <row r="4394">
      <c r="A4394" s="7">
        <f>HYPERLINK("http://www.lingerieopt.ru/item/10717-komplekt-kruzhevnjh-podvyazok-plus-size-dlya-zaschitj-ot-natiranii/","10717")</f>
      </c>
      <c r="B4394" s="8" t="s">
        <v>4182</v>
      </c>
      <c r="C4394" s="9">
        <v>419</v>
      </c>
      <c r="D4394" s="0">
        <v>46</v>
      </c>
      <c r="E4394" s="10">
        <f>HYPERLINK("http://www.lingerieopt.ru/images/original/880168e7-bfdf-48d1-b1c5-190fb3e89ce8.jpg","Фото")</f>
      </c>
    </row>
    <row r="4395">
      <c r="A4395" s="5"/>
      <c r="B4395" s="6" t="s">
        <v>4183</v>
      </c>
      <c r="C4395" s="5"/>
      <c r="D4395" s="5"/>
      <c r="E4395" s="5"/>
    </row>
    <row r="4396">
      <c r="A4396" s="7">
        <f>HYPERLINK("http://www.lingerieopt.ru/item/6923-zhenskaya-portupeya-mistress/","6923")</f>
      </c>
      <c r="B4396" s="8" t="s">
        <v>4184</v>
      </c>
      <c r="C4396" s="9">
        <v>2254</v>
      </c>
      <c r="D4396" s="0">
        <v>0</v>
      </c>
      <c r="E4396" s="10">
        <f>HYPERLINK("http://www.lingerieopt.ru/images/original/b0ebb963-5621-4230-b524-9922e6cd8763.jpg","Фото")</f>
      </c>
    </row>
    <row r="4397">
      <c r="A4397" s="7">
        <f>HYPERLINK("http://www.lingerieopt.ru/item/6923-zhenskaya-portupeya-mistress/","6923")</f>
      </c>
      <c r="B4397" s="8" t="s">
        <v>4185</v>
      </c>
      <c r="C4397" s="9">
        <v>2254</v>
      </c>
      <c r="D4397" s="0">
        <v>1</v>
      </c>
      <c r="E4397" s="10">
        <f>HYPERLINK("http://www.lingerieopt.ru/images/original/b0ebb963-5621-4230-b524-9922e6cd8763.jpg","Фото")</f>
      </c>
    </row>
    <row r="4398">
      <c r="A4398" s="7">
        <f>HYPERLINK("http://www.lingerieopt.ru/item/6923-zhenskaya-portupeya-mistress/","6923")</f>
      </c>
      <c r="B4398" s="8" t="s">
        <v>4186</v>
      </c>
      <c r="C4398" s="9">
        <v>2254</v>
      </c>
      <c r="D4398" s="0">
        <v>0</v>
      </c>
      <c r="E4398" s="10">
        <f>HYPERLINK("http://www.lingerieopt.ru/images/original/b0ebb963-5621-4230-b524-9922e6cd8763.jpg","Фото")</f>
      </c>
    </row>
    <row r="4399">
      <c r="A4399" s="7">
        <f>HYPERLINK("http://www.lingerieopt.ru/item/7254-chernje-kozhanje-garterj-fina/","7254")</f>
      </c>
      <c r="B4399" s="8" t="s">
        <v>4187</v>
      </c>
      <c r="C4399" s="9">
        <v>1560</v>
      </c>
      <c r="D4399" s="0">
        <v>19</v>
      </c>
      <c r="E4399" s="10">
        <f>HYPERLINK("http://www.lingerieopt.ru/images/original/0c8f0ccf-20a5-4437-9dcd-1e01d2e45faa.jpg","Фото")</f>
      </c>
    </row>
    <row r="4400">
      <c r="A4400" s="7">
        <f>HYPERLINK("http://www.lingerieopt.ru/item/7255-chernje-garterj-na-bedra-dive-black/","7255")</f>
      </c>
      <c r="B4400" s="8" t="s">
        <v>4188</v>
      </c>
      <c r="C4400" s="9">
        <v>1560</v>
      </c>
      <c r="D4400" s="0">
        <v>13</v>
      </c>
      <c r="E4400" s="10">
        <f>HYPERLINK("http://www.lingerieopt.ru/images/original/02713303-0f3a-4bb1-91a6-2499fa600c0a.jpg","Фото")</f>
      </c>
    </row>
    <row r="4401">
      <c r="A4401" s="7">
        <f>HYPERLINK("http://www.lingerieopt.ru/item/7256-portupeya-poyas-ajur/","7256")</f>
      </c>
      <c r="B4401" s="8" t="s">
        <v>4189</v>
      </c>
      <c r="C4401" s="9">
        <v>4845</v>
      </c>
      <c r="D4401" s="0">
        <v>20</v>
      </c>
      <c r="E4401" s="10">
        <f>HYPERLINK("http://www.lingerieopt.ru/images/original/3936ca7f-cc9b-4cce-bae2-070d00f75d46.jpg","Фото")</f>
      </c>
    </row>
    <row r="4402">
      <c r="A4402" s="7">
        <f>HYPERLINK("http://www.lingerieopt.ru/item/8264-portupeya-iz-strep-lent-harness-3/","8264")</f>
      </c>
      <c r="B4402" s="8" t="s">
        <v>4190</v>
      </c>
      <c r="C4402" s="9">
        <v>1135</v>
      </c>
      <c r="D4402" s="0">
        <v>14</v>
      </c>
      <c r="E4402" s="10">
        <f>HYPERLINK("http://www.lingerieopt.ru/images/original/9a325b47-68a3-4607-bec0-e3cf35c792df.jpg","Фото")</f>
      </c>
    </row>
    <row r="4403">
      <c r="A4403" s="7">
        <f>HYPERLINK("http://www.lingerieopt.ru/item/8264-portupeya-iz-strep-lent-harness-3/","8264")</f>
      </c>
      <c r="B4403" s="8" t="s">
        <v>4191</v>
      </c>
      <c r="C4403" s="9">
        <v>1135</v>
      </c>
      <c r="D4403" s="0">
        <v>9</v>
      </c>
      <c r="E4403" s="10">
        <f>HYPERLINK("http://www.lingerieopt.ru/images/original/9a325b47-68a3-4607-bec0-e3cf35c792df.jpg","Фото")</f>
      </c>
    </row>
    <row r="4404">
      <c r="A4404" s="7">
        <f>HYPERLINK("http://www.lingerieopt.ru/item/8264-portupeya-iz-strep-lent-harness-3/","8264")</f>
      </c>
      <c r="B4404" s="8" t="s">
        <v>4192</v>
      </c>
      <c r="C4404" s="9">
        <v>1135</v>
      </c>
      <c r="D4404" s="0">
        <v>5</v>
      </c>
      <c r="E4404" s="10">
        <f>HYPERLINK("http://www.lingerieopt.ru/images/original/9a325b47-68a3-4607-bec0-e3cf35c792df.jpg","Фото")</f>
      </c>
    </row>
    <row r="4405">
      <c r="A4405" s="7">
        <f>HYPERLINK("http://www.lingerieopt.ru/item/8264-portupeya-iz-strep-lent-harness-3/","8264")</f>
      </c>
      <c r="B4405" s="8" t="s">
        <v>4193</v>
      </c>
      <c r="C4405" s="9">
        <v>1135</v>
      </c>
      <c r="D4405" s="0">
        <v>12</v>
      </c>
      <c r="E4405" s="10">
        <f>HYPERLINK("http://www.lingerieopt.ru/images/original/9a325b47-68a3-4607-bec0-e3cf35c792df.jpg","Фото")</f>
      </c>
    </row>
    <row r="4406">
      <c r="A4406" s="7">
        <f>HYPERLINK("http://www.lingerieopt.ru/item/8264-portupeya-iz-strep-lent-harness-3/","8264")</f>
      </c>
      <c r="B4406" s="8" t="s">
        <v>4194</v>
      </c>
      <c r="C4406" s="9">
        <v>1135</v>
      </c>
      <c r="D4406" s="0">
        <v>3</v>
      </c>
      <c r="E4406" s="10">
        <f>HYPERLINK("http://www.lingerieopt.ru/images/original/9a325b47-68a3-4607-bec0-e3cf35c792df.jpg","Фото")</f>
      </c>
    </row>
    <row r="4407">
      <c r="A4407" s="7">
        <f>HYPERLINK("http://www.lingerieopt.ru/item/8264-portupeya-iz-strep-lent-harness-3/","8264")</f>
      </c>
      <c r="B4407" s="8" t="s">
        <v>4195</v>
      </c>
      <c r="C4407" s="9">
        <v>1135</v>
      </c>
      <c r="D4407" s="0">
        <v>3</v>
      </c>
      <c r="E4407" s="10">
        <f>HYPERLINK("http://www.lingerieopt.ru/images/original/9a325b47-68a3-4607-bec0-e3cf35c792df.jpg","Фото")</f>
      </c>
    </row>
    <row r="4408">
      <c r="A4408" s="7">
        <f>HYPERLINK("http://www.lingerieopt.ru/item/8272-portupeya-iz-lent-harness-4-s-kruzhevami-v-verhnei-chasti/","8272")</f>
      </c>
      <c r="B4408" s="8" t="s">
        <v>4196</v>
      </c>
      <c r="C4408" s="9">
        <v>888</v>
      </c>
      <c r="D4408" s="0">
        <v>14</v>
      </c>
      <c r="E4408" s="10">
        <f>HYPERLINK("http://www.lingerieopt.ru/images/original/346bbf9a-6bd5-4633-b082-7d9fbd3d4940.jpg","Фото")</f>
      </c>
    </row>
    <row r="4409">
      <c r="A4409" s="7">
        <f>HYPERLINK("http://www.lingerieopt.ru/item/8272-portupeya-iz-lent-harness-4-s-kruzhevami-v-verhnei-chasti/","8272")</f>
      </c>
      <c r="B4409" s="8" t="s">
        <v>4197</v>
      </c>
      <c r="C4409" s="9">
        <v>888</v>
      </c>
      <c r="D4409" s="0">
        <v>8</v>
      </c>
      <c r="E4409" s="10">
        <f>HYPERLINK("http://www.lingerieopt.ru/images/original/346bbf9a-6bd5-4633-b082-7d9fbd3d4940.jpg","Фото")</f>
      </c>
    </row>
    <row r="4410">
      <c r="A4410" s="7">
        <f>HYPERLINK("http://www.lingerieopt.ru/item/8274-portupeya-iz-lent-harness-2/","8274")</f>
      </c>
      <c r="B4410" s="8" t="s">
        <v>4198</v>
      </c>
      <c r="C4410" s="9">
        <v>852</v>
      </c>
      <c r="D4410" s="0">
        <v>10</v>
      </c>
      <c r="E4410" s="10">
        <f>HYPERLINK("http://www.lingerieopt.ru/images/original/c5708446-4dc1-4440-8ff6-20e7584dbc58.jpg","Фото")</f>
      </c>
    </row>
    <row r="4411">
      <c r="A4411" s="7">
        <f>HYPERLINK("http://www.lingerieopt.ru/item/8274-portupeya-iz-lent-harness-2/","8274")</f>
      </c>
      <c r="B4411" s="8" t="s">
        <v>4199</v>
      </c>
      <c r="C4411" s="9">
        <v>852</v>
      </c>
      <c r="D4411" s="0">
        <v>5</v>
      </c>
      <c r="E4411" s="10">
        <f>HYPERLINK("http://www.lingerieopt.ru/images/original/c5708446-4dc1-4440-8ff6-20e7584dbc58.jpg","Фото")</f>
      </c>
    </row>
    <row r="4412">
      <c r="A4412" s="7">
        <f>HYPERLINK("http://www.lingerieopt.ru/item/8274-portupeya-iz-lent-harness-2/","8274")</f>
      </c>
      <c r="B4412" s="8" t="s">
        <v>4200</v>
      </c>
      <c r="C4412" s="9">
        <v>852</v>
      </c>
      <c r="D4412" s="0">
        <v>12</v>
      </c>
      <c r="E4412" s="10">
        <f>HYPERLINK("http://www.lingerieopt.ru/images/original/c5708446-4dc1-4440-8ff6-20e7584dbc58.jpg","Фото")</f>
      </c>
    </row>
    <row r="4413">
      <c r="A4413" s="7">
        <f>HYPERLINK("http://www.lingerieopt.ru/item/8274-portupeya-iz-lent-harness-2/","8274")</f>
      </c>
      <c r="B4413" s="8" t="s">
        <v>4201</v>
      </c>
      <c r="C4413" s="9">
        <v>852</v>
      </c>
      <c r="D4413" s="0">
        <v>5</v>
      </c>
      <c r="E4413" s="10">
        <f>HYPERLINK("http://www.lingerieopt.ru/images/original/c5708446-4dc1-4440-8ff6-20e7584dbc58.jpg","Фото")</f>
      </c>
    </row>
    <row r="4414">
      <c r="A4414" s="7">
        <f>HYPERLINK("http://www.lingerieopt.ru/item/8274-portupeya-iz-lent-harness-2/","8274")</f>
      </c>
      <c r="B4414" s="8" t="s">
        <v>4202</v>
      </c>
      <c r="C4414" s="9">
        <v>852</v>
      </c>
      <c r="D4414" s="0">
        <v>9</v>
      </c>
      <c r="E4414" s="10">
        <f>HYPERLINK("http://www.lingerieopt.ru/images/original/c5708446-4dc1-4440-8ff6-20e7584dbc58.jpg","Фото")</f>
      </c>
    </row>
    <row r="4415">
      <c r="A4415" s="7">
        <f>HYPERLINK("http://www.lingerieopt.ru/item/8274-portupeya-iz-lent-harness-2/","8274")</f>
      </c>
      <c r="B4415" s="8" t="s">
        <v>4203</v>
      </c>
      <c r="C4415" s="9">
        <v>852</v>
      </c>
      <c r="D4415" s="0">
        <v>4</v>
      </c>
      <c r="E4415" s="10">
        <f>HYPERLINK("http://www.lingerieopt.ru/images/original/c5708446-4dc1-4440-8ff6-20e7584dbc58.jpg","Фото")</f>
      </c>
    </row>
    <row r="4416">
      <c r="A4416" s="7">
        <f>HYPERLINK("http://www.lingerieopt.ru/item/8303-korotkaya-chernaya-kozhanaya-portupeya/","8303")</f>
      </c>
      <c r="B4416" s="8" t="s">
        <v>4204</v>
      </c>
      <c r="C4416" s="9">
        <v>1168</v>
      </c>
      <c r="D4416" s="0">
        <v>4</v>
      </c>
      <c r="E4416" s="10">
        <f>HYPERLINK("http://www.lingerieopt.ru/images/original/b76124c3-39d7-4a0e-beca-8562b6cb5139.jpg","Фото")</f>
      </c>
    </row>
    <row r="4417">
      <c r="A4417" s="7">
        <f>HYPERLINK("http://www.lingerieopt.ru/item/8477-chernje-kozhanje-garterj-heidi/","8477")</f>
      </c>
      <c r="B4417" s="8" t="s">
        <v>4205</v>
      </c>
      <c r="C4417" s="9">
        <v>3004</v>
      </c>
      <c r="D4417" s="0">
        <v>14</v>
      </c>
      <c r="E4417" s="10">
        <f>HYPERLINK("http://www.lingerieopt.ru/images/original/14ec860b-dbee-4f68-8f0e-b6347d5c7ae9.jpg","Фото")</f>
      </c>
    </row>
    <row r="4418">
      <c r="A4418" s="7">
        <f>HYPERLINK("http://www.lingerieopt.ru/item/10002-portupeya-plus-size-iz-lent-s-kruzhevami-v-verhnei-chasti/","10002")</f>
      </c>
      <c r="B4418" s="8" t="s">
        <v>4206</v>
      </c>
      <c r="C4418" s="9">
        <v>888</v>
      </c>
      <c r="D4418" s="0">
        <v>2</v>
      </c>
      <c r="E4418" s="10">
        <f>HYPERLINK("http://www.lingerieopt.ru/images/original/b090b5de-5f75-480b-807b-8745de57e511.jpg","Фото")</f>
      </c>
    </row>
    <row r="4419">
      <c r="A4419" s="7">
        <f>HYPERLINK("http://www.lingerieopt.ru/item/10003-portupeya-iz-lent-razmera-plus-size/","10003")</f>
      </c>
      <c r="B4419" s="8" t="s">
        <v>4207</v>
      </c>
      <c r="C4419" s="9">
        <v>852</v>
      </c>
      <c r="D4419" s="0">
        <v>6</v>
      </c>
      <c r="E4419" s="10">
        <f>HYPERLINK("http://www.lingerieopt.ru/images/original/bf2a0cfc-c35c-4359-b784-6c165da1170f.jpg","Фото")</f>
      </c>
    </row>
    <row r="4420">
      <c r="A4420" s="7">
        <f>HYPERLINK("http://www.lingerieopt.ru/item/10003-portupeya-iz-lent-razmera-plus-size/","10003")</f>
      </c>
      <c r="B4420" s="8" t="s">
        <v>4208</v>
      </c>
      <c r="C4420" s="9">
        <v>852</v>
      </c>
      <c r="D4420" s="0">
        <v>5</v>
      </c>
      <c r="E4420" s="10">
        <f>HYPERLINK("http://www.lingerieopt.ru/images/original/bf2a0cfc-c35c-4359-b784-6c165da1170f.jpg","Фото")</f>
      </c>
    </row>
    <row r="4421">
      <c r="A4421" s="7">
        <f>HYPERLINK("http://www.lingerieopt.ru/item/10003-portupeya-iz-lent-razmera-plus-size/","10003")</f>
      </c>
      <c r="B4421" s="8" t="s">
        <v>4209</v>
      </c>
      <c r="C4421" s="9">
        <v>852</v>
      </c>
      <c r="D4421" s="0">
        <v>3</v>
      </c>
      <c r="E4421" s="10">
        <f>HYPERLINK("http://www.lingerieopt.ru/images/original/bf2a0cfc-c35c-4359-b784-6c165da1170f.jpg","Фото")</f>
      </c>
    </row>
    <row r="4422">
      <c r="A4422" s="7">
        <f>HYPERLINK("http://www.lingerieopt.ru/item/10004-portupeya-iz-strep-lent-razmera-plus-size/","10004")</f>
      </c>
      <c r="B4422" s="8" t="s">
        <v>4210</v>
      </c>
      <c r="C4422" s="9">
        <v>852</v>
      </c>
      <c r="D4422" s="0">
        <v>4</v>
      </c>
      <c r="E4422" s="10">
        <f>HYPERLINK("http://www.lingerieopt.ru/images/original/185e2a02-1d69-4b18-a31b-ae26e8440748.jpg","Фото")</f>
      </c>
    </row>
    <row r="4423">
      <c r="A4423" s="7">
        <f>HYPERLINK("http://www.lingerieopt.ru/item/10004-portupeya-iz-strep-lent-razmera-plus-size/","10004")</f>
      </c>
      <c r="B4423" s="8" t="s">
        <v>4211</v>
      </c>
      <c r="C4423" s="9">
        <v>852</v>
      </c>
      <c r="D4423" s="0">
        <v>3</v>
      </c>
      <c r="E4423" s="10">
        <f>HYPERLINK("http://www.lingerieopt.ru/images/original/185e2a02-1d69-4b18-a31b-ae26e8440748.jpg","Фото")</f>
      </c>
    </row>
    <row r="4424">
      <c r="A4424" s="7">
        <f>HYPERLINK("http://www.lingerieopt.ru/item/10004-portupeya-iz-strep-lent-razmera-plus-size/","10004")</f>
      </c>
      <c r="B4424" s="8" t="s">
        <v>4212</v>
      </c>
      <c r="C4424" s="9">
        <v>852</v>
      </c>
      <c r="D4424" s="0">
        <v>5</v>
      </c>
      <c r="E4424" s="10">
        <f>HYPERLINK("http://www.lingerieopt.ru/images/original/185e2a02-1d69-4b18-a31b-ae26e8440748.jpg","Фото")</f>
      </c>
    </row>
    <row r="4425">
      <c r="A4425" s="7">
        <f>HYPERLINK("http://www.lingerieopt.ru/item/10217-poyas-s-garterami-pure/","10217")</f>
      </c>
      <c r="B4425" s="8" t="s">
        <v>4213</v>
      </c>
      <c r="C4425" s="9">
        <v>910</v>
      </c>
      <c r="D4425" s="0">
        <v>1</v>
      </c>
      <c r="E4425" s="10">
        <f>HYPERLINK("http://www.lingerieopt.ru/images/original/fd6944ff-642a-4924-9da1-137dbf46c38c.jpg","Фото")</f>
      </c>
    </row>
    <row r="4426">
      <c r="A4426" s="7">
        <f>HYPERLINK("http://www.lingerieopt.ru/item/10217-poyas-s-garterami-pure/","10217")</f>
      </c>
      <c r="B4426" s="8" t="s">
        <v>4214</v>
      </c>
      <c r="C4426" s="9">
        <v>910</v>
      </c>
      <c r="D4426" s="0">
        <v>0</v>
      </c>
      <c r="E4426" s="10">
        <f>HYPERLINK("http://www.lingerieopt.ru/images/original/fd6944ff-642a-4924-9da1-137dbf46c38c.jpg","Фото")</f>
      </c>
    </row>
    <row r="4427">
      <c r="A4427" s="7">
        <f>HYPERLINK("http://www.lingerieopt.ru/item/10217-poyas-s-garterami-pure/","10217")</f>
      </c>
      <c r="B4427" s="8" t="s">
        <v>4215</v>
      </c>
      <c r="C4427" s="9">
        <v>910</v>
      </c>
      <c r="D4427" s="0">
        <v>0</v>
      </c>
      <c r="E4427" s="10">
        <f>HYPERLINK("http://www.lingerieopt.ru/images/original/fd6944ff-642a-4924-9da1-137dbf46c38c.jpg","Фото")</f>
      </c>
    </row>
    <row r="4428">
      <c r="A4428" s="7">
        <f>HYPERLINK("http://www.lingerieopt.ru/item/10220-komplekt-iz-2-garterov-s-pazhami-dlya-chulok-pure/","10220")</f>
      </c>
      <c r="B4428" s="8" t="s">
        <v>4216</v>
      </c>
      <c r="C4428" s="9">
        <v>704</v>
      </c>
      <c r="D4428" s="0">
        <v>12</v>
      </c>
      <c r="E4428" s="10">
        <f>HYPERLINK("http://www.lingerieopt.ru/images/original/3d046635-d81d-4420-bb41-41cc7709ac88.jpg","Фото")</f>
      </c>
    </row>
    <row r="4429">
      <c r="A4429" s="7">
        <f>HYPERLINK("http://www.lingerieopt.ru/item/10220-komplekt-iz-2-garterov-s-pazhami-dlya-chulok-pure/","10220")</f>
      </c>
      <c r="B4429" s="8" t="s">
        <v>4217</v>
      </c>
      <c r="C4429" s="9">
        <v>704</v>
      </c>
      <c r="D4429" s="0">
        <v>0</v>
      </c>
      <c r="E4429" s="10">
        <f>HYPERLINK("http://www.lingerieopt.ru/images/original/3d046635-d81d-4420-bb41-41cc7709ac88.jpg","Фото")</f>
      </c>
    </row>
    <row r="4430">
      <c r="A4430" s="7">
        <f>HYPERLINK("http://www.lingerieopt.ru/item/10220-komplekt-iz-2-garterov-s-pazhami-dlya-chulok-pure/","10220")</f>
      </c>
      <c r="B4430" s="8" t="s">
        <v>4218</v>
      </c>
      <c r="C4430" s="9">
        <v>704</v>
      </c>
      <c r="D4430" s="0">
        <v>0</v>
      </c>
      <c r="E4430" s="10">
        <f>HYPERLINK("http://www.lingerieopt.ru/images/original/3d046635-d81d-4420-bb41-41cc7709ac88.jpg","Фото")</f>
      </c>
    </row>
    <row r="4431">
      <c r="A4431" s="7">
        <f>HYPERLINK("http://www.lingerieopt.ru/item/10221-vorotnichok-iz-strep-lent-bonita-s-povodkom-na-karabine/","10221")</f>
      </c>
      <c r="B4431" s="8" t="s">
        <v>4219</v>
      </c>
      <c r="C4431" s="9">
        <v>952</v>
      </c>
      <c r="D4431" s="0">
        <v>1</v>
      </c>
      <c r="E4431" s="10">
        <f>HYPERLINK("http://www.lingerieopt.ru/images/original/658e0c43-0085-49a2-952d-c5ab31bdd19c.jpg","Фото")</f>
      </c>
    </row>
    <row r="4432">
      <c r="A4432" s="7">
        <f>HYPERLINK("http://www.lingerieopt.ru/item/10221-vorotnichok-iz-strep-lent-bonita-s-povodkom-na-karabine/","10221")</f>
      </c>
      <c r="B4432" s="8" t="s">
        <v>4220</v>
      </c>
      <c r="C4432" s="9">
        <v>952</v>
      </c>
      <c r="D4432" s="0">
        <v>1</v>
      </c>
      <c r="E4432" s="10">
        <f>HYPERLINK("http://www.lingerieopt.ru/images/original/658e0c43-0085-49a2-952d-c5ab31bdd19c.jpg","Фото")</f>
      </c>
    </row>
    <row r="4433">
      <c r="A4433" s="7">
        <f>HYPERLINK("http://www.lingerieopt.ru/item/10221-vorotnichok-iz-strep-lent-bonita-s-povodkom-na-karabine/","10221")</f>
      </c>
      <c r="B4433" s="8" t="s">
        <v>4221</v>
      </c>
      <c r="C4433" s="9">
        <v>952</v>
      </c>
      <c r="D4433" s="0">
        <v>0</v>
      </c>
      <c r="E4433" s="10">
        <f>HYPERLINK("http://www.lingerieopt.ru/images/original/658e0c43-0085-49a2-952d-c5ab31bdd19c.jpg","Фото")</f>
      </c>
    </row>
    <row r="4434">
      <c r="A4434" s="7">
        <f>HYPERLINK("http://www.lingerieopt.ru/item/10234-portupeya-razmera-plus-size-iz-strep-lent-s-zolotistjm-dekorom/","10234")</f>
      </c>
      <c r="B4434" s="8" t="s">
        <v>4222</v>
      </c>
      <c r="C4434" s="9">
        <v>852</v>
      </c>
      <c r="D4434" s="0">
        <v>2</v>
      </c>
      <c r="E4434" s="10">
        <f>HYPERLINK("http://www.lingerieopt.ru/images/original/d8608443-da9b-405f-9d8d-ebd2acbead3c.jpg","Фото")</f>
      </c>
    </row>
    <row r="4435">
      <c r="A4435" s="7">
        <f>HYPERLINK("http://www.lingerieopt.ru/item/10234-portupeya-razmera-plus-size-iz-strep-lent-s-zolotistjm-dekorom/","10234")</f>
      </c>
      <c r="B4435" s="8" t="s">
        <v>4223</v>
      </c>
      <c r="C4435" s="9">
        <v>852</v>
      </c>
      <c r="D4435" s="0">
        <v>8</v>
      </c>
      <c r="E4435" s="10">
        <f>HYPERLINK("http://www.lingerieopt.ru/images/original/d8608443-da9b-405f-9d8d-ebd2acbead3c.jpg","Фото")</f>
      </c>
    </row>
    <row r="4436">
      <c r="A4436" s="7">
        <f>HYPERLINK("http://www.lingerieopt.ru/item/10234-portupeya-razmera-plus-size-iz-strep-lent-s-zolotistjm-dekorom/","10234")</f>
      </c>
      <c r="B4436" s="8" t="s">
        <v>4224</v>
      </c>
      <c r="C4436" s="9">
        <v>852</v>
      </c>
      <c r="D4436" s="0">
        <v>3</v>
      </c>
      <c r="E4436" s="10">
        <f>HYPERLINK("http://www.lingerieopt.ru/images/original/d8608443-da9b-405f-9d8d-ebd2acbead3c.jpg","Фото")</f>
      </c>
    </row>
    <row r="4437">
      <c r="A4437" s="7">
        <f>HYPERLINK("http://www.lingerieopt.ru/item/10235-portupeya-pure-s-zolotistjmi-zaklepkami/","10235")</f>
      </c>
      <c r="B4437" s="8" t="s">
        <v>4225</v>
      </c>
      <c r="C4437" s="9">
        <v>792</v>
      </c>
      <c r="D4437" s="0">
        <v>5</v>
      </c>
      <c r="E4437" s="10">
        <f>HYPERLINK("http://www.lingerieopt.ru/images/original/9d0d461e-056e-478a-bd6b-1f5a3265710c.jpg","Фото")</f>
      </c>
    </row>
    <row r="4438">
      <c r="A4438" s="7">
        <f>HYPERLINK("http://www.lingerieopt.ru/item/10235-portupeya-pure-s-zolotistjmi-zaklepkami/","10235")</f>
      </c>
      <c r="B4438" s="8" t="s">
        <v>4226</v>
      </c>
      <c r="C4438" s="9">
        <v>792</v>
      </c>
      <c r="D4438" s="0">
        <v>5</v>
      </c>
      <c r="E4438" s="10">
        <f>HYPERLINK("http://www.lingerieopt.ru/images/original/9d0d461e-056e-478a-bd6b-1f5a3265710c.jpg","Фото")</f>
      </c>
    </row>
    <row r="4439">
      <c r="A4439" s="7">
        <f>HYPERLINK("http://www.lingerieopt.ru/item/10235-portupeya-pure-s-zolotistjmi-zaklepkami/","10235")</f>
      </c>
      <c r="B4439" s="8" t="s">
        <v>4227</v>
      </c>
      <c r="C4439" s="9">
        <v>792</v>
      </c>
      <c r="D4439" s="0">
        <v>5</v>
      </c>
      <c r="E4439" s="10">
        <f>HYPERLINK("http://www.lingerieopt.ru/images/original/9d0d461e-056e-478a-bd6b-1f5a3265710c.jpg","Фото")</f>
      </c>
    </row>
    <row r="4440">
      <c r="A4440" s="7">
        <f>HYPERLINK("http://www.lingerieopt.ru/item/10235-portupeya-pure-s-zolotistjmi-zaklepkami/","10235")</f>
      </c>
      <c r="B4440" s="8" t="s">
        <v>4228</v>
      </c>
      <c r="C4440" s="9">
        <v>792</v>
      </c>
      <c r="D4440" s="0">
        <v>5</v>
      </c>
      <c r="E4440" s="10">
        <f>HYPERLINK("http://www.lingerieopt.ru/images/original/9d0d461e-056e-478a-bd6b-1f5a3265710c.jpg","Фото")</f>
      </c>
    </row>
    <row r="4441">
      <c r="A4441" s="7">
        <f>HYPERLINK("http://www.lingerieopt.ru/item/10235-portupeya-pure-s-zolotistjmi-zaklepkami/","10235")</f>
      </c>
      <c r="B4441" s="8" t="s">
        <v>4229</v>
      </c>
      <c r="C4441" s="9">
        <v>792</v>
      </c>
      <c r="D4441" s="0">
        <v>5</v>
      </c>
      <c r="E4441" s="10">
        <f>HYPERLINK("http://www.lingerieopt.ru/images/original/9d0d461e-056e-478a-bd6b-1f5a3265710c.jpg","Фото")</f>
      </c>
    </row>
    <row r="4442">
      <c r="A4442" s="7">
        <f>HYPERLINK("http://www.lingerieopt.ru/item/10235-portupeya-pure-s-zolotistjmi-zaklepkami/","10235")</f>
      </c>
      <c r="B4442" s="8" t="s">
        <v>4230</v>
      </c>
      <c r="C4442" s="9">
        <v>792</v>
      </c>
      <c r="D4442" s="0">
        <v>5</v>
      </c>
      <c r="E4442" s="10">
        <f>HYPERLINK("http://www.lingerieopt.ru/images/original/9d0d461e-056e-478a-bd6b-1f5a3265710c.jpg","Фото")</f>
      </c>
    </row>
    <row r="4443">
      <c r="A4443" s="7">
        <f>HYPERLINK("http://www.lingerieopt.ru/item/10236-portupeya-cherez-plecho-hussard/","10236")</f>
      </c>
      <c r="B4443" s="8" t="s">
        <v>4231</v>
      </c>
      <c r="C4443" s="9">
        <v>1050</v>
      </c>
      <c r="D4443" s="0">
        <v>0</v>
      </c>
      <c r="E4443" s="10">
        <f>HYPERLINK("http://www.lingerieopt.ru/images/original/25865e16-53dd-40de-bb55-5868597674de.jpg","Фото")</f>
      </c>
    </row>
    <row r="4444">
      <c r="A4444" s="7">
        <f>HYPERLINK("http://www.lingerieopt.ru/item/10236-portupeya-cherez-plecho-hussard/","10236")</f>
      </c>
      <c r="B4444" s="8" t="s">
        <v>4232</v>
      </c>
      <c r="C4444" s="9">
        <v>1050</v>
      </c>
      <c r="D4444" s="0">
        <v>2</v>
      </c>
      <c r="E4444" s="10">
        <f>HYPERLINK("http://www.lingerieopt.ru/images/original/25865e16-53dd-40de-bb55-5868597674de.jpg","Фото")</f>
      </c>
    </row>
    <row r="4445">
      <c r="A4445" s="7">
        <f>HYPERLINK("http://www.lingerieopt.ru/item/10236-portupeya-cherez-plecho-hussard/","10236")</f>
      </c>
      <c r="B4445" s="8" t="s">
        <v>4233</v>
      </c>
      <c r="C4445" s="9">
        <v>1050</v>
      </c>
      <c r="D4445" s="0">
        <v>2</v>
      </c>
      <c r="E4445" s="10">
        <f>HYPERLINK("http://www.lingerieopt.ru/images/original/25865e16-53dd-40de-bb55-5868597674de.jpg","Фото")</f>
      </c>
    </row>
    <row r="4446">
      <c r="A4446" s="7">
        <f>HYPERLINK("http://www.lingerieopt.ru/item/10236-portupeya-cherez-plecho-hussard/","10236")</f>
      </c>
      <c r="B4446" s="8" t="s">
        <v>4234</v>
      </c>
      <c r="C4446" s="9">
        <v>1050</v>
      </c>
      <c r="D4446" s="0">
        <v>0</v>
      </c>
      <c r="E4446" s="10">
        <f>HYPERLINK("http://www.lingerieopt.ru/images/original/25865e16-53dd-40de-bb55-5868597674de.jpg","Фото")</f>
      </c>
    </row>
    <row r="4447">
      <c r="A4447" s="7">
        <f>HYPERLINK("http://www.lingerieopt.ru/item/10236-portupeya-cherez-plecho-hussard/","10236")</f>
      </c>
      <c r="B4447" s="8" t="s">
        <v>4235</v>
      </c>
      <c r="C4447" s="9">
        <v>1050</v>
      </c>
      <c r="D4447" s="0">
        <v>0</v>
      </c>
      <c r="E4447" s="10">
        <f>HYPERLINK("http://www.lingerieopt.ru/images/original/25865e16-53dd-40de-bb55-5868597674de.jpg","Фото")</f>
      </c>
    </row>
    <row r="4448">
      <c r="A4448" s="7">
        <f>HYPERLINK("http://www.lingerieopt.ru/item/10236-portupeya-cherez-plecho-hussard/","10236")</f>
      </c>
      <c r="B4448" s="8" t="s">
        <v>4236</v>
      </c>
      <c r="C4448" s="9">
        <v>1050</v>
      </c>
      <c r="D4448" s="0">
        <v>0</v>
      </c>
      <c r="E4448" s="10">
        <f>HYPERLINK("http://www.lingerieopt.ru/images/original/25865e16-53dd-40de-bb55-5868597674de.jpg","Фото")</f>
      </c>
    </row>
    <row r="4449">
      <c r="A4449" s="7">
        <f>HYPERLINK("http://www.lingerieopt.ru/item/10237-portupeya-queen-of-hearts-submission/","10237")</f>
      </c>
      <c r="B4449" s="8" t="s">
        <v>4237</v>
      </c>
      <c r="C4449" s="9">
        <v>1205</v>
      </c>
      <c r="D4449" s="0">
        <v>4</v>
      </c>
      <c r="E4449" s="10">
        <f>HYPERLINK("http://www.lingerieopt.ru/images/original/92b0e46d-f0c6-4fc6-992d-4c74645da7c6.jpg","Фото")</f>
      </c>
    </row>
    <row r="4450">
      <c r="A4450" s="7">
        <f>HYPERLINK("http://www.lingerieopt.ru/item/10237-portupeya-queen-of-hearts-submission/","10237")</f>
      </c>
      <c r="B4450" s="8" t="s">
        <v>4238</v>
      </c>
      <c r="C4450" s="9">
        <v>1205</v>
      </c>
      <c r="D4450" s="0">
        <v>4</v>
      </c>
      <c r="E4450" s="10">
        <f>HYPERLINK("http://www.lingerieopt.ru/images/original/92b0e46d-f0c6-4fc6-992d-4c74645da7c6.jpg","Фото")</f>
      </c>
    </row>
    <row r="4451">
      <c r="A4451" s="7">
        <f>HYPERLINK("http://www.lingerieopt.ru/item/10237-portupeya-queen-of-hearts-submission/","10237")</f>
      </c>
      <c r="B4451" s="8" t="s">
        <v>4239</v>
      </c>
      <c r="C4451" s="9">
        <v>1205</v>
      </c>
      <c r="D4451" s="0">
        <v>5</v>
      </c>
      <c r="E4451" s="10">
        <f>HYPERLINK("http://www.lingerieopt.ru/images/original/92b0e46d-f0c6-4fc6-992d-4c74645da7c6.jpg","Фото")</f>
      </c>
    </row>
    <row r="4452">
      <c r="A4452" s="7">
        <f>HYPERLINK("http://www.lingerieopt.ru/item/10237-portupeya-queen-of-hearts-submission/","10237")</f>
      </c>
      <c r="B4452" s="8" t="s">
        <v>4240</v>
      </c>
      <c r="C4452" s="9">
        <v>1205</v>
      </c>
      <c r="D4452" s="0">
        <v>9</v>
      </c>
      <c r="E4452" s="10">
        <f>HYPERLINK("http://www.lingerieopt.ru/images/original/92b0e46d-f0c6-4fc6-992d-4c74645da7c6.jpg","Фото")</f>
      </c>
    </row>
    <row r="4453">
      <c r="A4453" s="7">
        <f>HYPERLINK("http://www.lingerieopt.ru/item/10237-portupeya-queen-of-hearts-submission/","10237")</f>
      </c>
      <c r="B4453" s="8" t="s">
        <v>4241</v>
      </c>
      <c r="C4453" s="9">
        <v>1205</v>
      </c>
      <c r="D4453" s="0">
        <v>5</v>
      </c>
      <c r="E4453" s="10">
        <f>HYPERLINK("http://www.lingerieopt.ru/images/original/92b0e46d-f0c6-4fc6-992d-4c74645da7c6.jpg","Фото")</f>
      </c>
    </row>
    <row r="4454">
      <c r="A4454" s="7">
        <f>HYPERLINK("http://www.lingerieopt.ru/item/10237-portupeya-queen-of-hearts-submission/","10237")</f>
      </c>
      <c r="B4454" s="8" t="s">
        <v>4242</v>
      </c>
      <c r="C4454" s="9">
        <v>1205</v>
      </c>
      <c r="D4454" s="0">
        <v>7</v>
      </c>
      <c r="E4454" s="10">
        <f>HYPERLINK("http://www.lingerieopt.ru/images/original/92b0e46d-f0c6-4fc6-992d-4c74645da7c6.jpg","Фото")</f>
      </c>
    </row>
    <row r="4455">
      <c r="A4455" s="7">
        <f>HYPERLINK("http://www.lingerieopt.ru/item/10255-originalnje-trusiki-shortj-gaja-plus-size-so-semnjmi-garterami/","10255")</f>
      </c>
      <c r="B4455" s="8" t="s">
        <v>4243</v>
      </c>
      <c r="C4455" s="9">
        <v>1164</v>
      </c>
      <c r="D4455" s="0">
        <v>2</v>
      </c>
      <c r="E4455" s="10">
        <f>HYPERLINK("http://www.lingerieopt.ru/images/original/a0555983-5d10-43f1-ae2c-fdd3a9726a7f.jpg","Фото")</f>
      </c>
    </row>
    <row r="4456">
      <c r="A4456" s="7">
        <f>HYPERLINK("http://www.lingerieopt.ru/item/10255-originalnje-trusiki-shortj-gaja-plus-size-so-semnjmi-garterami/","10255")</f>
      </c>
      <c r="B4456" s="8" t="s">
        <v>4244</v>
      </c>
      <c r="C4456" s="9">
        <v>1164</v>
      </c>
      <c r="D4456" s="0">
        <v>2</v>
      </c>
      <c r="E4456" s="10">
        <f>HYPERLINK("http://www.lingerieopt.ru/images/original/a0555983-5d10-43f1-ae2c-fdd3a9726a7f.jpg","Фото")</f>
      </c>
    </row>
    <row r="4457">
      <c r="A4457" s="7">
        <f>HYPERLINK("http://www.lingerieopt.ru/item/10255-originalnje-trusiki-shortj-gaja-plus-size-so-semnjmi-garterami/","10255")</f>
      </c>
      <c r="B4457" s="8" t="s">
        <v>4245</v>
      </c>
      <c r="C4457" s="9">
        <v>1164</v>
      </c>
      <c r="D4457" s="0">
        <v>3</v>
      </c>
      <c r="E4457" s="10">
        <f>HYPERLINK("http://www.lingerieopt.ru/images/original/a0555983-5d10-43f1-ae2c-fdd3a9726a7f.jpg","Фото")</f>
      </c>
    </row>
    <row r="4458">
      <c r="A4458" s="7">
        <f>HYPERLINK("http://www.lingerieopt.ru/item/10256-portupeya-pure-plus-size-s-zolotistjmi-zaklepkami/","10256")</f>
      </c>
      <c r="B4458" s="8" t="s">
        <v>4246</v>
      </c>
      <c r="C4458" s="9">
        <v>792</v>
      </c>
      <c r="D4458" s="0">
        <v>2</v>
      </c>
      <c r="E4458" s="10">
        <f>HYPERLINK("http://www.lingerieopt.ru/images/original/d2c2bf6b-715d-4ef9-b8f7-d08ffc59b4e0.jpg","Фото")</f>
      </c>
    </row>
    <row r="4459">
      <c r="A4459" s="7">
        <f>HYPERLINK("http://www.lingerieopt.ru/item/10256-portupeya-pure-plus-size-s-zolotistjmi-zaklepkami/","10256")</f>
      </c>
      <c r="B4459" s="8" t="s">
        <v>4247</v>
      </c>
      <c r="C4459" s="9">
        <v>792</v>
      </c>
      <c r="D4459" s="0">
        <v>2</v>
      </c>
      <c r="E4459" s="10">
        <f>HYPERLINK("http://www.lingerieopt.ru/images/original/d2c2bf6b-715d-4ef9-b8f7-d08ffc59b4e0.jpg","Фото")</f>
      </c>
    </row>
    <row r="4460">
      <c r="A4460" s="7">
        <f>HYPERLINK("http://www.lingerieopt.ru/item/10256-portupeya-pure-plus-size-s-zolotistjmi-zaklepkami/","10256")</f>
      </c>
      <c r="B4460" s="8" t="s">
        <v>4248</v>
      </c>
      <c r="C4460" s="9">
        <v>792</v>
      </c>
      <c r="D4460" s="0">
        <v>2</v>
      </c>
      <c r="E4460" s="10">
        <f>HYPERLINK("http://www.lingerieopt.ru/images/original/d2c2bf6b-715d-4ef9-b8f7-d08ffc59b4e0.jpg","Фото")</f>
      </c>
    </row>
    <row r="4461">
      <c r="A4461" s="7">
        <f>HYPERLINK("http://www.lingerieopt.ru/item/10257-portupeya-iz-strep-lent-s-zolotistjm-shnurom/","10257")</f>
      </c>
      <c r="B4461" s="8" t="s">
        <v>4249</v>
      </c>
      <c r="C4461" s="9">
        <v>792</v>
      </c>
      <c r="D4461" s="0">
        <v>5</v>
      </c>
      <c r="E4461" s="10">
        <f>HYPERLINK("http://www.lingerieopt.ru/images/original/3957aeef-9bd2-4997-a77e-4740458a951e.jpg","Фото")</f>
      </c>
    </row>
    <row r="4462">
      <c r="A4462" s="7">
        <f>HYPERLINK("http://www.lingerieopt.ru/item/10257-portupeya-iz-strep-lent-s-zolotistjm-shnurom/","10257")</f>
      </c>
      <c r="B4462" s="8" t="s">
        <v>4250</v>
      </c>
      <c r="C4462" s="9">
        <v>792</v>
      </c>
      <c r="D4462" s="0">
        <v>5</v>
      </c>
      <c r="E4462" s="10">
        <f>HYPERLINK("http://www.lingerieopt.ru/images/original/3957aeef-9bd2-4997-a77e-4740458a951e.jpg","Фото")</f>
      </c>
    </row>
    <row r="4463">
      <c r="A4463" s="7">
        <f>HYPERLINK("http://www.lingerieopt.ru/item/10257-portupeya-iz-strep-lent-s-zolotistjm-shnurom/","10257")</f>
      </c>
      <c r="B4463" s="8" t="s">
        <v>4251</v>
      </c>
      <c r="C4463" s="9">
        <v>792</v>
      </c>
      <c r="D4463" s="0">
        <v>3</v>
      </c>
      <c r="E4463" s="10">
        <f>HYPERLINK("http://www.lingerieopt.ru/images/original/3957aeef-9bd2-4997-a77e-4740458a951e.jpg","Фото")</f>
      </c>
    </row>
    <row r="4464">
      <c r="A4464" s="7">
        <f>HYPERLINK("http://www.lingerieopt.ru/item/10257-portupeya-iz-strep-lent-s-zolotistjm-shnurom/","10257")</f>
      </c>
      <c r="B4464" s="8" t="s">
        <v>4252</v>
      </c>
      <c r="C4464" s="9">
        <v>792</v>
      </c>
      <c r="D4464" s="0">
        <v>5</v>
      </c>
      <c r="E4464" s="10">
        <f>HYPERLINK("http://www.lingerieopt.ru/images/original/3957aeef-9bd2-4997-a77e-4740458a951e.jpg","Фото")</f>
      </c>
    </row>
    <row r="4465">
      <c r="A4465" s="7">
        <f>HYPERLINK("http://www.lingerieopt.ru/item/10257-portupeya-iz-strep-lent-s-zolotistjm-shnurom/","10257")</f>
      </c>
      <c r="B4465" s="8" t="s">
        <v>4253</v>
      </c>
      <c r="C4465" s="9">
        <v>792</v>
      </c>
      <c r="D4465" s="0">
        <v>5</v>
      </c>
      <c r="E4465" s="10">
        <f>HYPERLINK("http://www.lingerieopt.ru/images/original/3957aeef-9bd2-4997-a77e-4740458a951e.jpg","Фото")</f>
      </c>
    </row>
    <row r="4466">
      <c r="A4466" s="7">
        <f>HYPERLINK("http://www.lingerieopt.ru/item/10257-portupeya-iz-strep-lent-s-zolotistjm-shnurom/","10257")</f>
      </c>
      <c r="B4466" s="8" t="s">
        <v>4254</v>
      </c>
      <c r="C4466" s="9">
        <v>792</v>
      </c>
      <c r="D4466" s="0">
        <v>7</v>
      </c>
      <c r="E4466" s="10">
        <f>HYPERLINK("http://www.lingerieopt.ru/images/original/3957aeef-9bd2-4997-a77e-4740458a951e.jpg","Фото")</f>
      </c>
    </row>
    <row r="4467">
      <c r="A4467" s="7">
        <f>HYPERLINK("http://www.lingerieopt.ru/item/10258-portupeya-plus-size-s-zolotistjm-shnurom-iz-strep-lent/","10258")</f>
      </c>
      <c r="B4467" s="8" t="s">
        <v>4255</v>
      </c>
      <c r="C4467" s="9">
        <v>792</v>
      </c>
      <c r="D4467" s="0">
        <v>3</v>
      </c>
      <c r="E4467" s="10">
        <f>HYPERLINK("http://www.lingerieopt.ru/images/original/c0c3a8fa-8c5d-4ddf-a5a3-edeae308ad2e.jpg","Фото")</f>
      </c>
    </row>
    <row r="4468">
      <c r="A4468" s="7">
        <f>HYPERLINK("http://www.lingerieopt.ru/item/10258-portupeya-plus-size-s-zolotistjm-shnurom-iz-strep-lent/","10258")</f>
      </c>
      <c r="B4468" s="8" t="s">
        <v>4256</v>
      </c>
      <c r="C4468" s="9">
        <v>792</v>
      </c>
      <c r="D4468" s="0">
        <v>2</v>
      </c>
      <c r="E4468" s="10">
        <f>HYPERLINK("http://www.lingerieopt.ru/images/original/c0c3a8fa-8c5d-4ddf-a5a3-edeae308ad2e.jpg","Фото")</f>
      </c>
    </row>
    <row r="4469">
      <c r="A4469" s="7">
        <f>HYPERLINK("http://www.lingerieopt.ru/item/10258-portupeya-plus-size-s-zolotistjm-shnurom-iz-strep-lent/","10258")</f>
      </c>
      <c r="B4469" s="8" t="s">
        <v>4257</v>
      </c>
      <c r="C4469" s="9">
        <v>792</v>
      </c>
      <c r="D4469" s="0">
        <v>2</v>
      </c>
      <c r="E4469" s="10">
        <f>HYPERLINK("http://www.lingerieopt.ru/images/original/c0c3a8fa-8c5d-4ddf-a5a3-edeae308ad2e.jpg","Фото")</f>
      </c>
    </row>
    <row r="4470">
      <c r="A4470" s="7">
        <f>HYPERLINK("http://www.lingerieopt.ru/item/10259-portupeya-queen-of-hearts-submission-plus-size-s-petlyami-dlya-ruk/","10259")</f>
      </c>
      <c r="B4470" s="8" t="s">
        <v>4258</v>
      </c>
      <c r="C4470" s="9">
        <v>1205</v>
      </c>
      <c r="D4470" s="0">
        <v>2</v>
      </c>
      <c r="E4470" s="10">
        <f>HYPERLINK("http://www.lingerieopt.ru/images/original/94ef6d88-765f-40f9-870d-6f27f0a3fbc8.jpg","Фото")</f>
      </c>
    </row>
    <row r="4471">
      <c r="A4471" s="7">
        <f>HYPERLINK("http://www.lingerieopt.ru/item/10259-portupeya-queen-of-hearts-submission-plus-size-s-petlyami-dlya-ruk/","10259")</f>
      </c>
      <c r="B4471" s="8" t="s">
        <v>4259</v>
      </c>
      <c r="C4471" s="9">
        <v>1205</v>
      </c>
      <c r="D4471" s="0">
        <v>2</v>
      </c>
      <c r="E4471" s="10">
        <f>HYPERLINK("http://www.lingerieopt.ru/images/original/94ef6d88-765f-40f9-870d-6f27f0a3fbc8.jpg","Фото")</f>
      </c>
    </row>
    <row r="4472">
      <c r="A4472" s="7">
        <f>HYPERLINK("http://www.lingerieopt.ru/item/10259-portupeya-queen-of-hearts-submission-plus-size-s-petlyami-dlya-ruk/","10259")</f>
      </c>
      <c r="B4472" s="8" t="s">
        <v>4260</v>
      </c>
      <c r="C4472" s="9">
        <v>1205</v>
      </c>
      <c r="D4472" s="0">
        <v>5</v>
      </c>
      <c r="E4472" s="10">
        <f>HYPERLINK("http://www.lingerieopt.ru/images/original/94ef6d88-765f-40f9-870d-6f27f0a3fbc8.jpg","Фото")</f>
      </c>
    </row>
    <row r="4473">
      <c r="A4473" s="5"/>
      <c r="B4473" s="6" t="s">
        <v>4261</v>
      </c>
      <c r="C4473" s="5"/>
      <c r="D4473" s="5"/>
      <c r="E4473" s="5"/>
    </row>
    <row r="4474">
      <c r="A4474" s="7">
        <f>HYPERLINK("http://www.lingerieopt.ru/item/1086-pestisj-serdechki-iz-paietok/","1086")</f>
      </c>
      <c r="B4474" s="8" t="s">
        <v>4262</v>
      </c>
      <c r="C4474" s="9">
        <v>396</v>
      </c>
      <c r="D4474" s="0">
        <v>12</v>
      </c>
      <c r="E4474" s="10">
        <f>HYPERLINK("http://www.lingerieopt.ru/images/original/befc4f14-9791-4d8f-950a-7d2b56d84c1b.jpg","Фото")</f>
      </c>
    </row>
    <row r="4475">
      <c r="A4475" s="7">
        <f>HYPERLINK("http://www.lingerieopt.ru/item/1087-pestis-na-grud-s-kistochkami/","1087")</f>
      </c>
      <c r="B4475" s="8" t="s">
        <v>4263</v>
      </c>
      <c r="C4475" s="9">
        <v>354</v>
      </c>
      <c r="D4475" s="0">
        <v>9</v>
      </c>
      <c r="E4475" s="10">
        <f>HYPERLINK("http://www.lingerieopt.ru/images/original/9d7c73d6-6c83-494a-9f4f-3192ef89fc11.jpg","Фото")</f>
      </c>
    </row>
    <row r="4476">
      <c r="A4476" s="7">
        <f>HYPERLINK("http://www.lingerieopt.ru/item/1088-chernje-pestis-s-kistochkami/","1088")</f>
      </c>
      <c r="B4476" s="8" t="s">
        <v>4264</v>
      </c>
      <c r="C4476" s="9">
        <v>420</v>
      </c>
      <c r="D4476" s="0">
        <v>15</v>
      </c>
      <c r="E4476" s="10">
        <f>HYPERLINK("http://www.lingerieopt.ru/images/original/3398b666-53c4-46b9-bdf8-b9f944587ecd.jpg","Фото")</f>
      </c>
    </row>
    <row r="4477">
      <c r="A4477" s="7">
        <f>HYPERLINK("http://www.lingerieopt.ru/item/1089-belje-pestis-s-krasnjm-krestom/","1089")</f>
      </c>
      <c r="B4477" s="8" t="s">
        <v>4265</v>
      </c>
      <c r="C4477" s="9">
        <v>330</v>
      </c>
      <c r="D4477" s="0">
        <v>4</v>
      </c>
      <c r="E4477" s="10">
        <f>HYPERLINK("http://www.lingerieopt.ru/images/original/7617cbdb-d8af-4eee-ac75-9427b9f00030.jpg","Фото")</f>
      </c>
    </row>
    <row r="4478">
      <c r="A4478" s="7">
        <f>HYPERLINK("http://www.lingerieopt.ru/item/2415-fioletovje-pestisj-v-vide-babochek/","2415")</f>
      </c>
      <c r="B4478" s="8" t="s">
        <v>4266</v>
      </c>
      <c r="C4478" s="9">
        <v>844</v>
      </c>
      <c r="D4478" s="0">
        <v>3</v>
      </c>
      <c r="E4478" s="10">
        <f>HYPERLINK("http://www.lingerieopt.ru/images/original/4bc1b680-13cc-4ea8-96cd-f249d7f917b0.jpg","Фото")</f>
      </c>
    </row>
    <row r="4479">
      <c r="A4479" s="7">
        <f>HYPERLINK("http://www.lingerieopt.ru/item/2417-fioletovje-pestisj-v-forme-gub/","2417")</f>
      </c>
      <c r="B4479" s="8" t="s">
        <v>4267</v>
      </c>
      <c r="C4479" s="9">
        <v>844</v>
      </c>
      <c r="D4479" s="0">
        <v>4</v>
      </c>
      <c r="E4479" s="10">
        <f>HYPERLINK("http://www.lingerieopt.ru/images/original/4ec88b82-89d3-441e-a356-71cc22e5754c.jpg","Фото")</f>
      </c>
    </row>
    <row r="4480">
      <c r="A4480" s="7">
        <f>HYPERLINK("http://www.lingerieopt.ru/item/2438-rozovje-otkrjtje-pestisj-krugi-i-serdca/","2438")</f>
      </c>
      <c r="B4480" s="8" t="s">
        <v>4268</v>
      </c>
      <c r="C4480" s="9">
        <v>844</v>
      </c>
      <c r="D4480" s="0">
        <v>2</v>
      </c>
      <c r="E4480" s="10">
        <f>HYPERLINK("http://www.lingerieopt.ru/images/original/51da7f57-352a-4db3-9afe-c32278fcfb89.jpg","Фото")</f>
      </c>
    </row>
    <row r="4481">
      <c r="A4481" s="7">
        <f>HYPERLINK("http://www.lingerieopt.ru/item/3991-pestisj-iz-kristallov-rhinestone-pasties/","3991")</f>
      </c>
      <c r="B4481" s="8" t="s">
        <v>4269</v>
      </c>
      <c r="C4481" s="9">
        <v>1726</v>
      </c>
      <c r="D4481" s="0">
        <v>6</v>
      </c>
      <c r="E4481" s="10">
        <f>HYPERLINK("http://www.lingerieopt.ru/images/original/bd883418-08a8-4142-b9d8-c709a4ee24a8.jpg","Фото")</f>
      </c>
    </row>
    <row r="4482">
      <c r="A4482" s="7">
        <f>HYPERLINK("http://www.lingerieopt.ru/item/3996-yarkie-blestyaschie-zolotje-pestisj-s-kistochkami-tassel-pasties/","3996")</f>
      </c>
      <c r="B4482" s="8" t="s">
        <v>4270</v>
      </c>
      <c r="C4482" s="9">
        <v>1726</v>
      </c>
      <c r="D4482" s="0">
        <v>6</v>
      </c>
      <c r="E4482" s="10">
        <f>HYPERLINK("http://www.lingerieopt.ru/images/original/d99e87ee-1f16-4301-a056-ede135784337.jpg","Фото")</f>
      </c>
    </row>
    <row r="4483">
      <c r="A4483" s="7">
        <f>HYPERLINK("http://www.lingerieopt.ru/item/4526-nabor-iz-zolotjh-pestisov-zvezd-odnotonnjh-i-s-risunkom-glam-o-rama/","4526")</f>
      </c>
      <c r="B4483" s="8" t="s">
        <v>4271</v>
      </c>
      <c r="C4483" s="9">
        <v>357</v>
      </c>
      <c r="D4483" s="0">
        <v>31</v>
      </c>
      <c r="E4483" s="10">
        <f>HYPERLINK("http://www.lingerieopt.ru/images/original/52741955-20f4-4189-b890-61ca06b2adff.jpg","Фото")</f>
      </c>
    </row>
    <row r="4484">
      <c r="A4484" s="7">
        <f>HYPERLINK("http://www.lingerieopt.ru/item/4527-nabor-iz-beljh-pestisov-zvezd-satinovjh-i-kruzhevnjh-luminous/","4527")</f>
      </c>
      <c r="B4484" s="8" t="s">
        <v>4272</v>
      </c>
      <c r="C4484" s="9">
        <v>357</v>
      </c>
      <c r="D4484" s="0">
        <v>30</v>
      </c>
      <c r="E4484" s="10">
        <f>HYPERLINK("http://www.lingerieopt.ru/images/original/0bfb90a0-63df-4246-91ac-8af522364daa.jpg","Фото")</f>
      </c>
    </row>
    <row r="4485">
      <c r="A4485" s="7">
        <f>HYPERLINK("http://www.lingerieopt.ru/item/4528-nabor-iz-golubjh-i-serebristjh-pestisov-serdec/","4528")</f>
      </c>
      <c r="B4485" s="8" t="s">
        <v>4273</v>
      </c>
      <c r="C4485" s="9">
        <v>357</v>
      </c>
      <c r="D4485" s="0">
        <v>30</v>
      </c>
      <c r="E4485" s="10">
        <f>HYPERLINK("http://www.lingerieopt.ru/images/original/1e85d06d-1d23-4a16-af91-9f2439a7f58f.jpg","Фото")</f>
      </c>
    </row>
    <row r="4486">
      <c r="A4486" s="7">
        <f>HYPERLINK("http://www.lingerieopt.ru/item/4530-nabor-iz-telesnjh-kruzhevnjh-i-satinovjh-pestisov-serdec/","4530")</f>
      </c>
      <c r="B4486" s="8" t="s">
        <v>4274</v>
      </c>
      <c r="C4486" s="9">
        <v>357</v>
      </c>
      <c r="D4486" s="0">
        <v>30</v>
      </c>
      <c r="E4486" s="10">
        <f>HYPERLINK("http://www.lingerieopt.ru/images/original/be6abf68-0274-497a-8bd4-560752aae2b6.jpg","Фото")</f>
      </c>
    </row>
    <row r="4487">
      <c r="A4487" s="7">
        <f>HYPERLINK("http://www.lingerieopt.ru/item/4532-nabor-iz-pestisov-serdec-chernogo-cveta-i-s-risunkom/","4532")</f>
      </c>
      <c r="B4487" s="8" t="s">
        <v>4275</v>
      </c>
      <c r="C4487" s="9">
        <v>357</v>
      </c>
      <c r="D4487" s="0">
        <v>30</v>
      </c>
      <c r="E4487" s="10">
        <f>HYPERLINK("http://www.lingerieopt.ru/images/original/f19726a1-8b9a-4810-9839-dce746eeeb69.jpg","Фото")</f>
      </c>
    </row>
    <row r="4488">
      <c r="A4488" s="7">
        <f>HYPERLINK("http://www.lingerieopt.ru/item/4533-nabor-iz-serebristjh-i-chernjh-s-risunkom-pestisov-serdec/","4533")</f>
      </c>
      <c r="B4488" s="8" t="s">
        <v>4276</v>
      </c>
      <c r="C4488" s="9">
        <v>357</v>
      </c>
      <c r="D4488" s="0">
        <v>30</v>
      </c>
      <c r="E4488" s="10">
        <f>HYPERLINK("http://www.lingerieopt.ru/images/original/1d122ddb-5e45-4291-b067-1674615939db.jpg","Фото")</f>
      </c>
    </row>
    <row r="4489">
      <c r="A4489" s="7">
        <f>HYPERLINK("http://www.lingerieopt.ru/item/4534-nabor-iz-telesnjh-kruzhevnjh-i-satinovjh-pestisov-zvezd/","4534")</f>
      </c>
      <c r="B4489" s="8" t="s">
        <v>4277</v>
      </c>
      <c r="C4489" s="9">
        <v>357</v>
      </c>
      <c r="D4489" s="0">
        <v>30</v>
      </c>
      <c r="E4489" s="10">
        <f>HYPERLINK("http://www.lingerieopt.ru/images/original/53fc30cf-35f4-439b-80ba-d12a57d06b42.jpg","Фото")</f>
      </c>
    </row>
    <row r="4490">
      <c r="A4490" s="7">
        <f>HYPERLINK("http://www.lingerieopt.ru/item/4544-rozovje-pestisj-iz-kristallov-pink-star/","4544")</f>
      </c>
      <c r="B4490" s="8" t="s">
        <v>4278</v>
      </c>
      <c r="C4490" s="9">
        <v>403</v>
      </c>
      <c r="D4490" s="0">
        <v>30</v>
      </c>
      <c r="E4490" s="10">
        <f>HYPERLINK("http://www.lingerieopt.ru/images/original/61210ff5-4f2e-4e49-b152-c10fa0972b27.jpg","Фото")</f>
      </c>
    </row>
    <row r="4491">
      <c r="A4491" s="7">
        <f>HYPERLINK("http://www.lingerieopt.ru/item/4546-pestisj-black-club-iz-chernjh-kristallov/","4546")</f>
      </c>
      <c r="B4491" s="8" t="s">
        <v>4279</v>
      </c>
      <c r="C4491" s="9">
        <v>392</v>
      </c>
      <c r="D4491" s="0">
        <v>30</v>
      </c>
      <c r="E4491" s="10">
        <f>HYPERLINK("http://www.lingerieopt.ru/images/original/d6d9382e-19c1-420c-9e63-8abfeb16b207.jpg","Фото")</f>
      </c>
    </row>
    <row r="4492">
      <c r="A4492" s="7">
        <f>HYPERLINK("http://www.lingerieopt.ru/item/7918-pestisj-shine-iz-zolotistjh-kristallov/","7918")</f>
      </c>
      <c r="B4492" s="8" t="s">
        <v>4280</v>
      </c>
      <c r="C4492" s="9">
        <v>1726</v>
      </c>
      <c r="D4492" s="0">
        <v>30</v>
      </c>
      <c r="E4492" s="10">
        <f>HYPERLINK("http://www.lingerieopt.ru/images/original/b5d71c08-ca61-4875-81f7-ddd01333e4b3.jpg","Фото")</f>
      </c>
    </row>
    <row r="4493">
      <c r="A4493" s="7">
        <f>HYPERLINK("http://www.lingerieopt.ru/item/7939-pestisj-zvezdj-dark-angel/","7939")</f>
      </c>
      <c r="B4493" s="8" t="s">
        <v>4281</v>
      </c>
      <c r="C4493" s="9">
        <v>357</v>
      </c>
      <c r="D4493" s="0">
        <v>30</v>
      </c>
      <c r="E4493" s="10">
        <f>HYPERLINK("http://www.lingerieopt.ru/images/original/619c663a-adb3-4266-9f7d-85f6d380f7d5.jpg","Фото")</f>
      </c>
    </row>
    <row r="4494">
      <c r="A4494" s="7">
        <f>HYPERLINK("http://www.lingerieopt.ru/item/8180-ukrashenie-na-sosok-ruth/","8180")</f>
      </c>
      <c r="B4494" s="8" t="s">
        <v>4282</v>
      </c>
      <c r="C4494" s="9">
        <v>349</v>
      </c>
      <c r="D4494" s="0">
        <v>72</v>
      </c>
      <c r="E4494" s="10">
        <f>HYPERLINK("http://www.lingerieopt.ru/images/original/dcaa754d-a311-4179-aa99-5ad6a3ffb55b.jpg","Фото")</f>
      </c>
    </row>
    <row r="4495">
      <c r="A4495" s="7">
        <f>HYPERLINK("http://www.lingerieopt.ru/item/8229-serebristje-pestisj-so-strazami-i-cepochkami/","8229")</f>
      </c>
      <c r="B4495" s="8" t="s">
        <v>4283</v>
      </c>
      <c r="C4495" s="9">
        <v>744</v>
      </c>
      <c r="D4495" s="0">
        <v>13</v>
      </c>
      <c r="E4495" s="10">
        <f>HYPERLINK("http://www.lingerieopt.ru/images/original/eee6ae8d-f1f3-4522-9d90-b5d89fd3da8b.jpg","Фото")</f>
      </c>
    </row>
    <row r="4496">
      <c r="A4496" s="7">
        <f>HYPERLINK("http://www.lingerieopt.ru/item/8230-rozovje-pestisj-frida-v-forme-gub/","8230")</f>
      </c>
      <c r="B4496" s="8" t="s">
        <v>4284</v>
      </c>
      <c r="C4496" s="9">
        <v>300</v>
      </c>
      <c r="D4496" s="0">
        <v>34</v>
      </c>
      <c r="E4496" s="10">
        <f>HYPERLINK("http://www.lingerieopt.ru/images/original/ed49e50a-c264-47bb-a63a-115a61488d45.jpg","Фото")</f>
      </c>
    </row>
    <row r="4497">
      <c r="A4497" s="7">
        <f>HYPERLINK("http://www.lingerieopt.ru/item/8231-kruglje-pestisj-na-soski-cody-c-bantami-i-kistochkami/","8231")</f>
      </c>
      <c r="B4497" s="8" t="s">
        <v>4285</v>
      </c>
      <c r="C4497" s="9">
        <v>400</v>
      </c>
      <c r="D4497" s="0">
        <v>29</v>
      </c>
      <c r="E4497" s="10">
        <f>HYPERLINK("http://www.lingerieopt.ru/images/original/799e8857-1e4a-4007-ba7e-1e68445e570f.jpg","Фото")</f>
      </c>
    </row>
    <row r="4498">
      <c r="A4498" s="7">
        <f>HYPERLINK("http://www.lingerieopt.ru/item/8231-kruglje-pestisj-na-soski-cody-c-bantami-i-kistochkami/","8231")</f>
      </c>
      <c r="B4498" s="8" t="s">
        <v>4286</v>
      </c>
      <c r="C4498" s="9">
        <v>400</v>
      </c>
      <c r="D4498" s="0">
        <v>31</v>
      </c>
      <c r="E4498" s="10">
        <f>HYPERLINK("http://www.lingerieopt.ru/images/original/799e8857-1e4a-4007-ba7e-1e68445e570f.jpg","Фото")</f>
      </c>
    </row>
    <row r="4499">
      <c r="A4499" s="7">
        <f>HYPERLINK("http://www.lingerieopt.ru/item/8231-kruglje-pestisj-na-soski-cody-c-bantami-i-kistochkami/","8231")</f>
      </c>
      <c r="B4499" s="8" t="s">
        <v>4287</v>
      </c>
      <c r="C4499" s="9">
        <v>400</v>
      </c>
      <c r="D4499" s="0">
        <v>40</v>
      </c>
      <c r="E4499" s="10">
        <f>HYPERLINK("http://www.lingerieopt.ru/images/original/799e8857-1e4a-4007-ba7e-1e68445e570f.jpg","Фото")</f>
      </c>
    </row>
    <row r="4500">
      <c r="A4500" s="7">
        <f>HYPERLINK("http://www.lingerieopt.ru/item/8246-pestis-v-vide-serdechek/","8246")</f>
      </c>
      <c r="B4500" s="8" t="s">
        <v>4288</v>
      </c>
      <c r="C4500" s="9">
        <v>582</v>
      </c>
      <c r="D4500" s="0">
        <v>20</v>
      </c>
      <c r="E4500" s="10">
        <f>HYPERLINK("http://www.lingerieopt.ru/images/original/31a98a77-8d25-44f6-b95a-6bfc001a16fd.jpg","Фото")</f>
      </c>
    </row>
    <row r="4501">
      <c r="A4501" s="7">
        <f>HYPERLINK("http://www.lingerieopt.ru/item/8247-kruglje-cherno-zolotje-pestisj/","8247")</f>
      </c>
      <c r="B4501" s="8" t="s">
        <v>4289</v>
      </c>
      <c r="C4501" s="9">
        <v>470</v>
      </c>
      <c r="D4501" s="0">
        <v>6</v>
      </c>
      <c r="E4501" s="10">
        <f>HYPERLINK("http://www.lingerieopt.ru/images/original/3cc67d77-c52a-4870-acc5-f428bc73c6fe.jpg","Фото")</f>
      </c>
    </row>
    <row r="4502">
      <c r="A4502" s="7">
        <f>HYPERLINK("http://www.lingerieopt.ru/item/8248-chernje-pestisj-s-serebristoi-okantovkoi/","8248")</f>
      </c>
      <c r="B4502" s="8" t="s">
        <v>4290</v>
      </c>
      <c r="C4502" s="9">
        <v>457</v>
      </c>
      <c r="D4502" s="0">
        <v>7</v>
      </c>
      <c r="E4502" s="10">
        <f>HYPERLINK("http://www.lingerieopt.ru/images/original/8d31c184-580b-4ae6-ae05-eca8d1c697e8.jpg","Фото")</f>
      </c>
    </row>
    <row r="4503">
      <c r="A4503" s="7">
        <f>HYPERLINK("http://www.lingerieopt.ru/item/8249-izognutje-chernje-pestisj/","8249")</f>
      </c>
      <c r="B4503" s="8" t="s">
        <v>4291</v>
      </c>
      <c r="C4503" s="9">
        <v>444</v>
      </c>
      <c r="D4503" s="0">
        <v>5</v>
      </c>
      <c r="E4503" s="10">
        <f>HYPERLINK("http://www.lingerieopt.ru/images/original/8e822ef3-4d1b-4a0c-9c2d-6804cb48b150.jpg","Фото")</f>
      </c>
    </row>
    <row r="4504">
      <c r="A4504" s="7">
        <f>HYPERLINK("http://www.lingerieopt.ru/item/8250-zolotistje-pestisj-s-chernjm-kantom-i-rozochkami/","8250")</f>
      </c>
      <c r="B4504" s="8" t="s">
        <v>4292</v>
      </c>
      <c r="C4504" s="9">
        <v>444</v>
      </c>
      <c r="D4504" s="0">
        <v>7</v>
      </c>
      <c r="E4504" s="10">
        <f>HYPERLINK("http://www.lingerieopt.ru/images/original/5c17676a-61f5-4750-a23c-8a4b19dde5de.jpg","Фото")</f>
      </c>
    </row>
    <row r="4505">
      <c r="A4505" s="7">
        <f>HYPERLINK("http://www.lingerieopt.ru/item/8251-chernje-pestisj-s-zolotjm-kantom-i-bantikami/","8251")</f>
      </c>
      <c r="B4505" s="8" t="s">
        <v>4293</v>
      </c>
      <c r="C4505" s="9">
        <v>444</v>
      </c>
      <c r="D4505" s="0">
        <v>5</v>
      </c>
      <c r="E4505" s="10">
        <f>HYPERLINK("http://www.lingerieopt.ru/images/original/3a7a89f7-50d6-498b-b77e-ce2c3491662f.jpg","Фото")</f>
      </c>
    </row>
    <row r="4506">
      <c r="A4506" s="7">
        <f>HYPERLINK("http://www.lingerieopt.ru/item/8252-chernje-pestisj-s-serebristjm-kantom-i-rozochkami/","8252")</f>
      </c>
      <c r="B4506" s="8" t="s">
        <v>4294</v>
      </c>
      <c r="C4506" s="9">
        <v>457</v>
      </c>
      <c r="D4506" s="0">
        <v>3</v>
      </c>
      <c r="E4506" s="10">
        <f>HYPERLINK("http://www.lingerieopt.ru/images/original/24323fd3-d4dc-41ab-aabe-8ce4200e11ab.jpg","Фото")</f>
      </c>
    </row>
    <row r="4507">
      <c r="A4507" s="7">
        <f>HYPERLINK("http://www.lingerieopt.ru/item/8265-pestisj-pod-kozhu-s-zolotoi-cepochkoi/","8265")</f>
      </c>
      <c r="B4507" s="8" t="s">
        <v>4295</v>
      </c>
      <c r="C4507" s="9">
        <v>610</v>
      </c>
      <c r="D4507" s="0">
        <v>5</v>
      </c>
      <c r="E4507" s="10">
        <f>HYPERLINK("http://www.lingerieopt.ru/images/original/8d61de41-7537-416f-9659-73f91e007471.jpg","Фото")</f>
      </c>
    </row>
    <row r="4508">
      <c r="A4508" s="7">
        <f>HYPERLINK("http://www.lingerieopt.ru/item/8265-pestisj-pod-kozhu-s-zolotoi-cepochkoi/","8265")</f>
      </c>
      <c r="B4508" s="8" t="s">
        <v>4296</v>
      </c>
      <c r="C4508" s="9">
        <v>610</v>
      </c>
      <c r="D4508" s="0">
        <v>8</v>
      </c>
      <c r="E4508" s="10">
        <f>HYPERLINK("http://www.lingerieopt.ru/images/original/8d61de41-7537-416f-9659-73f91e007471.jpg","Фото")</f>
      </c>
    </row>
    <row r="4509">
      <c r="A4509" s="7">
        <f>HYPERLINK("http://www.lingerieopt.ru/item/8265-pestisj-pod-kozhu-s-zolotoi-cepochkoi/","8265")</f>
      </c>
      <c r="B4509" s="8" t="s">
        <v>4297</v>
      </c>
      <c r="C4509" s="9">
        <v>610</v>
      </c>
      <c r="D4509" s="0">
        <v>9</v>
      </c>
      <c r="E4509" s="10">
        <f>HYPERLINK("http://www.lingerieopt.ru/images/original/8d61de41-7537-416f-9659-73f91e007471.jpg","Фото")</f>
      </c>
    </row>
    <row r="4510">
      <c r="A4510" s="7">
        <f>HYPERLINK("http://www.lingerieopt.ru/item/8266-pestisj-v-vide-serdca-s-bantom-i-strazikom-na-vershinke/","8266")</f>
      </c>
      <c r="B4510" s="8" t="s">
        <v>4298</v>
      </c>
      <c r="C4510" s="9">
        <v>495</v>
      </c>
      <c r="D4510" s="0">
        <v>2</v>
      </c>
      <c r="E4510" s="10">
        <f>HYPERLINK("http://www.lingerieopt.ru/images/original/6b1b270c-95fb-4a02-a24f-6374432c0e2f.jpg","Фото")</f>
      </c>
    </row>
    <row r="4511">
      <c r="A4511" s="7">
        <f>HYPERLINK("http://www.lingerieopt.ru/item/8266-pestisj-v-vide-serdca-s-bantom-i-strazikom-na-vershinke/","8266")</f>
      </c>
      <c r="B4511" s="8" t="s">
        <v>4299</v>
      </c>
      <c r="C4511" s="9">
        <v>495</v>
      </c>
      <c r="D4511" s="0">
        <v>4</v>
      </c>
      <c r="E4511" s="10">
        <f>HYPERLINK("http://www.lingerieopt.ru/images/original/6b1b270c-95fb-4a02-a24f-6374432c0e2f.jpg","Фото")</f>
      </c>
    </row>
    <row r="4512">
      <c r="A4512" s="7">
        <f>HYPERLINK("http://www.lingerieopt.ru/item/8266-pestisj-v-vide-serdca-s-bantom-i-strazikom-na-vershinke/","8266")</f>
      </c>
      <c r="B4512" s="8" t="s">
        <v>4300</v>
      </c>
      <c r="C4512" s="9">
        <v>495</v>
      </c>
      <c r="D4512" s="0">
        <v>11</v>
      </c>
      <c r="E4512" s="10">
        <f>HYPERLINK("http://www.lingerieopt.ru/images/original/6b1b270c-95fb-4a02-a24f-6374432c0e2f.jpg","Фото")</f>
      </c>
    </row>
    <row r="4513">
      <c r="A4513" s="7">
        <f>HYPERLINK("http://www.lingerieopt.ru/item/8266-pestisj-v-vide-serdca-s-bantom-i-strazikom-na-vershinke/","8266")</f>
      </c>
      <c r="B4513" s="8" t="s">
        <v>4301</v>
      </c>
      <c r="C4513" s="9">
        <v>495</v>
      </c>
      <c r="D4513" s="0">
        <v>5</v>
      </c>
      <c r="E4513" s="10">
        <f>HYPERLINK("http://www.lingerieopt.ru/images/original/6b1b270c-95fb-4a02-a24f-6374432c0e2f.jpg","Фото")</f>
      </c>
    </row>
    <row r="4514">
      <c r="A4514" s="7">
        <f>HYPERLINK("http://www.lingerieopt.ru/item/8277-telesnje-silikonovje-nakleiki-na-soski-nipple-covers-silicone/","8277")</f>
      </c>
      <c r="B4514" s="8" t="s">
        <v>4302</v>
      </c>
      <c r="C4514" s="9">
        <v>414</v>
      </c>
      <c r="D4514" s="0">
        <v>9</v>
      </c>
      <c r="E4514" s="10">
        <f>HYPERLINK("http://www.lingerieopt.ru/images/original/beb0559b-ca6f-46ba-a081-b0566572da81.jpg","Фото")</f>
      </c>
    </row>
    <row r="4515">
      <c r="A4515" s="7">
        <f>HYPERLINK("http://www.lingerieopt.ru/item/8309-fioletovje-nakleiki-na-soski-s-bantikom/","8309")</f>
      </c>
      <c r="B4515" s="8" t="s">
        <v>4303</v>
      </c>
      <c r="C4515" s="9">
        <v>444</v>
      </c>
      <c r="D4515" s="0">
        <v>6</v>
      </c>
      <c r="E4515" s="10">
        <f>HYPERLINK("http://www.lingerieopt.ru/images/original/8911a298-8a72-49cc-9ab6-f89249c144de.jpg","Фото")</f>
      </c>
    </row>
    <row r="4516">
      <c r="A4516" s="7">
        <f>HYPERLINK("http://www.lingerieopt.ru/item/8310-cherno-belje-nakleiki-na-soski-s-bantikom/","8310")</f>
      </c>
      <c r="B4516" s="8" t="s">
        <v>4304</v>
      </c>
      <c r="C4516" s="9">
        <v>444</v>
      </c>
      <c r="D4516" s="0">
        <v>5</v>
      </c>
      <c r="E4516" s="10">
        <f>HYPERLINK("http://www.lingerieopt.ru/images/original/c4a85a9d-5f0e-4460-bcf1-1a3d9a867b5c.jpg","Фото")</f>
      </c>
    </row>
    <row r="4517">
      <c r="A4517" s="7">
        <f>HYPERLINK("http://www.lingerieopt.ru/item/9253-pestisj-lucky-iz-malenkih-rozochek/","9253")</f>
      </c>
      <c r="B4517" s="8" t="s">
        <v>4305</v>
      </c>
      <c r="C4517" s="9">
        <v>612</v>
      </c>
      <c r="D4517" s="0">
        <v>0</v>
      </c>
      <c r="E4517" s="10">
        <f>HYPERLINK("http://www.lingerieopt.ru/images/original/0d85e84f-0d4c-4cfc-9d28-1c6afb1dc04b.jpg","Фото")</f>
      </c>
    </row>
    <row r="4518">
      <c r="A4518" s="7">
        <f>HYPERLINK("http://www.lingerieopt.ru/item/9253-pestisj-lucky-iz-malenkih-rozochek/","9253")</f>
      </c>
      <c r="B4518" s="8" t="s">
        <v>4306</v>
      </c>
      <c r="C4518" s="9">
        <v>612</v>
      </c>
      <c r="D4518" s="0">
        <v>5</v>
      </c>
      <c r="E4518" s="10">
        <f>HYPERLINK("http://www.lingerieopt.ru/images/original/0d85e84f-0d4c-4cfc-9d28-1c6afb1dc04b.jpg","Фото")</f>
      </c>
    </row>
    <row r="4519">
      <c r="A4519" s="7">
        <f>HYPERLINK("http://www.lingerieopt.ru/item/9595-pestisj-essena-s-kruzhevnoi-otorochkoi/","9595")</f>
      </c>
      <c r="B4519" s="8" t="s">
        <v>4307</v>
      </c>
      <c r="C4519" s="9">
        <v>387</v>
      </c>
      <c r="D4519" s="0">
        <v>38</v>
      </c>
      <c r="E4519" s="10">
        <f>HYPERLINK("http://www.lingerieopt.ru/images/original/de9e88f4-d3b7-4e21-a0bf-a988916d6be5.jpg","Фото")</f>
      </c>
    </row>
    <row r="4520">
      <c r="A4520" s="7">
        <f>HYPERLINK("http://www.lingerieopt.ru/item/9596-pestisj-kallea-iz-chernjh-kristallov/","9596")</f>
      </c>
      <c r="B4520" s="8" t="s">
        <v>4308</v>
      </c>
      <c r="C4520" s="9">
        <v>325</v>
      </c>
      <c r="D4520" s="0">
        <v>37</v>
      </c>
      <c r="E4520" s="10">
        <f>HYPERLINK("http://www.lingerieopt.ru/images/original/57be06b5-a504-4100-88ce-4d362e7374fe.jpg","Фото")</f>
      </c>
    </row>
    <row r="4521">
      <c r="A4521" s="7">
        <f>HYPERLINK("http://www.lingerieopt.ru/item/9597-pestisj-vellya-s-kistochkami/","9597")</f>
      </c>
      <c r="B4521" s="8" t="s">
        <v>4309</v>
      </c>
      <c r="C4521" s="9">
        <v>375</v>
      </c>
      <c r="D4521" s="0">
        <v>52</v>
      </c>
      <c r="E4521" s="10">
        <f>HYPERLINK("http://www.lingerieopt.ru/images/original/ad42214f-e882-4263-8a6f-5124b414e63a.jpg","Фото")</f>
      </c>
    </row>
    <row r="4522">
      <c r="A4522" s="7">
        <f>HYPERLINK("http://www.lingerieopt.ru/item/10347-chernje-pestisj-s-kistochkami-becca/","10347")</f>
      </c>
      <c r="B4522" s="8" t="s">
        <v>4310</v>
      </c>
      <c r="C4522" s="9">
        <v>349</v>
      </c>
      <c r="D4522" s="0">
        <v>69</v>
      </c>
      <c r="E4522" s="10">
        <f>HYPERLINK("http://www.lingerieopt.ru/images/original/0a50969a-7957-4c40-8949-de95af20e8c1.jpg","Фото")</f>
      </c>
    </row>
    <row r="4523">
      <c r="A4523" s="7">
        <f>HYPERLINK("http://www.lingerieopt.ru/item/10369-stikerj-serdechki-na-grud/","10369")</f>
      </c>
      <c r="B4523" s="8" t="s">
        <v>4311</v>
      </c>
      <c r="C4523" s="9">
        <v>218</v>
      </c>
      <c r="D4523" s="0">
        <v>8</v>
      </c>
      <c r="E4523" s="10">
        <f>HYPERLINK("http://www.lingerieopt.ru/images/original/c0f9d524-04f0-442d-a805-7bac7a65cd9d.jpg","Фото")</f>
      </c>
    </row>
    <row r="4524">
      <c r="A4524" s="7">
        <f>HYPERLINK("http://www.lingerieopt.ru/item/10474-nabor-pikantnjh-aksessuarov-velma-plus-size/","10474")</f>
      </c>
      <c r="B4524" s="8" t="s">
        <v>4177</v>
      </c>
      <c r="C4524" s="9">
        <v>1164</v>
      </c>
      <c r="D4524" s="0">
        <v>1</v>
      </c>
      <c r="E4524" s="10">
        <f>HYPERLINK("http://www.lingerieopt.ru/images/original/b24ff55d-1d13-4ec4-9b0e-a2b85f47d33a.jpg","Фото")</f>
      </c>
    </row>
    <row r="4525">
      <c r="A4525" s="7">
        <f>HYPERLINK("http://www.lingerieopt.ru/item/10488-cherno-serebristje-pestisj-s-lentoi-po-krayu-i-bantom/","10488")</f>
      </c>
      <c r="B4525" s="8" t="s">
        <v>4312</v>
      </c>
      <c r="C4525" s="9">
        <v>470</v>
      </c>
      <c r="D4525" s="0">
        <v>7</v>
      </c>
      <c r="E4525" s="10">
        <f>HYPERLINK("http://www.lingerieopt.ru/images/original/5c05f6ba-531e-4980-a727-afe0a25b6b2d.jpg","Фото")</f>
      </c>
    </row>
    <row r="4526">
      <c r="A4526" s="7">
        <f>HYPERLINK("http://www.lingerieopt.ru/item/10490-krasnje-pestisj-s-beloi-kaimoi-i-rozochkoi/","10490")</f>
      </c>
      <c r="B4526" s="8" t="s">
        <v>4313</v>
      </c>
      <c r="C4526" s="9">
        <v>457</v>
      </c>
      <c r="D4526" s="0">
        <v>3</v>
      </c>
      <c r="E4526" s="10">
        <f>HYPERLINK("http://www.lingerieopt.ru/images/original/3bed570c-5ff3-48a7-83c9-fdc1a0fba4b0.jpg","Фото")</f>
      </c>
    </row>
    <row r="4527">
      <c r="A4527" s="7">
        <f>HYPERLINK("http://www.lingerieopt.ru/item/10492-belje-pestisj-v-forme-serdec/","10492")</f>
      </c>
      <c r="B4527" s="8" t="s">
        <v>4314</v>
      </c>
      <c r="C4527" s="9">
        <v>406</v>
      </c>
      <c r="D4527" s="0">
        <v>5</v>
      </c>
      <c r="E4527" s="10">
        <f>HYPERLINK("http://www.lingerieopt.ru/images/original/6789284f-e1a0-450f-8e5c-6f2f211585b9.jpg","Фото")</f>
      </c>
    </row>
    <row r="4528">
      <c r="A4528" s="7">
        <f>HYPERLINK("http://www.lingerieopt.ru/item/10562-milje-pestisj-s-cvetochkami-po-krayu/","10562")</f>
      </c>
      <c r="B4528" s="8" t="s">
        <v>4315</v>
      </c>
      <c r="C4528" s="9">
        <v>444</v>
      </c>
      <c r="D4528" s="0">
        <v>10</v>
      </c>
      <c r="E4528" s="10">
        <f>HYPERLINK("http://www.lingerieopt.ru/images/original/8b6b3da9-5e2b-40e7-b81f-38990b024f8d.jpg","Фото")</f>
      </c>
    </row>
    <row r="4529">
      <c r="A4529" s="7">
        <f>HYPERLINK("http://www.lingerieopt.ru/item/10621-krasnje-pestisj-v-vide-serdechek-s-kaimoi/","10621")</f>
      </c>
      <c r="B4529" s="8" t="s">
        <v>4316</v>
      </c>
      <c r="C4529" s="9">
        <v>457</v>
      </c>
      <c r="D4529" s="0">
        <v>8</v>
      </c>
      <c r="E4529" s="10">
        <f>HYPERLINK("http://www.lingerieopt.ru/images/original/f2cb7bae-2969-499d-bc13-118d1ec91c7d.jpg","Фото")</f>
      </c>
    </row>
    <row r="4530">
      <c r="A4530" s="7">
        <f>HYPERLINK("http://www.lingerieopt.ru/item/10636-nebolshie-kruglje-pestisj-s-bantikami-sverhu/","10636")</f>
      </c>
      <c r="B4530" s="8" t="s">
        <v>4317</v>
      </c>
      <c r="C4530" s="9">
        <v>457</v>
      </c>
      <c r="D4530" s="0">
        <v>12</v>
      </c>
      <c r="E4530" s="10">
        <f>HYPERLINK("http://www.lingerieopt.ru/images/original/d2a69e0c-7893-4f80-a0ce-a6cf7a2a4ef1.jpg","Фото")</f>
      </c>
    </row>
    <row r="4531">
      <c r="A4531" s="7">
        <f>HYPERLINK("http://www.lingerieopt.ru/item/10963-zolotistje-pestisj-serdechki/","10963")</f>
      </c>
      <c r="B4531" s="8" t="s">
        <v>4318</v>
      </c>
      <c r="C4531" s="9">
        <v>605</v>
      </c>
      <c r="D4531" s="0">
        <v>11</v>
      </c>
      <c r="E4531" s="10">
        <f>HYPERLINK("http://www.lingerieopt.ru/images/original/3a723b03-7058-43ba-9a8c-3548ff2c7162.jpg","Фото")</f>
      </c>
    </row>
    <row r="4532">
      <c r="A4532" s="7">
        <f>HYPERLINK("http://www.lingerieopt.ru/item/10966-zolotistje-pestisj-zvezdochki/","10966")</f>
      </c>
      <c r="B4532" s="8" t="s">
        <v>4319</v>
      </c>
      <c r="C4532" s="9">
        <v>605</v>
      </c>
      <c r="D4532" s="0">
        <v>2</v>
      </c>
      <c r="E4532" s="10">
        <f>HYPERLINK("http://www.lingerieopt.ru/images/original/921d8fb8-7b82-416e-a402-f01ee19abfe7.jpg","Фото")</f>
      </c>
    </row>
    <row r="4533">
      <c r="A4533" s="7">
        <f>HYPERLINK("http://www.lingerieopt.ru/item/11017-pestisj-iz-paietok-s-kistochkami/","11017")</f>
      </c>
      <c r="B4533" s="8" t="s">
        <v>4320</v>
      </c>
      <c r="C4533" s="9">
        <v>560</v>
      </c>
      <c r="D4533" s="0">
        <v>16</v>
      </c>
      <c r="E4533" s="10">
        <f>HYPERLINK("http://www.lingerieopt.ru/images/original/e24665fa-f814-4e83-baec-0b205b4913f8.jpg","Фото")</f>
      </c>
    </row>
    <row r="4534">
      <c r="A4534" s="7">
        <f>HYPERLINK("http://www.lingerieopt.ru/item/11017-pestisj-iz-paietok-s-kistochkami/","11017")</f>
      </c>
      <c r="B4534" s="8" t="s">
        <v>4321</v>
      </c>
      <c r="C4534" s="9">
        <v>560</v>
      </c>
      <c r="D4534" s="0">
        <v>13</v>
      </c>
      <c r="E4534" s="10">
        <f>HYPERLINK("http://www.lingerieopt.ru/images/original/e24665fa-f814-4e83-baec-0b205b4913f8.jpg","Фото")</f>
      </c>
    </row>
    <row r="4535">
      <c r="A4535" s="5"/>
      <c r="B4535" s="6" t="s">
        <v>4322</v>
      </c>
      <c r="C4535" s="5"/>
      <c r="D4535" s="5"/>
      <c r="E4535" s="5"/>
    </row>
    <row r="4536">
      <c r="A4536" s="7">
        <f>HYPERLINK("http://www.lingerieopt.ru/item/355-sorochka-s-otkrjtoi-grudyu-i-kruzhevnjmi-oborochkami-sable/","355")</f>
      </c>
      <c r="B4536" s="8" t="s">
        <v>4323</v>
      </c>
      <c r="C4536" s="9">
        <v>1639</v>
      </c>
      <c r="D4536" s="0">
        <v>0</v>
      </c>
      <c r="E4536" s="10">
        <f>HYPERLINK("http://www.lingerieopt.ru/images/original/fee14baa-52aa-490c-b617-1eb254fed80f.jpg","Фото")</f>
      </c>
    </row>
    <row r="4537">
      <c r="A4537" s="7">
        <f>HYPERLINK("http://www.lingerieopt.ru/item/355-sorochka-s-otkrjtoi-grudyu-i-kruzhevnjmi-oborochkami-sable/","355")</f>
      </c>
      <c r="B4537" s="8" t="s">
        <v>4324</v>
      </c>
      <c r="C4537" s="9">
        <v>1639</v>
      </c>
      <c r="D4537" s="0">
        <v>0</v>
      </c>
      <c r="E4537" s="10">
        <f>HYPERLINK("http://www.lingerieopt.ru/images/original/fee14baa-52aa-490c-b617-1eb254fed80f.jpg","Фото")</f>
      </c>
    </row>
    <row r="4538">
      <c r="A4538" s="7">
        <f>HYPERLINK("http://www.lingerieopt.ru/item/355-sorochka-s-otkrjtoi-grudyu-i-kruzhevnjmi-oborochkami-sable/","355")</f>
      </c>
      <c r="B4538" s="8" t="s">
        <v>4325</v>
      </c>
      <c r="C4538" s="9">
        <v>1639</v>
      </c>
      <c r="D4538" s="0">
        <v>3</v>
      </c>
      <c r="E4538" s="10">
        <f>HYPERLINK("http://www.lingerieopt.ru/images/original/fee14baa-52aa-490c-b617-1eb254fed80f.jpg","Фото")</f>
      </c>
    </row>
    <row r="4539">
      <c r="A4539" s="7">
        <f>HYPERLINK("http://www.lingerieopt.ru/item/355-sorochka-s-otkrjtoi-grudyu-i-kruzhevnjmi-oborochkami-sable/","355")</f>
      </c>
      <c r="B4539" s="8" t="s">
        <v>4326</v>
      </c>
      <c r="C4539" s="9">
        <v>1639</v>
      </c>
      <c r="D4539" s="0">
        <v>0</v>
      </c>
      <c r="E4539" s="10">
        <f>HYPERLINK("http://www.lingerieopt.ru/images/original/fee14baa-52aa-490c-b617-1eb254fed80f.jpg","Фото")</f>
      </c>
    </row>
    <row r="4540">
      <c r="A4540" s="7">
        <f>HYPERLINK("http://www.lingerieopt.ru/item/355-sorochka-s-otkrjtoi-grudyu-i-kruzhevnjmi-oborochkami-sable/","355")</f>
      </c>
      <c r="B4540" s="8" t="s">
        <v>4327</v>
      </c>
      <c r="C4540" s="9">
        <v>1639</v>
      </c>
      <c r="D4540" s="0">
        <v>0</v>
      </c>
      <c r="E4540" s="10">
        <f>HYPERLINK("http://www.lingerieopt.ru/images/original/fee14baa-52aa-490c-b617-1eb254fed80f.jpg","Фото")</f>
      </c>
    </row>
    <row r="4541">
      <c r="A4541" s="7">
        <f>HYPERLINK("http://www.lingerieopt.ru/item/355-sorochka-s-otkrjtoi-grudyu-i-kruzhevnjmi-oborochkami-sable/","355")</f>
      </c>
      <c r="B4541" s="8" t="s">
        <v>4328</v>
      </c>
      <c r="C4541" s="9">
        <v>1639</v>
      </c>
      <c r="D4541" s="0">
        <v>0</v>
      </c>
      <c r="E4541" s="10">
        <f>HYPERLINK("http://www.lingerieopt.ru/images/original/fee14baa-52aa-490c-b617-1eb254fed80f.jpg","Фото")</f>
      </c>
    </row>
    <row r="4542">
      <c r="A4542" s="7">
        <f>HYPERLINK("http://www.lingerieopt.ru/item/372-kruzhevnaya-sorochka-so-strazami-tess/","372")</f>
      </c>
      <c r="B4542" s="8" t="s">
        <v>4329</v>
      </c>
      <c r="C4542" s="9">
        <v>1115</v>
      </c>
      <c r="D4542" s="0">
        <v>0</v>
      </c>
      <c r="E4542" s="10">
        <f>HYPERLINK("http://www.lingerieopt.ru/images/original/057142df-a79e-4d35-becd-5aafd6ba9448.jpg","Фото")</f>
      </c>
    </row>
    <row r="4543">
      <c r="A4543" s="7">
        <f>HYPERLINK("http://www.lingerieopt.ru/item/372-kruzhevnaya-sorochka-so-strazami-tess/","372")</f>
      </c>
      <c r="B4543" s="8" t="s">
        <v>4330</v>
      </c>
      <c r="C4543" s="9">
        <v>1115</v>
      </c>
      <c r="D4543" s="0">
        <v>2</v>
      </c>
      <c r="E4543" s="10">
        <f>HYPERLINK("http://www.lingerieopt.ru/images/original/057142df-a79e-4d35-becd-5aafd6ba9448.jpg","Фото")</f>
      </c>
    </row>
    <row r="4544">
      <c r="A4544" s="7">
        <f>HYPERLINK("http://www.lingerieopt.ru/item/372-kruzhevnaya-sorochka-so-strazami-tess/","372")</f>
      </c>
      <c r="B4544" s="8" t="s">
        <v>4331</v>
      </c>
      <c r="C4544" s="9">
        <v>1115</v>
      </c>
      <c r="D4544" s="0">
        <v>0</v>
      </c>
      <c r="E4544" s="10">
        <f>HYPERLINK("http://www.lingerieopt.ru/images/original/057142df-a79e-4d35-becd-5aafd6ba9448.jpg","Фото")</f>
      </c>
    </row>
    <row r="4545">
      <c r="A4545" s="7">
        <f>HYPERLINK("http://www.lingerieopt.ru/item/372-kruzhevnaya-sorochka-so-strazami-tess/","372")</f>
      </c>
      <c r="B4545" s="8" t="s">
        <v>4332</v>
      </c>
      <c r="C4545" s="9">
        <v>1115</v>
      </c>
      <c r="D4545" s="0">
        <v>0</v>
      </c>
      <c r="E4545" s="10">
        <f>HYPERLINK("http://www.lingerieopt.ru/images/original/057142df-a79e-4d35-becd-5aafd6ba9448.jpg","Фото")</f>
      </c>
    </row>
    <row r="4546">
      <c r="A4546" s="7">
        <f>HYPERLINK("http://www.lingerieopt.ru/item/1024-sorochka-bez-bretelei/","1024")</f>
      </c>
      <c r="B4546" s="8" t="s">
        <v>4333</v>
      </c>
      <c r="C4546" s="9">
        <v>1127</v>
      </c>
      <c r="D4546" s="0">
        <v>0</v>
      </c>
      <c r="E4546" s="10">
        <f>HYPERLINK("http://www.lingerieopt.ru/images/original/22d49ad9-bae3-419a-9526-a53bc83c89b3.jpg","Фото")</f>
      </c>
    </row>
    <row r="4547">
      <c r="A4547" s="7">
        <f>HYPERLINK("http://www.lingerieopt.ru/item/1024-sorochka-bez-bretelei/","1024")</f>
      </c>
      <c r="B4547" s="8" t="s">
        <v>4334</v>
      </c>
      <c r="C4547" s="9">
        <v>1127</v>
      </c>
      <c r="D4547" s="0">
        <v>0</v>
      </c>
      <c r="E4547" s="10">
        <f>HYPERLINK("http://www.lingerieopt.ru/images/original/22d49ad9-bae3-419a-9526-a53bc83c89b3.jpg","Фото")</f>
      </c>
    </row>
    <row r="4548">
      <c r="A4548" s="7">
        <f>HYPERLINK("http://www.lingerieopt.ru/item/1024-sorochka-bez-bretelei/","1024")</f>
      </c>
      <c r="B4548" s="8" t="s">
        <v>4335</v>
      </c>
      <c r="C4548" s="9">
        <v>1127</v>
      </c>
      <c r="D4548" s="0">
        <v>0</v>
      </c>
      <c r="E4548" s="10">
        <f>HYPERLINK("http://www.lingerieopt.ru/images/original/22d49ad9-bae3-419a-9526-a53bc83c89b3.jpg","Фото")</f>
      </c>
    </row>
    <row r="4549">
      <c r="A4549" s="7">
        <f>HYPERLINK("http://www.lingerieopt.ru/item/1024-sorochka-bez-bretelei/","1024")</f>
      </c>
      <c r="B4549" s="8" t="s">
        <v>4336</v>
      </c>
      <c r="C4549" s="9">
        <v>1127</v>
      </c>
      <c r="D4549" s="0">
        <v>4</v>
      </c>
      <c r="E4549" s="10">
        <f>HYPERLINK("http://www.lingerieopt.ru/images/original/22d49ad9-bae3-419a-9526-a53bc83c89b3.jpg","Фото")</f>
      </c>
    </row>
    <row r="4550">
      <c r="A4550" s="7">
        <f>HYPERLINK("http://www.lingerieopt.ru/item/1027-komplekt-marilyn/","1027")</f>
      </c>
      <c r="B4550" s="8" t="s">
        <v>4337</v>
      </c>
      <c r="C4550" s="9">
        <v>1682</v>
      </c>
      <c r="D4550" s="0">
        <v>0</v>
      </c>
      <c r="E4550" s="10">
        <f>HYPERLINK("http://www.lingerieopt.ru/images/original/26a568bc-5017-4a12-a1f4-6ff528db29cb.jpg","Фото")</f>
      </c>
    </row>
    <row r="4551">
      <c r="A4551" s="7">
        <f>HYPERLINK("http://www.lingerieopt.ru/item/1027-komplekt-marilyn/","1027")</f>
      </c>
      <c r="B4551" s="8" t="s">
        <v>4338</v>
      </c>
      <c r="C4551" s="9">
        <v>1682</v>
      </c>
      <c r="D4551" s="0">
        <v>11</v>
      </c>
      <c r="E4551" s="10">
        <f>HYPERLINK("http://www.lingerieopt.ru/images/original/26a568bc-5017-4a12-a1f4-6ff528db29cb.jpg","Фото")</f>
      </c>
    </row>
    <row r="4552">
      <c r="A4552" s="7">
        <f>HYPERLINK("http://www.lingerieopt.ru/item/1027-komplekt-marilyn/","1027")</f>
      </c>
      <c r="B4552" s="8" t="s">
        <v>4339</v>
      </c>
      <c r="C4552" s="9">
        <v>1682</v>
      </c>
      <c r="D4552" s="0">
        <v>5</v>
      </c>
      <c r="E4552" s="10">
        <f>HYPERLINK("http://www.lingerieopt.ru/images/original/26a568bc-5017-4a12-a1f4-6ff528db29cb.jpg","Фото")</f>
      </c>
    </row>
    <row r="4553">
      <c r="A4553" s="7">
        <f>HYPERLINK("http://www.lingerieopt.ru/item/1027-komplekt-marilyn/","1027")</f>
      </c>
      <c r="B4553" s="8" t="s">
        <v>4340</v>
      </c>
      <c r="C4553" s="9">
        <v>1682</v>
      </c>
      <c r="D4553" s="0">
        <v>0</v>
      </c>
      <c r="E4553" s="10">
        <f>HYPERLINK("http://www.lingerieopt.ru/images/original/26a568bc-5017-4a12-a1f4-6ff528db29cb.jpg","Фото")</f>
      </c>
    </row>
    <row r="4554">
      <c r="A4554" s="7">
        <f>HYPERLINK("http://www.lingerieopt.ru/item/1027-komplekt-marilyn/","1027")</f>
      </c>
      <c r="B4554" s="8" t="s">
        <v>4341</v>
      </c>
      <c r="C4554" s="9">
        <v>1682</v>
      </c>
      <c r="D4554" s="0">
        <v>4</v>
      </c>
      <c r="E4554" s="10">
        <f>HYPERLINK("http://www.lingerieopt.ru/images/original/26a568bc-5017-4a12-a1f4-6ff528db29cb.jpg","Фото")</f>
      </c>
    </row>
    <row r="4555">
      <c r="A4555" s="7">
        <f>HYPERLINK("http://www.lingerieopt.ru/item/1027-komplekt-marilyn/","1027")</f>
      </c>
      <c r="B4555" s="8" t="s">
        <v>4342</v>
      </c>
      <c r="C4555" s="9">
        <v>1682</v>
      </c>
      <c r="D4555" s="0">
        <v>0</v>
      </c>
      <c r="E4555" s="10">
        <f>HYPERLINK("http://www.lingerieopt.ru/images/original/26a568bc-5017-4a12-a1f4-6ff528db29cb.jpg","Фото")</f>
      </c>
    </row>
    <row r="4556">
      <c r="A4556" s="7">
        <f>HYPERLINK("http://www.lingerieopt.ru/item/1197-komplekt-emily-s-razrezami-i-bantikami/","1197")</f>
      </c>
      <c r="B4556" s="8" t="s">
        <v>4343</v>
      </c>
      <c r="C4556" s="9">
        <v>1190</v>
      </c>
      <c r="D4556" s="0">
        <v>9</v>
      </c>
      <c r="E4556" s="10">
        <f>HYPERLINK("http://www.lingerieopt.ru/images/original/4f3078bb-e28e-44b9-aa93-c372cc4b8b43.jpg","Фото")</f>
      </c>
    </row>
    <row r="4557">
      <c r="A4557" s="7">
        <f>HYPERLINK("http://www.lingerieopt.ru/item/1197-komplekt-emily-s-razrezami-i-bantikami/","1197")</f>
      </c>
      <c r="B4557" s="8" t="s">
        <v>4344</v>
      </c>
      <c r="C4557" s="9">
        <v>1190</v>
      </c>
      <c r="D4557" s="0">
        <v>14</v>
      </c>
      <c r="E4557" s="10">
        <f>HYPERLINK("http://www.lingerieopt.ru/images/original/4f3078bb-e28e-44b9-aa93-c372cc4b8b43.jpg","Фото")</f>
      </c>
    </row>
    <row r="4558">
      <c r="A4558" s="7">
        <f>HYPERLINK("http://www.lingerieopt.ru/item/1197-komplekt-emily-s-razrezami-i-bantikami/","1197")</f>
      </c>
      <c r="B4558" s="8" t="s">
        <v>4345</v>
      </c>
      <c r="C4558" s="9">
        <v>1190</v>
      </c>
      <c r="D4558" s="0">
        <v>0</v>
      </c>
      <c r="E4558" s="10">
        <f>HYPERLINK("http://www.lingerieopt.ru/images/original/4f3078bb-e28e-44b9-aa93-c372cc4b8b43.jpg","Фото")</f>
      </c>
    </row>
    <row r="4559">
      <c r="A4559" s="7">
        <f>HYPERLINK("http://www.lingerieopt.ru/item/1197-komplekt-emily-s-razrezami-i-bantikami/","1197")</f>
      </c>
      <c r="B4559" s="8" t="s">
        <v>4346</v>
      </c>
      <c r="C4559" s="9">
        <v>1190</v>
      </c>
      <c r="D4559" s="0">
        <v>0</v>
      </c>
      <c r="E4559" s="10">
        <f>HYPERLINK("http://www.lingerieopt.ru/images/original/4f3078bb-e28e-44b9-aa93-c372cc4b8b43.jpg","Фото")</f>
      </c>
    </row>
    <row r="4560">
      <c r="A4560" s="7">
        <f>HYPERLINK("http://www.lingerieopt.ru/item/1984-bebi-doll-eden/","1984")</f>
      </c>
      <c r="B4560" s="8" t="s">
        <v>4347</v>
      </c>
      <c r="C4560" s="9">
        <v>1613</v>
      </c>
      <c r="D4560" s="0">
        <v>0</v>
      </c>
      <c r="E4560" s="10">
        <f>HYPERLINK("http://www.lingerieopt.ru/images/original/4f4372ca-c970-4081-8b91-b3ed44973853.jpg","Фото")</f>
      </c>
    </row>
    <row r="4561">
      <c r="A4561" s="7">
        <f>HYPERLINK("http://www.lingerieopt.ru/item/1984-bebi-doll-eden/","1984")</f>
      </c>
      <c r="B4561" s="8" t="s">
        <v>4348</v>
      </c>
      <c r="C4561" s="9">
        <v>1613</v>
      </c>
      <c r="D4561" s="0">
        <v>6</v>
      </c>
      <c r="E4561" s="10">
        <f>HYPERLINK("http://www.lingerieopt.ru/images/original/4f4372ca-c970-4081-8b91-b3ed44973853.jpg","Фото")</f>
      </c>
    </row>
    <row r="4562">
      <c r="A4562" s="7">
        <f>HYPERLINK("http://www.lingerieopt.ru/item/1984-bebi-doll-eden/","1984")</f>
      </c>
      <c r="B4562" s="8" t="s">
        <v>4349</v>
      </c>
      <c r="C4562" s="9">
        <v>1613</v>
      </c>
      <c r="D4562" s="0">
        <v>7</v>
      </c>
      <c r="E4562" s="10">
        <f>HYPERLINK("http://www.lingerieopt.ru/images/original/4f4372ca-c970-4081-8b91-b3ed44973853.jpg","Фото")</f>
      </c>
    </row>
    <row r="4563">
      <c r="A4563" s="7">
        <f>HYPERLINK("http://www.lingerieopt.ru/item/1985-bebi-doll-lisa/","1985")</f>
      </c>
      <c r="B4563" s="8" t="s">
        <v>4350</v>
      </c>
      <c r="C4563" s="9">
        <v>1619</v>
      </c>
      <c r="D4563" s="0">
        <v>0</v>
      </c>
      <c r="E4563" s="10">
        <f>HYPERLINK("http://www.lingerieopt.ru/images/original/d1e92672-ad17-4539-9b77-b054e9038006.jpg","Фото")</f>
      </c>
    </row>
    <row r="4564">
      <c r="A4564" s="7">
        <f>HYPERLINK("http://www.lingerieopt.ru/item/1985-bebi-doll-lisa/","1985")</f>
      </c>
      <c r="B4564" s="8" t="s">
        <v>4351</v>
      </c>
      <c r="C4564" s="9">
        <v>1619</v>
      </c>
      <c r="D4564" s="0">
        <v>17</v>
      </c>
      <c r="E4564" s="10">
        <f>HYPERLINK("http://www.lingerieopt.ru/images/original/d1e92672-ad17-4539-9b77-b054e9038006.jpg","Фото")</f>
      </c>
    </row>
    <row r="4565">
      <c r="A4565" s="7">
        <f>HYPERLINK("http://www.lingerieopt.ru/item/2000-sorochka-brittany/","2000")</f>
      </c>
      <c r="B4565" s="8" t="s">
        <v>4352</v>
      </c>
      <c r="C4565" s="9">
        <v>1448</v>
      </c>
      <c r="D4565" s="0">
        <v>20</v>
      </c>
      <c r="E4565" s="10">
        <f>HYPERLINK("http://www.lingerieopt.ru/images/original/53f474b9-1756-403c-b956-6c085b3e75f3.jpg","Фото")</f>
      </c>
    </row>
    <row r="4566">
      <c r="A4566" s="7">
        <f>HYPERLINK("http://www.lingerieopt.ru/item/2000-sorochka-brittany/","2000")</f>
      </c>
      <c r="B4566" s="8" t="s">
        <v>4353</v>
      </c>
      <c r="C4566" s="9">
        <v>1448</v>
      </c>
      <c r="D4566" s="0">
        <v>0</v>
      </c>
      <c r="E4566" s="10">
        <f>HYPERLINK("http://www.lingerieopt.ru/images/original/53f474b9-1756-403c-b956-6c085b3e75f3.jpg","Фото")</f>
      </c>
    </row>
    <row r="4567">
      <c r="A4567" s="7">
        <f>HYPERLINK("http://www.lingerieopt.ru/item/2000-sorochka-brittany/","2000")</f>
      </c>
      <c r="B4567" s="8" t="s">
        <v>4354</v>
      </c>
      <c r="C4567" s="9">
        <v>1448</v>
      </c>
      <c r="D4567" s="0">
        <v>1</v>
      </c>
      <c r="E4567" s="10">
        <f>HYPERLINK("http://www.lingerieopt.ru/images/original/53f474b9-1756-403c-b956-6c085b3e75f3.jpg","Фото")</f>
      </c>
    </row>
    <row r="4568">
      <c r="A4568" s="7">
        <f>HYPERLINK("http://www.lingerieopt.ru/item/2075-sorochka-s-cvetochnjm-uzorom-i-volanom/","2075")</f>
      </c>
      <c r="B4568" s="8" t="s">
        <v>4355</v>
      </c>
      <c r="C4568" s="9">
        <v>2175</v>
      </c>
      <c r="D4568" s="0">
        <v>0</v>
      </c>
      <c r="E4568" s="10">
        <f>HYPERLINK("http://www.lingerieopt.ru/images/original/f699de7b-ae6d-4a29-b604-1f02287fb1b8.jpg","Фото")</f>
      </c>
    </row>
    <row r="4569">
      <c r="A4569" s="7">
        <f>HYPERLINK("http://www.lingerieopt.ru/item/2075-sorochka-s-cvetochnjm-uzorom-i-volanom/","2075")</f>
      </c>
      <c r="B4569" s="8" t="s">
        <v>4356</v>
      </c>
      <c r="C4569" s="9">
        <v>2175</v>
      </c>
      <c r="D4569" s="0">
        <v>3</v>
      </c>
      <c r="E4569" s="10">
        <f>HYPERLINK("http://www.lingerieopt.ru/images/original/f699de7b-ae6d-4a29-b604-1f02287fb1b8.jpg","Фото")</f>
      </c>
    </row>
    <row r="4570">
      <c r="A4570" s="7">
        <f>HYPERLINK("http://www.lingerieopt.ru/item/2075-sorochka-s-cvetochnjm-uzorom-i-volanom/","2075")</f>
      </c>
      <c r="B4570" s="8" t="s">
        <v>4357</v>
      </c>
      <c r="C4570" s="9">
        <v>2175</v>
      </c>
      <c r="D4570" s="0">
        <v>3</v>
      </c>
      <c r="E4570" s="10">
        <f>HYPERLINK("http://www.lingerieopt.ru/images/original/f699de7b-ae6d-4a29-b604-1f02287fb1b8.jpg","Фото")</f>
      </c>
    </row>
    <row r="4571">
      <c r="A4571" s="7">
        <f>HYPERLINK("http://www.lingerieopt.ru/item/2075-sorochka-s-cvetochnjm-uzorom-i-volanom/","2075")</f>
      </c>
      <c r="B4571" s="8" t="s">
        <v>4358</v>
      </c>
      <c r="C4571" s="9">
        <v>2175</v>
      </c>
      <c r="D4571" s="0">
        <v>0</v>
      </c>
      <c r="E4571" s="10">
        <f>HYPERLINK("http://www.lingerieopt.ru/images/original/f699de7b-ae6d-4a29-b604-1f02287fb1b8.jpg","Фото")</f>
      </c>
    </row>
    <row r="4572">
      <c r="A4572" s="7">
        <f>HYPERLINK("http://www.lingerieopt.ru/item/2075-sorochka-s-cvetochnjm-uzorom-i-volanom/","2075")</f>
      </c>
      <c r="B4572" s="8" t="s">
        <v>4359</v>
      </c>
      <c r="C4572" s="9">
        <v>2175</v>
      </c>
      <c r="D4572" s="0">
        <v>5</v>
      </c>
      <c r="E4572" s="10">
        <f>HYPERLINK("http://www.lingerieopt.ru/images/original/f699de7b-ae6d-4a29-b604-1f02287fb1b8.jpg","Фото")</f>
      </c>
    </row>
    <row r="4573">
      <c r="A4573" s="7">
        <f>HYPERLINK("http://www.lingerieopt.ru/item/2075-sorochka-s-cvetochnjm-uzorom-i-volanom/","2075")</f>
      </c>
      <c r="B4573" s="8" t="s">
        <v>4360</v>
      </c>
      <c r="C4573" s="9">
        <v>2175</v>
      </c>
      <c r="D4573" s="0">
        <v>7</v>
      </c>
      <c r="E4573" s="10">
        <f>HYPERLINK("http://www.lingerieopt.ru/images/original/f699de7b-ae6d-4a29-b604-1f02287fb1b8.jpg","Фото")</f>
      </c>
    </row>
    <row r="4574">
      <c r="A4574" s="7">
        <f>HYPERLINK("http://www.lingerieopt.ru/item/2076-sorochka-margaret-s-chulkoderzhatelyami/","2076")</f>
      </c>
      <c r="B4574" s="8" t="s">
        <v>4361</v>
      </c>
      <c r="C4574" s="9">
        <v>3371</v>
      </c>
      <c r="D4574" s="0">
        <v>10</v>
      </c>
      <c r="E4574" s="10">
        <f>HYPERLINK("http://www.lingerieopt.ru/images/original/8d4d56f3-81cf-4c8c-81cc-0a4482f57369.jpg","Фото")</f>
      </c>
    </row>
    <row r="4575">
      <c r="A4575" s="7">
        <f>HYPERLINK("http://www.lingerieopt.ru/item/2076-sorochka-margaret-s-chulkoderzhatelyami/","2076")</f>
      </c>
      <c r="B4575" s="8" t="s">
        <v>4362</v>
      </c>
      <c r="C4575" s="9">
        <v>3371</v>
      </c>
      <c r="D4575" s="0">
        <v>9</v>
      </c>
      <c r="E4575" s="10">
        <f>HYPERLINK("http://www.lingerieopt.ru/images/original/8d4d56f3-81cf-4c8c-81cc-0a4482f57369.jpg","Фото")</f>
      </c>
    </row>
    <row r="4576">
      <c r="A4576" s="7">
        <f>HYPERLINK("http://www.lingerieopt.ru/item/2076-sorochka-margaret-s-chulkoderzhatelyami/","2076")</f>
      </c>
      <c r="B4576" s="8" t="s">
        <v>4363</v>
      </c>
      <c r="C4576" s="9">
        <v>3371</v>
      </c>
      <c r="D4576" s="0">
        <v>10</v>
      </c>
      <c r="E4576" s="10">
        <f>HYPERLINK("http://www.lingerieopt.ru/images/original/8d4d56f3-81cf-4c8c-81cc-0a4482f57369.jpg","Фото")</f>
      </c>
    </row>
    <row r="4577">
      <c r="A4577" s="7">
        <f>HYPERLINK("http://www.lingerieopt.ru/item/2076-sorochka-margaret-s-chulkoderzhatelyami/","2076")</f>
      </c>
      <c r="B4577" s="8" t="s">
        <v>4364</v>
      </c>
      <c r="C4577" s="9">
        <v>3371</v>
      </c>
      <c r="D4577" s="0">
        <v>10</v>
      </c>
      <c r="E4577" s="10">
        <f>HYPERLINK("http://www.lingerieopt.ru/images/original/8d4d56f3-81cf-4c8c-81cc-0a4482f57369.jpg","Фото")</f>
      </c>
    </row>
    <row r="4578">
      <c r="A4578" s="7">
        <f>HYPERLINK("http://www.lingerieopt.ru/item/2076-sorochka-margaret-s-chulkoderzhatelyami/","2076")</f>
      </c>
      <c r="B4578" s="8" t="s">
        <v>4365</v>
      </c>
      <c r="C4578" s="9">
        <v>3371</v>
      </c>
      <c r="D4578" s="0">
        <v>10</v>
      </c>
      <c r="E4578" s="10">
        <f>HYPERLINK("http://www.lingerieopt.ru/images/original/8d4d56f3-81cf-4c8c-81cc-0a4482f57369.jpg","Фото")</f>
      </c>
    </row>
    <row r="4579">
      <c r="A4579" s="7">
        <f>HYPERLINK("http://www.lingerieopt.ru/item/2076-sorochka-margaret-s-chulkoderzhatelyami/","2076")</f>
      </c>
      <c r="B4579" s="8" t="s">
        <v>4366</v>
      </c>
      <c r="C4579" s="9">
        <v>3371</v>
      </c>
      <c r="D4579" s="0">
        <v>10</v>
      </c>
      <c r="E4579" s="10">
        <f>HYPERLINK("http://www.lingerieopt.ru/images/original/8d4d56f3-81cf-4c8c-81cc-0a4482f57369.jpg","Фото")</f>
      </c>
    </row>
    <row r="4580">
      <c r="A4580" s="7">
        <f>HYPERLINK("http://www.lingerieopt.ru/item/2077-oblegayuschaya-sorochka-kate-s-chulkoderzhatelyami/","2077")</f>
      </c>
      <c r="B4580" s="8" t="s">
        <v>4367</v>
      </c>
      <c r="C4580" s="9">
        <v>2354</v>
      </c>
      <c r="D4580" s="0">
        <v>0</v>
      </c>
      <c r="E4580" s="10">
        <f>HYPERLINK("http://www.lingerieopt.ru/images/original/d3ee3394-fc4b-41c2-a2d3-643ed1e12354.jpg","Фото")</f>
      </c>
    </row>
    <row r="4581">
      <c r="A4581" s="7">
        <f>HYPERLINK("http://www.lingerieopt.ru/item/2077-oblegayuschaya-sorochka-kate-s-chulkoderzhatelyami/","2077")</f>
      </c>
      <c r="B4581" s="8" t="s">
        <v>4368</v>
      </c>
      <c r="C4581" s="9">
        <v>2354</v>
      </c>
      <c r="D4581" s="0">
        <v>0</v>
      </c>
      <c r="E4581" s="10">
        <f>HYPERLINK("http://www.lingerieopt.ru/images/original/d3ee3394-fc4b-41c2-a2d3-643ed1e12354.jpg","Фото")</f>
      </c>
    </row>
    <row r="4582">
      <c r="A4582" s="7">
        <f>HYPERLINK("http://www.lingerieopt.ru/item/2077-oblegayuschaya-sorochka-kate-s-chulkoderzhatelyami/","2077")</f>
      </c>
      <c r="B4582" s="8" t="s">
        <v>4369</v>
      </c>
      <c r="C4582" s="9">
        <v>2354</v>
      </c>
      <c r="D4582" s="0">
        <v>2</v>
      </c>
      <c r="E4582" s="10">
        <f>HYPERLINK("http://www.lingerieopt.ru/images/original/d3ee3394-fc4b-41c2-a2d3-643ed1e12354.jpg","Фото")</f>
      </c>
    </row>
    <row r="4583">
      <c r="A4583" s="7">
        <f>HYPERLINK("http://www.lingerieopt.ru/item/2080-sorochka-s-kruzhevnjm-lifom-estella-i-chulkoderzhatelyami/","2080")</f>
      </c>
      <c r="B4583" s="8" t="s">
        <v>4370</v>
      </c>
      <c r="C4583" s="9">
        <v>2758</v>
      </c>
      <c r="D4583" s="0">
        <v>8</v>
      </c>
      <c r="E4583" s="10">
        <f>HYPERLINK("http://www.lingerieopt.ru/images/original/ab7c796a-425a-41f9-b8d0-1e69a15fc9b5.jpg","Фото")</f>
      </c>
    </row>
    <row r="4584">
      <c r="A4584" s="7">
        <f>HYPERLINK("http://www.lingerieopt.ru/item/2080-sorochka-s-kruzhevnjm-lifom-estella-i-chulkoderzhatelyami/","2080")</f>
      </c>
      <c r="B4584" s="8" t="s">
        <v>4371</v>
      </c>
      <c r="C4584" s="9">
        <v>2758</v>
      </c>
      <c r="D4584" s="0">
        <v>6</v>
      </c>
      <c r="E4584" s="10">
        <f>HYPERLINK("http://www.lingerieopt.ru/images/original/ab7c796a-425a-41f9-b8d0-1e69a15fc9b5.jpg","Фото")</f>
      </c>
    </row>
    <row r="4585">
      <c r="A4585" s="7">
        <f>HYPERLINK("http://www.lingerieopt.ru/item/2080-sorochka-s-kruzhevnjm-lifom-estella-i-chulkoderzhatelyami/","2080")</f>
      </c>
      <c r="B4585" s="8" t="s">
        <v>4372</v>
      </c>
      <c r="C4585" s="9">
        <v>2758</v>
      </c>
      <c r="D4585" s="0">
        <v>8</v>
      </c>
      <c r="E4585" s="10">
        <f>HYPERLINK("http://www.lingerieopt.ru/images/original/ab7c796a-425a-41f9-b8d0-1e69a15fc9b5.jpg","Фото")</f>
      </c>
    </row>
    <row r="4586">
      <c r="A4586" s="7">
        <f>HYPERLINK("http://www.lingerieopt.ru/item/2080-sorochka-s-kruzhevnjm-lifom-estella-i-chulkoderzhatelyami/","2080")</f>
      </c>
      <c r="B4586" s="8" t="s">
        <v>4373</v>
      </c>
      <c r="C4586" s="9">
        <v>2758</v>
      </c>
      <c r="D4586" s="0">
        <v>8</v>
      </c>
      <c r="E4586" s="10">
        <f>HYPERLINK("http://www.lingerieopt.ru/images/original/ab7c796a-425a-41f9-b8d0-1e69a15fc9b5.jpg","Фото")</f>
      </c>
    </row>
    <row r="4587">
      <c r="A4587" s="7">
        <f>HYPERLINK("http://www.lingerieopt.ru/item/2080-sorochka-s-kruzhevnjm-lifom-estella-i-chulkoderzhatelyami/","2080")</f>
      </c>
      <c r="B4587" s="8" t="s">
        <v>4374</v>
      </c>
      <c r="C4587" s="9">
        <v>2758</v>
      </c>
      <c r="D4587" s="0">
        <v>5</v>
      </c>
      <c r="E4587" s="10">
        <f>HYPERLINK("http://www.lingerieopt.ru/images/original/ab7c796a-425a-41f9-b8d0-1e69a15fc9b5.jpg","Фото")</f>
      </c>
    </row>
    <row r="4588">
      <c r="A4588" s="7">
        <f>HYPERLINK("http://www.lingerieopt.ru/item/2080-sorochka-s-kruzhevnjm-lifom-estella-i-chulkoderzhatelyami/","2080")</f>
      </c>
      <c r="B4588" s="8" t="s">
        <v>4375</v>
      </c>
      <c r="C4588" s="9">
        <v>2758</v>
      </c>
      <c r="D4588" s="0">
        <v>7</v>
      </c>
      <c r="E4588" s="10">
        <f>HYPERLINK("http://www.lingerieopt.ru/images/original/ab7c796a-425a-41f9-b8d0-1e69a15fc9b5.jpg","Фото")</f>
      </c>
    </row>
    <row r="4589">
      <c r="A4589" s="7">
        <f>HYPERLINK("http://www.lingerieopt.ru/item/2081-oblegayuschaya-sorochka-s-perchatkami-andrea/","2081")</f>
      </c>
      <c r="B4589" s="8" t="s">
        <v>4376</v>
      </c>
      <c r="C4589" s="9">
        <v>2452</v>
      </c>
      <c r="D4589" s="0">
        <v>0</v>
      </c>
      <c r="E4589" s="10">
        <f>HYPERLINK("http://www.lingerieopt.ru/images/original/e88347a7-c5ab-433e-91c9-fcf1a7a02e1b.jpg","Фото")</f>
      </c>
    </row>
    <row r="4590">
      <c r="A4590" s="7">
        <f>HYPERLINK("http://www.lingerieopt.ru/item/2081-oblegayuschaya-sorochka-s-perchatkami-andrea/","2081")</f>
      </c>
      <c r="B4590" s="8" t="s">
        <v>4377</v>
      </c>
      <c r="C4590" s="9">
        <v>2452</v>
      </c>
      <c r="D4590" s="0">
        <v>2</v>
      </c>
      <c r="E4590" s="10">
        <f>HYPERLINK("http://www.lingerieopt.ru/images/original/e88347a7-c5ab-433e-91c9-fcf1a7a02e1b.jpg","Фото")</f>
      </c>
    </row>
    <row r="4591">
      <c r="A4591" s="7">
        <f>HYPERLINK("http://www.lingerieopt.ru/item/2081-oblegayuschaya-sorochka-s-perchatkami-andrea/","2081")</f>
      </c>
      <c r="B4591" s="8" t="s">
        <v>4378</v>
      </c>
      <c r="C4591" s="9">
        <v>2452</v>
      </c>
      <c r="D4591" s="0">
        <v>3</v>
      </c>
      <c r="E4591" s="10">
        <f>HYPERLINK("http://www.lingerieopt.ru/images/original/e88347a7-c5ab-433e-91c9-fcf1a7a02e1b.jpg","Фото")</f>
      </c>
    </row>
    <row r="4592">
      <c r="A4592" s="7">
        <f>HYPERLINK("http://www.lingerieopt.ru/item/2082-sorochka-blanca-i-trusiki-s-dostupom/","2082")</f>
      </c>
      <c r="B4592" s="8" t="s">
        <v>4379</v>
      </c>
      <c r="C4592" s="9">
        <v>2497</v>
      </c>
      <c r="D4592" s="0">
        <v>3</v>
      </c>
      <c r="E4592" s="10">
        <f>HYPERLINK("http://www.lingerieopt.ru/images/original/ff1951e4-73eb-4c5e-a721-01b75b5a7976.jpg","Фото")</f>
      </c>
    </row>
    <row r="4593">
      <c r="A4593" s="7">
        <f>HYPERLINK("http://www.lingerieopt.ru/item/2082-sorochka-blanca-i-trusiki-s-dostupom/","2082")</f>
      </c>
      <c r="B4593" s="8" t="s">
        <v>4380</v>
      </c>
      <c r="C4593" s="9">
        <v>2497</v>
      </c>
      <c r="D4593" s="0">
        <v>3</v>
      </c>
      <c r="E4593" s="10">
        <f>HYPERLINK("http://www.lingerieopt.ru/images/original/ff1951e4-73eb-4c5e-a721-01b75b5a7976.jpg","Фото")</f>
      </c>
    </row>
    <row r="4594">
      <c r="A4594" s="7">
        <f>HYPERLINK("http://www.lingerieopt.ru/item/2082-sorochka-blanca-i-trusiki-s-dostupom/","2082")</f>
      </c>
      <c r="B4594" s="8" t="s">
        <v>4381</v>
      </c>
      <c r="C4594" s="9">
        <v>2497</v>
      </c>
      <c r="D4594" s="0">
        <v>0</v>
      </c>
      <c r="E4594" s="10">
        <f>HYPERLINK("http://www.lingerieopt.ru/images/original/ff1951e4-73eb-4c5e-a721-01b75b5a7976.jpg","Фото")</f>
      </c>
    </row>
    <row r="4595">
      <c r="A4595" s="7">
        <f>HYPERLINK("http://www.lingerieopt.ru/item/2082-sorochka-blanca-i-trusiki-s-dostupom/","2082")</f>
      </c>
      <c r="B4595" s="8" t="s">
        <v>4382</v>
      </c>
      <c r="C4595" s="9">
        <v>2497</v>
      </c>
      <c r="D4595" s="0">
        <v>3</v>
      </c>
      <c r="E4595" s="10">
        <f>HYPERLINK("http://www.lingerieopt.ru/images/original/ff1951e4-73eb-4c5e-a721-01b75b5a7976.jpg","Фото")</f>
      </c>
    </row>
    <row r="4596">
      <c r="A4596" s="7">
        <f>HYPERLINK("http://www.lingerieopt.ru/item/2082-sorochka-blanca-i-trusiki-s-dostupom/","2082")</f>
      </c>
      <c r="B4596" s="8" t="s">
        <v>4383</v>
      </c>
      <c r="C4596" s="9">
        <v>2497</v>
      </c>
      <c r="D4596" s="0">
        <v>0</v>
      </c>
      <c r="E4596" s="10">
        <f>HYPERLINK("http://www.lingerieopt.ru/images/original/ff1951e4-73eb-4c5e-a721-01b75b5a7976.jpg","Фото")</f>
      </c>
    </row>
    <row r="4597">
      <c r="A4597" s="7">
        <f>HYPERLINK("http://www.lingerieopt.ru/item/2082-sorochka-blanca-i-trusiki-s-dostupom/","2082")</f>
      </c>
      <c r="B4597" s="8" t="s">
        <v>4384</v>
      </c>
      <c r="C4597" s="9">
        <v>2497</v>
      </c>
      <c r="D4597" s="0">
        <v>0</v>
      </c>
      <c r="E4597" s="10">
        <f>HYPERLINK("http://www.lingerieopt.ru/images/original/ff1951e4-73eb-4c5e-a721-01b75b5a7976.jpg","Фото")</f>
      </c>
    </row>
    <row r="4598">
      <c r="A4598" s="7">
        <f>HYPERLINK("http://www.lingerieopt.ru/item/2316-sorochka-danny-s-otkrjtoi-spinoi/","2316")</f>
      </c>
      <c r="B4598" s="8" t="s">
        <v>4385</v>
      </c>
      <c r="C4598" s="9">
        <v>2016</v>
      </c>
      <c r="D4598" s="0">
        <v>12</v>
      </c>
      <c r="E4598" s="10">
        <f>HYPERLINK("http://www.lingerieopt.ru/images/original/d60d2c9b-eb6c-4da2-a620-0a0fe22f44ce.jpg","Фото")</f>
      </c>
    </row>
    <row r="4599">
      <c r="A4599" s="7">
        <f>HYPERLINK("http://www.lingerieopt.ru/item/2877-poluprozrachnaya-sorochka-s-perchatkami-i-povyazkoi-nana/","2877")</f>
      </c>
      <c r="B4599" s="8" t="s">
        <v>4386</v>
      </c>
      <c r="C4599" s="9">
        <v>2078</v>
      </c>
      <c r="D4599" s="0">
        <v>4</v>
      </c>
      <c r="E4599" s="10">
        <f>HYPERLINK("http://www.lingerieopt.ru/images/original/cc72a955-c593-45b8-9dbf-17851513a5c2.jpg","Фото")</f>
      </c>
    </row>
    <row r="4600">
      <c r="A4600" s="7">
        <f>HYPERLINK("http://www.lingerieopt.ru/item/2877-poluprozrachnaya-sorochka-s-perchatkami-i-povyazkoi-nana/","2877")</f>
      </c>
      <c r="B4600" s="8" t="s">
        <v>4387</v>
      </c>
      <c r="C4600" s="9">
        <v>2078</v>
      </c>
      <c r="D4600" s="0">
        <v>3</v>
      </c>
      <c r="E4600" s="10">
        <f>HYPERLINK("http://www.lingerieopt.ru/images/original/cc72a955-c593-45b8-9dbf-17851513a5c2.jpg","Фото")</f>
      </c>
    </row>
    <row r="4601">
      <c r="A4601" s="7">
        <f>HYPERLINK("http://www.lingerieopt.ru/item/2877-poluprozrachnaya-sorochka-s-perchatkami-i-povyazkoi-nana/","2877")</f>
      </c>
      <c r="B4601" s="8" t="s">
        <v>4388</v>
      </c>
      <c r="C4601" s="9">
        <v>2078</v>
      </c>
      <c r="D4601" s="0">
        <v>4</v>
      </c>
      <c r="E4601" s="10">
        <f>HYPERLINK("http://www.lingerieopt.ru/images/original/cc72a955-c593-45b8-9dbf-17851513a5c2.jpg","Фото")</f>
      </c>
    </row>
    <row r="4602">
      <c r="A4602" s="7">
        <f>HYPERLINK("http://www.lingerieopt.ru/item/2878-sorochka-s-trusikami-merilyn/","2878")</f>
      </c>
      <c r="B4602" s="8" t="s">
        <v>4389</v>
      </c>
      <c r="C4602" s="9">
        <v>1408</v>
      </c>
      <c r="D4602" s="0">
        <v>11</v>
      </c>
      <c r="E4602" s="10">
        <f>HYPERLINK("http://www.lingerieopt.ru/images/original/e7b954e1-5f0a-46bd-8122-56ddfd05395c.jpg","Фото")</f>
      </c>
    </row>
    <row r="4603">
      <c r="A4603" s="7">
        <f>HYPERLINK("http://www.lingerieopt.ru/item/2878-sorochka-s-trusikami-merilyn/","2878")</f>
      </c>
      <c r="B4603" s="8" t="s">
        <v>4390</v>
      </c>
      <c r="C4603" s="9">
        <v>1408</v>
      </c>
      <c r="D4603" s="0">
        <v>0</v>
      </c>
      <c r="E4603" s="10">
        <f>HYPERLINK("http://www.lingerieopt.ru/images/original/e7b954e1-5f0a-46bd-8122-56ddfd05395c.jpg","Фото")</f>
      </c>
    </row>
    <row r="4604">
      <c r="A4604" s="7">
        <f>HYPERLINK("http://www.lingerieopt.ru/item/2878-sorochka-s-trusikami-merilyn/","2878")</f>
      </c>
      <c r="B4604" s="8" t="s">
        <v>4391</v>
      </c>
      <c r="C4604" s="9">
        <v>1408</v>
      </c>
      <c r="D4604" s="0">
        <v>14</v>
      </c>
      <c r="E4604" s="10">
        <f>HYPERLINK("http://www.lingerieopt.ru/images/original/e7b954e1-5f0a-46bd-8122-56ddfd05395c.jpg","Фото")</f>
      </c>
    </row>
    <row r="4605">
      <c r="A4605" s="7">
        <f>HYPERLINK("http://www.lingerieopt.ru/item/2878-sorochka-s-trusikami-merilyn/","2878")</f>
      </c>
      <c r="B4605" s="8" t="s">
        <v>4392</v>
      </c>
      <c r="C4605" s="9">
        <v>1408</v>
      </c>
      <c r="D4605" s="0">
        <v>0</v>
      </c>
      <c r="E4605" s="10">
        <f>HYPERLINK("http://www.lingerieopt.ru/images/original/e7b954e1-5f0a-46bd-8122-56ddfd05395c.jpg","Фото")</f>
      </c>
    </row>
    <row r="4606">
      <c r="A4606" s="7">
        <f>HYPERLINK("http://www.lingerieopt.ru/item/2884-prozrachnaya-sorochka-s-kruzhevnjm-lifom/","2884")</f>
      </c>
      <c r="B4606" s="8" t="s">
        <v>4393</v>
      </c>
      <c r="C4606" s="9">
        <v>1323</v>
      </c>
      <c r="D4606" s="0">
        <v>0</v>
      </c>
      <c r="E4606" s="10">
        <f>HYPERLINK("http://www.lingerieopt.ru/images/original/51f7353e-3025-4e46-b491-85eb5e1e63b5.jpg","Фото")</f>
      </c>
    </row>
    <row r="4607">
      <c r="A4607" s="7">
        <f>HYPERLINK("http://www.lingerieopt.ru/item/2884-prozrachnaya-sorochka-s-kruzhevnjm-lifom/","2884")</f>
      </c>
      <c r="B4607" s="8" t="s">
        <v>4394</v>
      </c>
      <c r="C4607" s="9">
        <v>1323</v>
      </c>
      <c r="D4607" s="0">
        <v>2</v>
      </c>
      <c r="E4607" s="10">
        <f>HYPERLINK("http://www.lingerieopt.ru/images/original/51f7353e-3025-4e46-b491-85eb5e1e63b5.jpg","Фото")</f>
      </c>
    </row>
    <row r="4608">
      <c r="A4608" s="7">
        <f>HYPERLINK("http://www.lingerieopt.ru/item/2884-prozrachnaya-sorochka-s-kruzhevnjm-lifom/","2884")</f>
      </c>
      <c r="B4608" s="8" t="s">
        <v>4395</v>
      </c>
      <c r="C4608" s="9">
        <v>1323</v>
      </c>
      <c r="D4608" s="0">
        <v>0</v>
      </c>
      <c r="E4608" s="10">
        <f>HYPERLINK("http://www.lingerieopt.ru/images/original/51f7353e-3025-4e46-b491-85eb5e1e63b5.jpg","Фото")</f>
      </c>
    </row>
    <row r="4609">
      <c r="A4609" s="7">
        <f>HYPERLINK("http://www.lingerieopt.ru/item/2884-prozrachnaya-sorochka-s-kruzhevnjm-lifom/","2884")</f>
      </c>
      <c r="B4609" s="8" t="s">
        <v>4396</v>
      </c>
      <c r="C4609" s="9">
        <v>1323</v>
      </c>
      <c r="D4609" s="0">
        <v>0</v>
      </c>
      <c r="E4609" s="10">
        <f>HYPERLINK("http://www.lingerieopt.ru/images/original/51f7353e-3025-4e46-b491-85eb5e1e63b5.jpg","Фото")</f>
      </c>
    </row>
    <row r="4610">
      <c r="A4610" s="7">
        <f>HYPERLINK("http://www.lingerieopt.ru/item/2884-prozrachnaya-sorochka-s-kruzhevnjm-lifom/","2884")</f>
      </c>
      <c r="B4610" s="8" t="s">
        <v>4397</v>
      </c>
      <c r="C4610" s="9">
        <v>1323</v>
      </c>
      <c r="D4610" s="0">
        <v>0</v>
      </c>
      <c r="E4610" s="10">
        <f>HYPERLINK("http://www.lingerieopt.ru/images/original/51f7353e-3025-4e46-b491-85eb5e1e63b5.jpg","Фото")</f>
      </c>
    </row>
    <row r="4611">
      <c r="A4611" s="7">
        <f>HYPERLINK("http://www.lingerieopt.ru/item/2884-prozrachnaya-sorochka-s-kruzhevnjm-lifom/","2884")</f>
      </c>
      <c r="B4611" s="8" t="s">
        <v>4398</v>
      </c>
      <c r="C4611" s="9">
        <v>1323</v>
      </c>
      <c r="D4611" s="0">
        <v>0</v>
      </c>
      <c r="E4611" s="10">
        <f>HYPERLINK("http://www.lingerieopt.ru/images/original/51f7353e-3025-4e46-b491-85eb5e1e63b5.jpg","Фото")</f>
      </c>
    </row>
    <row r="4612">
      <c r="A4612" s="7">
        <f>HYPERLINK("http://www.lingerieopt.ru/item/2934-sorochka-s-atlasnjm-bantikom-na-life/","2934")</f>
      </c>
      <c r="B4612" s="8" t="s">
        <v>4399</v>
      </c>
      <c r="C4612" s="9">
        <v>1980</v>
      </c>
      <c r="D4612" s="0">
        <v>0</v>
      </c>
      <c r="E4612" s="10">
        <f>HYPERLINK("http://www.lingerieopt.ru/images/original/17990fc5-ecbc-4dbd-8067-b85c7556b918.jpg","Фото")</f>
      </c>
    </row>
    <row r="4613">
      <c r="A4613" s="7">
        <f>HYPERLINK("http://www.lingerieopt.ru/item/2934-sorochka-s-atlasnjm-bantikom-na-life/","2934")</f>
      </c>
      <c r="B4613" s="8" t="s">
        <v>4400</v>
      </c>
      <c r="C4613" s="9">
        <v>1980</v>
      </c>
      <c r="D4613" s="0">
        <v>0</v>
      </c>
      <c r="E4613" s="10">
        <f>HYPERLINK("http://www.lingerieopt.ru/images/original/17990fc5-ecbc-4dbd-8067-b85c7556b918.jpg","Фото")</f>
      </c>
    </row>
    <row r="4614">
      <c r="A4614" s="7">
        <f>HYPERLINK("http://www.lingerieopt.ru/item/2934-sorochka-s-atlasnjm-bantikom-na-life/","2934")</f>
      </c>
      <c r="B4614" s="8" t="s">
        <v>4401</v>
      </c>
      <c r="C4614" s="9">
        <v>1980</v>
      </c>
      <c r="D4614" s="0">
        <v>0</v>
      </c>
      <c r="E4614" s="10">
        <f>HYPERLINK("http://www.lingerieopt.ru/images/original/17990fc5-ecbc-4dbd-8067-b85c7556b918.jpg","Фото")</f>
      </c>
    </row>
    <row r="4615">
      <c r="A4615" s="7">
        <f>HYPERLINK("http://www.lingerieopt.ru/item/2934-sorochka-s-atlasnjm-bantikom-na-life/","2934")</f>
      </c>
      <c r="B4615" s="8" t="s">
        <v>4402</v>
      </c>
      <c r="C4615" s="9">
        <v>1980</v>
      </c>
      <c r="D4615" s="0">
        <v>0</v>
      </c>
      <c r="E4615" s="10">
        <f>HYPERLINK("http://www.lingerieopt.ru/images/original/17990fc5-ecbc-4dbd-8067-b85c7556b918.jpg","Фото")</f>
      </c>
    </row>
    <row r="4616">
      <c r="A4616" s="7">
        <f>HYPERLINK("http://www.lingerieopt.ru/item/2934-sorochka-s-atlasnjm-bantikom-na-life/","2934")</f>
      </c>
      <c r="B4616" s="8" t="s">
        <v>4403</v>
      </c>
      <c r="C4616" s="9">
        <v>1980</v>
      </c>
      <c r="D4616" s="0">
        <v>0</v>
      </c>
      <c r="E4616" s="10">
        <f>HYPERLINK("http://www.lingerieopt.ru/images/original/17990fc5-ecbc-4dbd-8067-b85c7556b918.jpg","Фото")</f>
      </c>
    </row>
    <row r="4617">
      <c r="A4617" s="7">
        <f>HYPERLINK("http://www.lingerieopt.ru/item/2934-sorochka-s-atlasnjm-bantikom-na-life/","2934")</f>
      </c>
      <c r="B4617" s="8" t="s">
        <v>4404</v>
      </c>
      <c r="C4617" s="9">
        <v>1980</v>
      </c>
      <c r="D4617" s="0">
        <v>2</v>
      </c>
      <c r="E4617" s="10">
        <f>HYPERLINK("http://www.lingerieopt.ru/images/original/17990fc5-ecbc-4dbd-8067-b85c7556b918.jpg","Фото")</f>
      </c>
    </row>
    <row r="4618">
      <c r="A4618" s="7">
        <f>HYPERLINK("http://www.lingerieopt.ru/item/2934-sorochka-s-atlasnjm-bantikom-na-life/","2934")</f>
      </c>
      <c r="B4618" s="8" t="s">
        <v>4405</v>
      </c>
      <c r="C4618" s="9">
        <v>1980</v>
      </c>
      <c r="D4618" s="0">
        <v>0</v>
      </c>
      <c r="E4618" s="10">
        <f>HYPERLINK("http://www.lingerieopt.ru/images/original/17990fc5-ecbc-4dbd-8067-b85c7556b918.jpg","Фото")</f>
      </c>
    </row>
    <row r="4619">
      <c r="A4619" s="7">
        <f>HYPERLINK("http://www.lingerieopt.ru/item/2934-sorochka-s-atlasnjm-bantikom-na-life/","2934")</f>
      </c>
      <c r="B4619" s="8" t="s">
        <v>4406</v>
      </c>
      <c r="C4619" s="9">
        <v>1980</v>
      </c>
      <c r="D4619" s="0">
        <v>0</v>
      </c>
      <c r="E4619" s="10">
        <f>HYPERLINK("http://www.lingerieopt.ru/images/original/17990fc5-ecbc-4dbd-8067-b85c7556b918.jpg","Фото")</f>
      </c>
    </row>
    <row r="4620">
      <c r="A4620" s="7">
        <f>HYPERLINK("http://www.lingerieopt.ru/item/2934-sorochka-s-atlasnjm-bantikom-na-life/","2934")</f>
      </c>
      <c r="B4620" s="8" t="s">
        <v>4407</v>
      </c>
      <c r="C4620" s="9">
        <v>1980</v>
      </c>
      <c r="D4620" s="0">
        <v>0</v>
      </c>
      <c r="E4620" s="10">
        <f>HYPERLINK("http://www.lingerieopt.ru/images/original/17990fc5-ecbc-4dbd-8067-b85c7556b918.jpg","Фото")</f>
      </c>
    </row>
    <row r="4621">
      <c r="A4621" s="7">
        <f>HYPERLINK("http://www.lingerieopt.ru/item/2937-poluprozrachnaya-sorochka-s-poyasom-na-talii-fiore/","2937")</f>
      </c>
      <c r="B4621" s="8" t="s">
        <v>4408</v>
      </c>
      <c r="C4621" s="9">
        <v>1610</v>
      </c>
      <c r="D4621" s="0">
        <v>3</v>
      </c>
      <c r="E4621" s="10">
        <f>HYPERLINK("http://www.lingerieopt.ru/images/original/0877eabc-76a7-4e7f-9358-fa1ec0613d5a.jpg","Фото")</f>
      </c>
    </row>
    <row r="4622">
      <c r="A4622" s="7">
        <f>HYPERLINK("http://www.lingerieopt.ru/item/2937-poluprozrachnaya-sorochka-s-poyasom-na-talii-fiore/","2937")</f>
      </c>
      <c r="B4622" s="8" t="s">
        <v>4409</v>
      </c>
      <c r="C4622" s="9">
        <v>1610</v>
      </c>
      <c r="D4622" s="0">
        <v>0</v>
      </c>
      <c r="E4622" s="10">
        <f>HYPERLINK("http://www.lingerieopt.ru/images/original/0877eabc-76a7-4e7f-9358-fa1ec0613d5a.jpg","Фото")</f>
      </c>
    </row>
    <row r="4623">
      <c r="A4623" s="7">
        <f>HYPERLINK("http://www.lingerieopt.ru/item/2937-poluprozrachnaya-sorochka-s-poyasom-na-talii-fiore/","2937")</f>
      </c>
      <c r="B4623" s="8" t="s">
        <v>4410</v>
      </c>
      <c r="C4623" s="9">
        <v>1610</v>
      </c>
      <c r="D4623" s="0">
        <v>0</v>
      </c>
      <c r="E4623" s="10">
        <f>HYPERLINK("http://www.lingerieopt.ru/images/original/0877eabc-76a7-4e7f-9358-fa1ec0613d5a.jpg","Фото")</f>
      </c>
    </row>
    <row r="4624">
      <c r="A4624" s="7">
        <f>HYPERLINK("http://www.lingerieopt.ru/item/2937-poluprozrachnaya-sorochka-s-poyasom-na-talii-fiore/","2937")</f>
      </c>
      <c r="B4624" s="8" t="s">
        <v>4411</v>
      </c>
      <c r="C4624" s="9">
        <v>1610</v>
      </c>
      <c r="D4624" s="0">
        <v>0</v>
      </c>
      <c r="E4624" s="10">
        <f>HYPERLINK("http://www.lingerieopt.ru/images/original/0877eabc-76a7-4e7f-9358-fa1ec0613d5a.jpg","Фото")</f>
      </c>
    </row>
    <row r="4625">
      <c r="A4625" s="7">
        <f>HYPERLINK("http://www.lingerieopt.ru/item/2941-sorochka-s-bantikami-lizzy/","2941")</f>
      </c>
      <c r="B4625" s="8" t="s">
        <v>4412</v>
      </c>
      <c r="C4625" s="9">
        <v>2245</v>
      </c>
      <c r="D4625" s="0">
        <v>7</v>
      </c>
      <c r="E4625" s="10">
        <f>HYPERLINK("http://www.lingerieopt.ru/images/original/477ffc74-115b-4b56-ab81-466d30f0ace9.jpg","Фото")</f>
      </c>
    </row>
    <row r="4626">
      <c r="A4626" s="7">
        <f>HYPERLINK("http://www.lingerieopt.ru/item/2941-sorochka-s-bantikami-lizzy/","2941")</f>
      </c>
      <c r="B4626" s="8" t="s">
        <v>4413</v>
      </c>
      <c r="C4626" s="9">
        <v>2245</v>
      </c>
      <c r="D4626" s="0">
        <v>13</v>
      </c>
      <c r="E4626" s="10">
        <f>HYPERLINK("http://www.lingerieopt.ru/images/original/477ffc74-115b-4b56-ab81-466d30f0ace9.jpg","Фото")</f>
      </c>
    </row>
    <row r="4627">
      <c r="A4627" s="7">
        <f>HYPERLINK("http://www.lingerieopt.ru/item/2941-sorochka-s-bantikami-lizzy/","2941")</f>
      </c>
      <c r="B4627" s="8" t="s">
        <v>4414</v>
      </c>
      <c r="C4627" s="9">
        <v>2245</v>
      </c>
      <c r="D4627" s="0">
        <v>0</v>
      </c>
      <c r="E4627" s="10">
        <f>HYPERLINK("http://www.lingerieopt.ru/images/original/477ffc74-115b-4b56-ab81-466d30f0ace9.jpg","Фото")</f>
      </c>
    </row>
    <row r="4628">
      <c r="A4628" s="7">
        <f>HYPERLINK("http://www.lingerieopt.ru/item/2941-sorochka-s-bantikami-lizzy/","2941")</f>
      </c>
      <c r="B4628" s="8" t="s">
        <v>4415</v>
      </c>
      <c r="C4628" s="9">
        <v>2245</v>
      </c>
      <c r="D4628" s="0">
        <v>10</v>
      </c>
      <c r="E4628" s="10">
        <f>HYPERLINK("http://www.lingerieopt.ru/images/original/477ffc74-115b-4b56-ab81-466d30f0ace9.jpg","Фото")</f>
      </c>
    </row>
    <row r="4629">
      <c r="A4629" s="7">
        <f>HYPERLINK("http://www.lingerieopt.ru/item/2941-sorochka-s-bantikami-lizzy/","2941")</f>
      </c>
      <c r="B4629" s="8" t="s">
        <v>4416</v>
      </c>
      <c r="C4629" s="9">
        <v>2245</v>
      </c>
      <c r="D4629" s="0">
        <v>10</v>
      </c>
      <c r="E4629" s="10">
        <f>HYPERLINK("http://www.lingerieopt.ru/images/original/477ffc74-115b-4b56-ab81-466d30f0ace9.jpg","Фото")</f>
      </c>
    </row>
    <row r="4630">
      <c r="A4630" s="7">
        <f>HYPERLINK("http://www.lingerieopt.ru/item/2941-sorochka-s-bantikami-lizzy/","2941")</f>
      </c>
      <c r="B4630" s="8" t="s">
        <v>4417</v>
      </c>
      <c r="C4630" s="9">
        <v>2245</v>
      </c>
      <c r="D4630" s="0">
        <v>9</v>
      </c>
      <c r="E4630" s="10">
        <f>HYPERLINK("http://www.lingerieopt.ru/images/original/477ffc74-115b-4b56-ab81-466d30f0ace9.jpg","Фото")</f>
      </c>
    </row>
    <row r="4631">
      <c r="A4631" s="7">
        <f>HYPERLINK("http://www.lingerieopt.ru/item/2948-kruzhevnaya-sorochka-ana/","2948")</f>
      </c>
      <c r="B4631" s="8" t="s">
        <v>4418</v>
      </c>
      <c r="C4631" s="9">
        <v>1825</v>
      </c>
      <c r="D4631" s="0">
        <v>0</v>
      </c>
      <c r="E4631" s="10">
        <f>HYPERLINK("http://www.lingerieopt.ru/images/original/0d1e2082-9466-46f2-94a3-de5d9d2a52de.jpg","Фото")</f>
      </c>
    </row>
    <row r="4632">
      <c r="A4632" s="7">
        <f>HYPERLINK("http://www.lingerieopt.ru/item/2948-kruzhevnaya-sorochka-ana/","2948")</f>
      </c>
      <c r="B4632" s="8" t="s">
        <v>4419</v>
      </c>
      <c r="C4632" s="9">
        <v>1825</v>
      </c>
      <c r="D4632" s="0">
        <v>9</v>
      </c>
      <c r="E4632" s="10">
        <f>HYPERLINK("http://www.lingerieopt.ru/images/original/0d1e2082-9466-46f2-94a3-de5d9d2a52de.jpg","Фото")</f>
      </c>
    </row>
    <row r="4633">
      <c r="A4633" s="7">
        <f>HYPERLINK("http://www.lingerieopt.ru/item/2948-kruzhevnaya-sorochka-ana/","2948")</f>
      </c>
      <c r="B4633" s="8" t="s">
        <v>4420</v>
      </c>
      <c r="C4633" s="9">
        <v>1825</v>
      </c>
      <c r="D4633" s="0">
        <v>0</v>
      </c>
      <c r="E4633" s="10">
        <f>HYPERLINK("http://www.lingerieopt.ru/images/original/0d1e2082-9466-46f2-94a3-de5d9d2a52de.jpg","Фото")</f>
      </c>
    </row>
    <row r="4634">
      <c r="A4634" s="7">
        <f>HYPERLINK("http://www.lingerieopt.ru/item/2948-kruzhevnaya-sorochka-ana/","2948")</f>
      </c>
      <c r="B4634" s="8" t="s">
        <v>4421</v>
      </c>
      <c r="C4634" s="9">
        <v>1825</v>
      </c>
      <c r="D4634" s="0">
        <v>0</v>
      </c>
      <c r="E4634" s="10">
        <f>HYPERLINK("http://www.lingerieopt.ru/images/original/0d1e2082-9466-46f2-94a3-de5d9d2a52de.jpg","Фото")</f>
      </c>
    </row>
    <row r="4635">
      <c r="A4635" s="7">
        <f>HYPERLINK("http://www.lingerieopt.ru/item/2949-kruzhevnaya-sorochka-evie-na-shnurovke-szadi/","2949")</f>
      </c>
      <c r="B4635" s="8" t="s">
        <v>4422</v>
      </c>
      <c r="C4635" s="9">
        <v>1892</v>
      </c>
      <c r="D4635" s="0">
        <v>3</v>
      </c>
      <c r="E4635" s="10">
        <f>HYPERLINK("http://www.lingerieopt.ru/images/original/9d6a9e23-8895-4715-9d44-083866b27df4.jpg","Фото")</f>
      </c>
    </row>
    <row r="4636">
      <c r="A4636" s="7">
        <f>HYPERLINK("http://www.lingerieopt.ru/item/2949-kruzhevnaya-sorochka-evie-na-shnurovke-szadi/","2949")</f>
      </c>
      <c r="B4636" s="8" t="s">
        <v>4423</v>
      </c>
      <c r="C4636" s="9">
        <v>1892</v>
      </c>
      <c r="D4636" s="0">
        <v>4</v>
      </c>
      <c r="E4636" s="10">
        <f>HYPERLINK("http://www.lingerieopt.ru/images/original/9d6a9e23-8895-4715-9d44-083866b27df4.jpg","Фото")</f>
      </c>
    </row>
    <row r="4637">
      <c r="A4637" s="7">
        <f>HYPERLINK("http://www.lingerieopt.ru/item/2949-kruzhevnaya-sorochka-evie-na-shnurovke-szadi/","2949")</f>
      </c>
      <c r="B4637" s="8" t="s">
        <v>4424</v>
      </c>
      <c r="C4637" s="9">
        <v>1892</v>
      </c>
      <c r="D4637" s="0">
        <v>6</v>
      </c>
      <c r="E4637" s="10">
        <f>HYPERLINK("http://www.lingerieopt.ru/images/original/9d6a9e23-8895-4715-9d44-083866b27df4.jpg","Фото")</f>
      </c>
    </row>
    <row r="4638">
      <c r="A4638" s="7">
        <f>HYPERLINK("http://www.lingerieopt.ru/item/2949-kruzhevnaya-sorochka-evie-na-shnurovke-szadi/","2949")</f>
      </c>
      <c r="B4638" s="8" t="s">
        <v>4425</v>
      </c>
      <c r="C4638" s="9">
        <v>1892</v>
      </c>
      <c r="D4638" s="0">
        <v>7</v>
      </c>
      <c r="E4638" s="10">
        <f>HYPERLINK("http://www.lingerieopt.ru/images/original/9d6a9e23-8895-4715-9d44-083866b27df4.jpg","Фото")</f>
      </c>
    </row>
    <row r="4639">
      <c r="A4639" s="7">
        <f>HYPERLINK("http://www.lingerieopt.ru/item/2949-kruzhevnaya-sorochka-evie-na-shnurovke-szadi/","2949")</f>
      </c>
      <c r="B4639" s="8" t="s">
        <v>4426</v>
      </c>
      <c r="C4639" s="9">
        <v>1892</v>
      </c>
      <c r="D4639" s="0">
        <v>5</v>
      </c>
      <c r="E4639" s="10">
        <f>HYPERLINK("http://www.lingerieopt.ru/images/original/9d6a9e23-8895-4715-9d44-083866b27df4.jpg","Фото")</f>
      </c>
    </row>
    <row r="4640">
      <c r="A4640" s="7">
        <f>HYPERLINK("http://www.lingerieopt.ru/item/2949-kruzhevnaya-sorochka-evie-na-shnurovke-szadi/","2949")</f>
      </c>
      <c r="B4640" s="8" t="s">
        <v>4427</v>
      </c>
      <c r="C4640" s="9">
        <v>1892</v>
      </c>
      <c r="D4640" s="0">
        <v>5</v>
      </c>
      <c r="E4640" s="10">
        <f>HYPERLINK("http://www.lingerieopt.ru/images/original/9d6a9e23-8895-4715-9d44-083866b27df4.jpg","Фото")</f>
      </c>
    </row>
    <row r="4641">
      <c r="A4641" s="7">
        <f>HYPERLINK("http://www.lingerieopt.ru/item/3028-sorochka-s-oborkami/","3028")</f>
      </c>
      <c r="B4641" s="8" t="s">
        <v>4428</v>
      </c>
      <c r="C4641" s="9">
        <v>2153</v>
      </c>
      <c r="D4641" s="0">
        <v>0</v>
      </c>
      <c r="E4641" s="10">
        <f>HYPERLINK("http://www.lingerieopt.ru/images/original/cb16a118-6597-4990-885c-4505d847fe67.jpg","Фото")</f>
      </c>
    </row>
    <row r="4642">
      <c r="A4642" s="7">
        <f>HYPERLINK("http://www.lingerieopt.ru/item/3028-sorochka-s-oborkami/","3028")</f>
      </c>
      <c r="B4642" s="8" t="s">
        <v>4429</v>
      </c>
      <c r="C4642" s="9">
        <v>2153</v>
      </c>
      <c r="D4642" s="0">
        <v>5</v>
      </c>
      <c r="E4642" s="10">
        <f>HYPERLINK("http://www.lingerieopt.ru/images/original/cb16a118-6597-4990-885c-4505d847fe67.jpg","Фото")</f>
      </c>
    </row>
    <row r="4643">
      <c r="A4643" s="7">
        <f>HYPERLINK("http://www.lingerieopt.ru/item/3028-sorochka-s-oborkami/","3028")</f>
      </c>
      <c r="B4643" s="8" t="s">
        <v>4430</v>
      </c>
      <c r="C4643" s="9">
        <v>2153</v>
      </c>
      <c r="D4643" s="0">
        <v>4</v>
      </c>
      <c r="E4643" s="10">
        <f>HYPERLINK("http://www.lingerieopt.ru/images/original/cb16a118-6597-4990-885c-4505d847fe67.jpg","Фото")</f>
      </c>
    </row>
    <row r="4644">
      <c r="A4644" s="7">
        <f>HYPERLINK("http://www.lingerieopt.ru/item/3028-sorochka-s-oborkami/","3028")</f>
      </c>
      <c r="B4644" s="8" t="s">
        <v>4431</v>
      </c>
      <c r="C4644" s="9">
        <v>2153</v>
      </c>
      <c r="D4644" s="0">
        <v>0</v>
      </c>
      <c r="E4644" s="10">
        <f>HYPERLINK("http://www.lingerieopt.ru/images/original/cb16a118-6597-4990-885c-4505d847fe67.jpg","Фото")</f>
      </c>
    </row>
    <row r="4645">
      <c r="A4645" s="7">
        <f>HYPERLINK("http://www.lingerieopt.ru/item/3028-sorochka-s-oborkami/","3028")</f>
      </c>
      <c r="B4645" s="8" t="s">
        <v>4432</v>
      </c>
      <c r="C4645" s="9">
        <v>2153</v>
      </c>
      <c r="D4645" s="0">
        <v>5</v>
      </c>
      <c r="E4645" s="10">
        <f>HYPERLINK("http://www.lingerieopt.ru/images/original/cb16a118-6597-4990-885c-4505d847fe67.jpg","Фото")</f>
      </c>
    </row>
    <row r="4646">
      <c r="A4646" s="7">
        <f>HYPERLINK("http://www.lingerieopt.ru/item/3028-sorochka-s-oborkami/","3028")</f>
      </c>
      <c r="B4646" s="8" t="s">
        <v>4433</v>
      </c>
      <c r="C4646" s="9">
        <v>2153</v>
      </c>
      <c r="D4646" s="0">
        <v>0</v>
      </c>
      <c r="E4646" s="10">
        <f>HYPERLINK("http://www.lingerieopt.ru/images/original/cb16a118-6597-4990-885c-4505d847fe67.jpg","Фото")</f>
      </c>
    </row>
    <row r="4647">
      <c r="A4647" s="7">
        <f>HYPERLINK("http://www.lingerieopt.ru/item/3032-prozrachnaya-sorochka-s-kruzhevnjm-lifom-holly/","3032")</f>
      </c>
      <c r="B4647" s="8" t="s">
        <v>4434</v>
      </c>
      <c r="C4647" s="9">
        <v>1793</v>
      </c>
      <c r="D4647" s="0">
        <v>3</v>
      </c>
      <c r="E4647" s="10">
        <f>HYPERLINK("http://www.lingerieopt.ru/images/original/e7823bbc-f46b-4ba8-9ea6-311229d4f926.jpg","Фото")</f>
      </c>
    </row>
    <row r="4648">
      <c r="A4648" s="7">
        <f>HYPERLINK("http://www.lingerieopt.ru/item/3032-prozrachnaya-sorochka-s-kruzhevnjm-lifom-holly/","3032")</f>
      </c>
      <c r="B4648" s="8" t="s">
        <v>4435</v>
      </c>
      <c r="C4648" s="9">
        <v>1793</v>
      </c>
      <c r="D4648" s="0">
        <v>4</v>
      </c>
      <c r="E4648" s="10">
        <f>HYPERLINK("http://www.lingerieopt.ru/images/original/e7823bbc-f46b-4ba8-9ea6-311229d4f926.jpg","Фото")</f>
      </c>
    </row>
    <row r="4649">
      <c r="A4649" s="7">
        <f>HYPERLINK("http://www.lingerieopt.ru/item/3032-prozrachnaya-sorochka-s-kruzhevnjm-lifom-holly/","3032")</f>
      </c>
      <c r="B4649" s="8" t="s">
        <v>4436</v>
      </c>
      <c r="C4649" s="9">
        <v>1793</v>
      </c>
      <c r="D4649" s="0">
        <v>0</v>
      </c>
      <c r="E4649" s="10">
        <f>HYPERLINK("http://www.lingerieopt.ru/images/original/e7823bbc-f46b-4ba8-9ea6-311229d4f926.jpg","Фото")</f>
      </c>
    </row>
    <row r="4650">
      <c r="A4650" s="7">
        <f>HYPERLINK("http://www.lingerieopt.ru/item/3032-prozrachnaya-sorochka-s-kruzhevnjm-lifom-holly/","3032")</f>
      </c>
      <c r="B4650" s="8" t="s">
        <v>4437</v>
      </c>
      <c r="C4650" s="9">
        <v>1793</v>
      </c>
      <c r="D4650" s="0">
        <v>4</v>
      </c>
      <c r="E4650" s="10">
        <f>HYPERLINK("http://www.lingerieopt.ru/images/original/e7823bbc-f46b-4ba8-9ea6-311229d4f926.jpg","Фото")</f>
      </c>
    </row>
    <row r="4651">
      <c r="A4651" s="7">
        <f>HYPERLINK("http://www.lingerieopt.ru/item/3032-prozrachnaya-sorochka-s-kruzhevnjm-lifom-holly/","3032")</f>
      </c>
      <c r="B4651" s="8" t="s">
        <v>4438</v>
      </c>
      <c r="C4651" s="9">
        <v>1793</v>
      </c>
      <c r="D4651" s="0">
        <v>0</v>
      </c>
      <c r="E4651" s="10">
        <f>HYPERLINK("http://www.lingerieopt.ru/images/original/e7823bbc-f46b-4ba8-9ea6-311229d4f926.jpg","Фото")</f>
      </c>
    </row>
    <row r="4652">
      <c r="A4652" s="7">
        <f>HYPERLINK("http://www.lingerieopt.ru/item/3032-prozrachnaya-sorochka-s-kruzhevnjm-lifom-holly/","3032")</f>
      </c>
      <c r="B4652" s="8" t="s">
        <v>4439</v>
      </c>
      <c r="C4652" s="9">
        <v>1793</v>
      </c>
      <c r="D4652" s="0">
        <v>0</v>
      </c>
      <c r="E4652" s="10">
        <f>HYPERLINK("http://www.lingerieopt.ru/images/original/e7823bbc-f46b-4ba8-9ea6-311229d4f926.jpg","Фото")</f>
      </c>
    </row>
    <row r="4653">
      <c r="A4653" s="7">
        <f>HYPERLINK("http://www.lingerieopt.ru/item/3034-sorochka-frensis-s-azhurnjmi-chashechkami/","3034")</f>
      </c>
      <c r="B4653" s="8" t="s">
        <v>4440</v>
      </c>
      <c r="C4653" s="9">
        <v>1666</v>
      </c>
      <c r="D4653" s="0">
        <v>0</v>
      </c>
      <c r="E4653" s="10">
        <f>HYPERLINK("http://www.lingerieopt.ru/images/original/6474e8e0-5c4e-43a6-ab07-cab8ebaac61c.jpg","Фото")</f>
      </c>
    </row>
    <row r="4654">
      <c r="A4654" s="7">
        <f>HYPERLINK("http://www.lingerieopt.ru/item/3034-sorochka-frensis-s-azhurnjmi-chashechkami/","3034")</f>
      </c>
      <c r="B4654" s="8" t="s">
        <v>4441</v>
      </c>
      <c r="C4654" s="9">
        <v>1666</v>
      </c>
      <c r="D4654" s="0">
        <v>0</v>
      </c>
      <c r="E4654" s="10">
        <f>HYPERLINK("http://www.lingerieopt.ru/images/original/6474e8e0-5c4e-43a6-ab07-cab8ebaac61c.jpg","Фото")</f>
      </c>
    </row>
    <row r="4655">
      <c r="A4655" s="7">
        <f>HYPERLINK("http://www.lingerieopt.ru/item/3034-sorochka-frensis-s-azhurnjmi-chashechkami/","3034")</f>
      </c>
      <c r="B4655" s="8" t="s">
        <v>4442</v>
      </c>
      <c r="C4655" s="9">
        <v>1666</v>
      </c>
      <c r="D4655" s="0">
        <v>0</v>
      </c>
      <c r="E4655" s="10">
        <f>HYPERLINK("http://www.lingerieopt.ru/images/original/6474e8e0-5c4e-43a6-ab07-cab8ebaac61c.jpg","Фото")</f>
      </c>
    </row>
    <row r="4656">
      <c r="A4656" s="7">
        <f>HYPERLINK("http://www.lingerieopt.ru/item/3034-sorochka-frensis-s-azhurnjmi-chashechkami/","3034")</f>
      </c>
      <c r="B4656" s="8" t="s">
        <v>4443</v>
      </c>
      <c r="C4656" s="9">
        <v>1666</v>
      </c>
      <c r="D4656" s="0">
        <v>0</v>
      </c>
      <c r="E4656" s="10">
        <f>HYPERLINK("http://www.lingerieopt.ru/images/original/6474e8e0-5c4e-43a6-ab07-cab8ebaac61c.jpg","Фото")</f>
      </c>
    </row>
    <row r="4657">
      <c r="A4657" s="7">
        <f>HYPERLINK("http://www.lingerieopt.ru/item/3034-sorochka-frensis-s-azhurnjmi-chashechkami/","3034")</f>
      </c>
      <c r="B4657" s="8" t="s">
        <v>4444</v>
      </c>
      <c r="C4657" s="9">
        <v>1666</v>
      </c>
      <c r="D4657" s="0">
        <v>1</v>
      </c>
      <c r="E4657" s="10">
        <f>HYPERLINK("http://www.lingerieopt.ru/images/original/6474e8e0-5c4e-43a6-ab07-cab8ebaac61c.jpg","Фото")</f>
      </c>
    </row>
    <row r="4658">
      <c r="A4658" s="7">
        <f>HYPERLINK("http://www.lingerieopt.ru/item/3034-sorochka-frensis-s-azhurnjmi-chashechkami/","3034")</f>
      </c>
      <c r="B4658" s="8" t="s">
        <v>4445</v>
      </c>
      <c r="C4658" s="9">
        <v>1666</v>
      </c>
      <c r="D4658" s="0">
        <v>0</v>
      </c>
      <c r="E4658" s="10">
        <f>HYPERLINK("http://www.lingerieopt.ru/images/original/6474e8e0-5c4e-43a6-ab07-cab8ebaac61c.jpg","Фото")</f>
      </c>
    </row>
    <row r="4659">
      <c r="A4659" s="7">
        <f>HYPERLINK("http://www.lingerieopt.ru/item/3035-sorochka-s-kruzhevnoi-vstavkoi-po-centru/","3035")</f>
      </c>
      <c r="B4659" s="8" t="s">
        <v>4446</v>
      </c>
      <c r="C4659" s="9">
        <v>1803</v>
      </c>
      <c r="D4659" s="0">
        <v>8</v>
      </c>
      <c r="E4659" s="10">
        <f>HYPERLINK("http://www.lingerieopt.ru/images/original/dbb54755-4868-4b20-8f27-ae571a558efb.jpg","Фото")</f>
      </c>
    </row>
    <row r="4660">
      <c r="A4660" s="7">
        <f>HYPERLINK("http://www.lingerieopt.ru/item/3035-sorochka-s-kruzhevnoi-vstavkoi-po-centru/","3035")</f>
      </c>
      <c r="B4660" s="8" t="s">
        <v>4447</v>
      </c>
      <c r="C4660" s="9">
        <v>1803</v>
      </c>
      <c r="D4660" s="0">
        <v>10</v>
      </c>
      <c r="E4660" s="10">
        <f>HYPERLINK("http://www.lingerieopt.ru/images/original/dbb54755-4868-4b20-8f27-ae571a558efb.jpg","Фото")</f>
      </c>
    </row>
    <row r="4661">
      <c r="A4661" s="7">
        <f>HYPERLINK("http://www.lingerieopt.ru/item/3035-sorochka-s-kruzhevnoi-vstavkoi-po-centru/","3035")</f>
      </c>
      <c r="B4661" s="8" t="s">
        <v>4448</v>
      </c>
      <c r="C4661" s="9">
        <v>1803</v>
      </c>
      <c r="D4661" s="0">
        <v>3</v>
      </c>
      <c r="E4661" s="10">
        <f>HYPERLINK("http://www.lingerieopt.ru/images/original/dbb54755-4868-4b20-8f27-ae571a558efb.jpg","Фото")</f>
      </c>
    </row>
    <row r="4662">
      <c r="A4662" s="7">
        <f>HYPERLINK("http://www.lingerieopt.ru/item/3035-sorochka-s-kruzhevnoi-vstavkoi-po-centru/","3035")</f>
      </c>
      <c r="B4662" s="8" t="s">
        <v>4449</v>
      </c>
      <c r="C4662" s="9">
        <v>1803</v>
      </c>
      <c r="D4662" s="0">
        <v>0</v>
      </c>
      <c r="E4662" s="10">
        <f>HYPERLINK("http://www.lingerieopt.ru/images/original/dbb54755-4868-4b20-8f27-ae571a558efb.jpg","Фото")</f>
      </c>
    </row>
    <row r="4663">
      <c r="A4663" s="7">
        <f>HYPERLINK("http://www.lingerieopt.ru/item/3035-sorochka-s-kruzhevnoi-vstavkoi-po-centru/","3035")</f>
      </c>
      <c r="B4663" s="8" t="s">
        <v>4450</v>
      </c>
      <c r="C4663" s="9">
        <v>1803</v>
      </c>
      <c r="D4663" s="0">
        <v>1</v>
      </c>
      <c r="E4663" s="10">
        <f>HYPERLINK("http://www.lingerieopt.ru/images/original/dbb54755-4868-4b20-8f27-ae571a558efb.jpg","Фото")</f>
      </c>
    </row>
    <row r="4664">
      <c r="A4664" s="7">
        <f>HYPERLINK("http://www.lingerieopt.ru/item/3035-sorochka-s-kruzhevnoi-vstavkoi-po-centru/","3035")</f>
      </c>
      <c r="B4664" s="8" t="s">
        <v>4451</v>
      </c>
      <c r="C4664" s="9">
        <v>1803</v>
      </c>
      <c r="D4664" s="0">
        <v>11</v>
      </c>
      <c r="E4664" s="10">
        <f>HYPERLINK("http://www.lingerieopt.ru/images/original/dbb54755-4868-4b20-8f27-ae571a558efb.jpg","Фото")</f>
      </c>
    </row>
    <row r="4665">
      <c r="A4665" s="7">
        <f>HYPERLINK("http://www.lingerieopt.ru/item/3037-sorochka-s-cvetochnjm-uzorom-i-volanom/","3037")</f>
      </c>
      <c r="B4665" s="8" t="s">
        <v>4452</v>
      </c>
      <c r="C4665" s="9">
        <v>1734</v>
      </c>
      <c r="D4665" s="0">
        <v>7</v>
      </c>
      <c r="E4665" s="10">
        <f>HYPERLINK("http://www.lingerieopt.ru/images/original/a0de6f92-1646-46a8-b80b-6e5bff8d1701.jpg","Фото")</f>
      </c>
    </row>
    <row r="4666">
      <c r="A4666" s="7">
        <f>HYPERLINK("http://www.lingerieopt.ru/item/3037-sorochka-s-cvetochnjm-uzorom-i-volanom/","3037")</f>
      </c>
      <c r="B4666" s="8" t="s">
        <v>4453</v>
      </c>
      <c r="C4666" s="9">
        <v>1734</v>
      </c>
      <c r="D4666" s="0">
        <v>3</v>
      </c>
      <c r="E4666" s="10">
        <f>HYPERLINK("http://www.lingerieopt.ru/images/original/a0de6f92-1646-46a8-b80b-6e5bff8d1701.jpg","Фото")</f>
      </c>
    </row>
    <row r="4667">
      <c r="A4667" s="7">
        <f>HYPERLINK("http://www.lingerieopt.ru/item/3037-sorochka-s-cvetochnjm-uzorom-i-volanom/","3037")</f>
      </c>
      <c r="B4667" s="8" t="s">
        <v>4454</v>
      </c>
      <c r="C4667" s="9">
        <v>1734</v>
      </c>
      <c r="D4667" s="0">
        <v>6</v>
      </c>
      <c r="E4667" s="10">
        <f>HYPERLINK("http://www.lingerieopt.ru/images/original/a0de6f92-1646-46a8-b80b-6e5bff8d1701.jpg","Фото")</f>
      </c>
    </row>
    <row r="4668">
      <c r="A4668" s="7">
        <f>HYPERLINK("http://www.lingerieopt.ru/item/3037-sorochka-s-cvetochnjm-uzorom-i-volanom/","3037")</f>
      </c>
      <c r="B4668" s="8" t="s">
        <v>4455</v>
      </c>
      <c r="C4668" s="9">
        <v>1734</v>
      </c>
      <c r="D4668" s="0">
        <v>8</v>
      </c>
      <c r="E4668" s="10">
        <f>HYPERLINK("http://www.lingerieopt.ru/images/original/a0de6f92-1646-46a8-b80b-6e5bff8d1701.jpg","Фото")</f>
      </c>
    </row>
    <row r="4669">
      <c r="A4669" s="7">
        <f>HYPERLINK("http://www.lingerieopt.ru/item/3037-sorochka-s-cvetochnjm-uzorom-i-volanom/","3037")</f>
      </c>
      <c r="B4669" s="8" t="s">
        <v>4456</v>
      </c>
      <c r="C4669" s="9">
        <v>1734</v>
      </c>
      <c r="D4669" s="0">
        <v>4</v>
      </c>
      <c r="E4669" s="10">
        <f>HYPERLINK("http://www.lingerieopt.ru/images/original/a0de6f92-1646-46a8-b80b-6e5bff8d1701.jpg","Фото")</f>
      </c>
    </row>
    <row r="4670">
      <c r="A4670" s="7">
        <f>HYPERLINK("http://www.lingerieopt.ru/item/3037-sorochka-s-cvetochnjm-uzorom-i-volanom/","3037")</f>
      </c>
      <c r="B4670" s="8" t="s">
        <v>4457</v>
      </c>
      <c r="C4670" s="9">
        <v>1734</v>
      </c>
      <c r="D4670" s="0">
        <v>7</v>
      </c>
      <c r="E4670" s="10">
        <f>HYPERLINK("http://www.lingerieopt.ru/images/original/a0de6f92-1646-46a8-b80b-6e5bff8d1701.jpg","Фото")</f>
      </c>
    </row>
    <row r="4671">
      <c r="A4671" s="7">
        <f>HYPERLINK("http://www.lingerieopt.ru/item/3039-sorochka-agathe-s-rukavami-3-4/","3039")</f>
      </c>
      <c r="B4671" s="8" t="s">
        <v>4458</v>
      </c>
      <c r="C4671" s="9">
        <v>1726</v>
      </c>
      <c r="D4671" s="0">
        <v>0</v>
      </c>
      <c r="E4671" s="10">
        <f>HYPERLINK("http://www.lingerieopt.ru/images/original/a64734cb-d73e-469c-90b8-67b23a38c00a.jpg","Фото")</f>
      </c>
    </row>
    <row r="4672">
      <c r="A4672" s="7">
        <f>HYPERLINK("http://www.lingerieopt.ru/item/3039-sorochka-agathe-s-rukavami-3-4/","3039")</f>
      </c>
      <c r="B4672" s="8" t="s">
        <v>4459</v>
      </c>
      <c r="C4672" s="9">
        <v>1726</v>
      </c>
      <c r="D4672" s="0">
        <v>0</v>
      </c>
      <c r="E4672" s="10">
        <f>HYPERLINK("http://www.lingerieopt.ru/images/original/a64734cb-d73e-469c-90b8-67b23a38c00a.jpg","Фото")</f>
      </c>
    </row>
    <row r="4673">
      <c r="A4673" s="7">
        <f>HYPERLINK("http://www.lingerieopt.ru/item/3039-sorochka-agathe-s-rukavami-3-4/","3039")</f>
      </c>
      <c r="B4673" s="8" t="s">
        <v>4460</v>
      </c>
      <c r="C4673" s="9">
        <v>1726</v>
      </c>
      <c r="D4673" s="0">
        <v>7</v>
      </c>
      <c r="E4673" s="10">
        <f>HYPERLINK("http://www.lingerieopt.ru/images/original/a64734cb-d73e-469c-90b8-67b23a38c00a.jpg","Фото")</f>
      </c>
    </row>
    <row r="4674">
      <c r="A4674" s="7">
        <f>HYPERLINK("http://www.lingerieopt.ru/item/3039-sorochka-agathe-s-rukavami-3-4/","3039")</f>
      </c>
      <c r="B4674" s="8" t="s">
        <v>4461</v>
      </c>
      <c r="C4674" s="9">
        <v>1726</v>
      </c>
      <c r="D4674" s="0">
        <v>0</v>
      </c>
      <c r="E4674" s="10">
        <f>HYPERLINK("http://www.lingerieopt.ru/images/original/a64734cb-d73e-469c-90b8-67b23a38c00a.jpg","Фото")</f>
      </c>
    </row>
    <row r="4675">
      <c r="A4675" s="7">
        <f>HYPERLINK("http://www.lingerieopt.ru/item/3041-sorochka-elise-s-oborkami-po-vsei-dline-razreza/","3041")</f>
      </c>
      <c r="B4675" s="8" t="s">
        <v>4462</v>
      </c>
      <c r="C4675" s="9">
        <v>1985</v>
      </c>
      <c r="D4675" s="0">
        <v>0</v>
      </c>
      <c r="E4675" s="10">
        <f>HYPERLINK("http://www.lingerieopt.ru/images/original/9e71d432-c5a8-4382-82a4-1e5fa84b6754.jpg","Фото")</f>
      </c>
    </row>
    <row r="4676">
      <c r="A4676" s="7">
        <f>HYPERLINK("http://www.lingerieopt.ru/item/3041-sorochka-elise-s-oborkami-po-vsei-dline-razreza/","3041")</f>
      </c>
      <c r="B4676" s="8" t="s">
        <v>4463</v>
      </c>
      <c r="C4676" s="9">
        <v>1985</v>
      </c>
      <c r="D4676" s="0">
        <v>8</v>
      </c>
      <c r="E4676" s="10">
        <f>HYPERLINK("http://www.lingerieopt.ru/images/original/9e71d432-c5a8-4382-82a4-1e5fa84b6754.jpg","Фото")</f>
      </c>
    </row>
    <row r="4677">
      <c r="A4677" s="7">
        <f>HYPERLINK("http://www.lingerieopt.ru/item/3041-sorochka-elise-s-oborkami-po-vsei-dline-razreza/","3041")</f>
      </c>
      <c r="B4677" s="8" t="s">
        <v>4464</v>
      </c>
      <c r="C4677" s="9">
        <v>1985</v>
      </c>
      <c r="D4677" s="0">
        <v>0</v>
      </c>
      <c r="E4677" s="10">
        <f>HYPERLINK("http://www.lingerieopt.ru/images/original/9e71d432-c5a8-4382-82a4-1e5fa84b6754.jpg","Фото")</f>
      </c>
    </row>
    <row r="4678">
      <c r="A4678" s="7">
        <f>HYPERLINK("http://www.lingerieopt.ru/item/3043-tyulevaya-sorochka-ashley-s-razrezom-ot-lifa/","3043")</f>
      </c>
      <c r="B4678" s="8" t="s">
        <v>4465</v>
      </c>
      <c r="C4678" s="9">
        <v>2413</v>
      </c>
      <c r="D4678" s="0">
        <v>0</v>
      </c>
      <c r="E4678" s="10">
        <f>HYPERLINK("http://www.lingerieopt.ru/images/original/c1018f0a-f27e-449c-a950-bf50cc048528.jpg","Фото")</f>
      </c>
    </row>
    <row r="4679">
      <c r="A4679" s="7">
        <f>HYPERLINK("http://www.lingerieopt.ru/item/3043-tyulevaya-sorochka-ashley-s-razrezom-ot-lifa/","3043")</f>
      </c>
      <c r="B4679" s="8" t="s">
        <v>4466</v>
      </c>
      <c r="C4679" s="9">
        <v>2413</v>
      </c>
      <c r="D4679" s="0">
        <v>12</v>
      </c>
      <c r="E4679" s="10">
        <f>HYPERLINK("http://www.lingerieopt.ru/images/original/c1018f0a-f27e-449c-a950-bf50cc048528.jpg","Фото")</f>
      </c>
    </row>
    <row r="4680">
      <c r="A4680" s="7">
        <f>HYPERLINK("http://www.lingerieopt.ru/item/3043-tyulevaya-sorochka-ashley-s-razrezom-ot-lifa/","3043")</f>
      </c>
      <c r="B4680" s="8" t="s">
        <v>4467</v>
      </c>
      <c r="C4680" s="9">
        <v>2413</v>
      </c>
      <c r="D4680" s="0">
        <v>20</v>
      </c>
      <c r="E4680" s="10">
        <f>HYPERLINK("http://www.lingerieopt.ru/images/original/c1018f0a-f27e-449c-a950-bf50cc048528.jpg","Фото")</f>
      </c>
    </row>
    <row r="4681">
      <c r="A4681" s="7">
        <f>HYPERLINK("http://www.lingerieopt.ru/item/3046-sorochka-ashley-s-italyanskim-kruzhevom/","3046")</f>
      </c>
      <c r="B4681" s="8" t="s">
        <v>4468</v>
      </c>
      <c r="C4681" s="9">
        <v>2004</v>
      </c>
      <c r="D4681" s="0">
        <v>15</v>
      </c>
      <c r="E4681" s="10">
        <f>HYPERLINK("http://www.lingerieopt.ru/images/original/393e9e13-a895-4b2a-ad67-99d270afa779.jpg","Фото")</f>
      </c>
    </row>
    <row r="4682">
      <c r="A4682" s="7">
        <f>HYPERLINK("http://www.lingerieopt.ru/item/3046-sorochka-ashley-s-italyanskim-kruzhevom/","3046")</f>
      </c>
      <c r="B4682" s="8" t="s">
        <v>4469</v>
      </c>
      <c r="C4682" s="9">
        <v>2004</v>
      </c>
      <c r="D4682" s="0">
        <v>12</v>
      </c>
      <c r="E4682" s="10">
        <f>HYPERLINK("http://www.lingerieopt.ru/images/original/393e9e13-a895-4b2a-ad67-99d270afa779.jpg","Фото")</f>
      </c>
    </row>
    <row r="4683">
      <c r="A4683" s="7">
        <f>HYPERLINK("http://www.lingerieopt.ru/item/3046-sorochka-ashley-s-italyanskim-kruzhevom/","3046")</f>
      </c>
      <c r="B4683" s="8" t="s">
        <v>4470</v>
      </c>
      <c r="C4683" s="9">
        <v>2004</v>
      </c>
      <c r="D4683" s="0">
        <v>7</v>
      </c>
      <c r="E4683" s="10">
        <f>HYPERLINK("http://www.lingerieopt.ru/images/original/393e9e13-a895-4b2a-ad67-99d270afa779.jpg","Фото")</f>
      </c>
    </row>
    <row r="4684">
      <c r="A4684" s="7">
        <f>HYPERLINK("http://www.lingerieopt.ru/item/3050-sorochka-muna-s-azhurnjm-lifom/","3050")</f>
      </c>
      <c r="B4684" s="8" t="s">
        <v>4471</v>
      </c>
      <c r="C4684" s="9">
        <v>2095</v>
      </c>
      <c r="D4684" s="0">
        <v>0</v>
      </c>
      <c r="E4684" s="10">
        <f>HYPERLINK("http://www.lingerieopt.ru/images/original/84b954d0-99cd-4e7b-84ac-d7603b4c02ab.jpg","Фото")</f>
      </c>
    </row>
    <row r="4685">
      <c r="A4685" s="7">
        <f>HYPERLINK("http://www.lingerieopt.ru/item/3050-sorochka-muna-s-azhurnjm-lifom/","3050")</f>
      </c>
      <c r="B4685" s="8" t="s">
        <v>4472</v>
      </c>
      <c r="C4685" s="9">
        <v>2095</v>
      </c>
      <c r="D4685" s="0">
        <v>0</v>
      </c>
      <c r="E4685" s="10">
        <f>HYPERLINK("http://www.lingerieopt.ru/images/original/84b954d0-99cd-4e7b-84ac-d7603b4c02ab.jpg","Фото")</f>
      </c>
    </row>
    <row r="4686">
      <c r="A4686" s="7">
        <f>HYPERLINK("http://www.lingerieopt.ru/item/3050-sorochka-muna-s-azhurnjm-lifom/","3050")</f>
      </c>
      <c r="B4686" s="8" t="s">
        <v>4473</v>
      </c>
      <c r="C4686" s="9">
        <v>2095</v>
      </c>
      <c r="D4686" s="0">
        <v>1</v>
      </c>
      <c r="E4686" s="10">
        <f>HYPERLINK("http://www.lingerieopt.ru/images/original/84b954d0-99cd-4e7b-84ac-d7603b4c02ab.jpg","Фото")</f>
      </c>
    </row>
    <row r="4687">
      <c r="A4687" s="7">
        <f>HYPERLINK("http://www.lingerieopt.ru/item/3060-prozrachnaya-corochka-kea/","3060")</f>
      </c>
      <c r="B4687" s="8" t="s">
        <v>4474</v>
      </c>
      <c r="C4687" s="9">
        <v>1336</v>
      </c>
      <c r="D4687" s="0">
        <v>10</v>
      </c>
      <c r="E4687" s="10">
        <f>HYPERLINK("http://www.lingerieopt.ru/images/original/cbfaaba8-60b3-4d9b-98d3-4788e07a5b08.jpg","Фото")</f>
      </c>
    </row>
    <row r="4688">
      <c r="A4688" s="7">
        <f>HYPERLINK("http://www.lingerieopt.ru/item/3060-prozrachnaya-corochka-kea/","3060")</f>
      </c>
      <c r="B4688" s="8" t="s">
        <v>4475</v>
      </c>
      <c r="C4688" s="9">
        <v>1336</v>
      </c>
      <c r="D4688" s="0">
        <v>8</v>
      </c>
      <c r="E4688" s="10">
        <f>HYPERLINK("http://www.lingerieopt.ru/images/original/cbfaaba8-60b3-4d9b-98d3-4788e07a5b08.jpg","Фото")</f>
      </c>
    </row>
    <row r="4689">
      <c r="A4689" s="7">
        <f>HYPERLINK("http://www.lingerieopt.ru/item/3060-prozrachnaya-corochka-kea/","3060")</f>
      </c>
      <c r="B4689" s="8" t="s">
        <v>4476</v>
      </c>
      <c r="C4689" s="9">
        <v>1336</v>
      </c>
      <c r="D4689" s="0">
        <v>20</v>
      </c>
      <c r="E4689" s="10">
        <f>HYPERLINK("http://www.lingerieopt.ru/images/original/cbfaaba8-60b3-4d9b-98d3-4788e07a5b08.jpg","Фото")</f>
      </c>
    </row>
    <row r="4690">
      <c r="A4690" s="7">
        <f>HYPERLINK("http://www.lingerieopt.ru/item/3060-prozrachnaya-corochka-kea/","3060")</f>
      </c>
      <c r="B4690" s="8" t="s">
        <v>4477</v>
      </c>
      <c r="C4690" s="9">
        <v>1336</v>
      </c>
      <c r="D4690" s="0">
        <v>13</v>
      </c>
      <c r="E4690" s="10">
        <f>HYPERLINK("http://www.lingerieopt.ru/images/original/cbfaaba8-60b3-4d9b-98d3-4788e07a5b08.jpg","Фото")</f>
      </c>
    </row>
    <row r="4691">
      <c r="A4691" s="7">
        <f>HYPERLINK("http://www.lingerieopt.ru/item/3060-prozrachnaya-corochka-kea/","3060")</f>
      </c>
      <c r="B4691" s="8" t="s">
        <v>4478</v>
      </c>
      <c r="C4691" s="9">
        <v>1336</v>
      </c>
      <c r="D4691" s="0">
        <v>11</v>
      </c>
      <c r="E4691" s="10">
        <f>HYPERLINK("http://www.lingerieopt.ru/images/original/cbfaaba8-60b3-4d9b-98d3-4788e07a5b08.jpg","Фото")</f>
      </c>
    </row>
    <row r="4692">
      <c r="A4692" s="7">
        <f>HYPERLINK("http://www.lingerieopt.ru/item/3060-prozrachnaya-corochka-kea/","3060")</f>
      </c>
      <c r="B4692" s="8" t="s">
        <v>4479</v>
      </c>
      <c r="C4692" s="9">
        <v>1336</v>
      </c>
      <c r="D4692" s="0">
        <v>0</v>
      </c>
      <c r="E4692" s="10">
        <f>HYPERLINK("http://www.lingerieopt.ru/images/original/cbfaaba8-60b3-4d9b-98d3-4788e07a5b08.jpg","Фото")</f>
      </c>
    </row>
    <row r="4693">
      <c r="A4693" s="7">
        <f>HYPERLINK("http://www.lingerieopt.ru/item/3061-tyulevaya-sorochka-nicolette-na-tonkih-bretelyah/","3061")</f>
      </c>
      <c r="B4693" s="8" t="s">
        <v>4480</v>
      </c>
      <c r="C4693" s="9">
        <v>2056</v>
      </c>
      <c r="D4693" s="0">
        <v>8</v>
      </c>
      <c r="E4693" s="10">
        <f>HYPERLINK("http://www.lingerieopt.ru/images/original/0edcd892-6d87-4cb8-a2c7-0864341fbb42.jpg","Фото")</f>
      </c>
    </row>
    <row r="4694">
      <c r="A4694" s="7">
        <f>HYPERLINK("http://www.lingerieopt.ru/item/3061-tyulevaya-sorochka-nicolette-na-tonkih-bretelyah/","3061")</f>
      </c>
      <c r="B4694" s="8" t="s">
        <v>4481</v>
      </c>
      <c r="C4694" s="9">
        <v>2056</v>
      </c>
      <c r="D4694" s="0">
        <v>1</v>
      </c>
      <c r="E4694" s="10">
        <f>HYPERLINK("http://www.lingerieopt.ru/images/original/0edcd892-6d87-4cb8-a2c7-0864341fbb42.jpg","Фото")</f>
      </c>
    </row>
    <row r="4695">
      <c r="A4695" s="7">
        <f>HYPERLINK("http://www.lingerieopt.ru/item/3061-tyulevaya-sorochka-nicolette-na-tonkih-bretelyah/","3061")</f>
      </c>
      <c r="B4695" s="8" t="s">
        <v>4482</v>
      </c>
      <c r="C4695" s="9">
        <v>2056</v>
      </c>
      <c r="D4695" s="0">
        <v>2</v>
      </c>
      <c r="E4695" s="10">
        <f>HYPERLINK("http://www.lingerieopt.ru/images/original/0edcd892-6d87-4cb8-a2c7-0864341fbb42.jpg","Фото")</f>
      </c>
    </row>
    <row r="4696">
      <c r="A4696" s="7">
        <f>HYPERLINK("http://www.lingerieopt.ru/item/3061-tyulevaya-sorochka-nicolette-na-tonkih-bretelyah/","3061")</f>
      </c>
      <c r="B4696" s="8" t="s">
        <v>4483</v>
      </c>
      <c r="C4696" s="9">
        <v>2056</v>
      </c>
      <c r="D4696" s="0">
        <v>11</v>
      </c>
      <c r="E4696" s="10">
        <f>HYPERLINK("http://www.lingerieopt.ru/images/original/0edcd892-6d87-4cb8-a2c7-0864341fbb42.jpg","Фото")</f>
      </c>
    </row>
    <row r="4697">
      <c r="A4697" s="7">
        <f>HYPERLINK("http://www.lingerieopt.ru/item/3061-tyulevaya-sorochka-nicolette-na-tonkih-bretelyah/","3061")</f>
      </c>
      <c r="B4697" s="8" t="s">
        <v>4484</v>
      </c>
      <c r="C4697" s="9">
        <v>2056</v>
      </c>
      <c r="D4697" s="0">
        <v>20</v>
      </c>
      <c r="E4697" s="10">
        <f>HYPERLINK("http://www.lingerieopt.ru/images/original/0edcd892-6d87-4cb8-a2c7-0864341fbb42.jpg","Фото")</f>
      </c>
    </row>
    <row r="4698">
      <c r="A4698" s="7">
        <f>HYPERLINK("http://www.lingerieopt.ru/item/3061-tyulevaya-sorochka-nicolette-na-tonkih-bretelyah/","3061")</f>
      </c>
      <c r="B4698" s="8" t="s">
        <v>4485</v>
      </c>
      <c r="C4698" s="9">
        <v>2056</v>
      </c>
      <c r="D4698" s="0">
        <v>0</v>
      </c>
      <c r="E4698" s="10">
        <f>HYPERLINK("http://www.lingerieopt.ru/images/original/0edcd892-6d87-4cb8-a2c7-0864341fbb42.jpg","Фото")</f>
      </c>
    </row>
    <row r="4699">
      <c r="A4699" s="7">
        <f>HYPERLINK("http://www.lingerieopt.ru/item/3063-sorochka-lanai-s-vjrezami-na-grudi/","3063")</f>
      </c>
      <c r="B4699" s="8" t="s">
        <v>4486</v>
      </c>
      <c r="C4699" s="9">
        <v>1659</v>
      </c>
      <c r="D4699" s="0">
        <v>0</v>
      </c>
      <c r="E4699" s="10">
        <f>HYPERLINK("http://www.lingerieopt.ru/images/original/cc91af70-43c8-4015-8782-0ff529c1357b.jpg","Фото")</f>
      </c>
    </row>
    <row r="4700">
      <c r="A4700" s="7">
        <f>HYPERLINK("http://www.lingerieopt.ru/item/3063-sorochka-lanai-s-vjrezami-na-grudi/","3063")</f>
      </c>
      <c r="B4700" s="8" t="s">
        <v>4487</v>
      </c>
      <c r="C4700" s="9">
        <v>1659</v>
      </c>
      <c r="D4700" s="0">
        <v>1</v>
      </c>
      <c r="E4700" s="10">
        <f>HYPERLINK("http://www.lingerieopt.ru/images/original/cc91af70-43c8-4015-8782-0ff529c1357b.jpg","Фото")</f>
      </c>
    </row>
    <row r="4701">
      <c r="A4701" s="7">
        <f>HYPERLINK("http://www.lingerieopt.ru/item/3063-sorochka-lanai-s-vjrezami-na-grudi/","3063")</f>
      </c>
      <c r="B4701" s="8" t="s">
        <v>4488</v>
      </c>
      <c r="C4701" s="9">
        <v>1659</v>
      </c>
      <c r="D4701" s="0">
        <v>0</v>
      </c>
      <c r="E4701" s="10">
        <f>HYPERLINK("http://www.lingerieopt.ru/images/original/cc91af70-43c8-4015-8782-0ff529c1357b.jpg","Фото")</f>
      </c>
    </row>
    <row r="4702">
      <c r="A4702" s="7">
        <f>HYPERLINK("http://www.lingerieopt.ru/item/3072-bebi-doll-tessie/","3072")</f>
      </c>
      <c r="B4702" s="8" t="s">
        <v>4489</v>
      </c>
      <c r="C4702" s="9">
        <v>1917</v>
      </c>
      <c r="D4702" s="0">
        <v>1</v>
      </c>
      <c r="E4702" s="10">
        <f>HYPERLINK("http://www.lingerieopt.ru/images/original/b5cbd693-8223-4798-b9f6-effaffd851e5.jpg","Фото")</f>
      </c>
    </row>
    <row r="4703">
      <c r="A4703" s="7">
        <f>HYPERLINK("http://www.lingerieopt.ru/item/3072-bebi-doll-tessie/","3072")</f>
      </c>
      <c r="B4703" s="8" t="s">
        <v>4490</v>
      </c>
      <c r="C4703" s="9">
        <v>1917</v>
      </c>
      <c r="D4703" s="0">
        <v>0</v>
      </c>
      <c r="E4703" s="10">
        <f>HYPERLINK("http://www.lingerieopt.ru/images/original/b5cbd693-8223-4798-b9f6-effaffd851e5.jpg","Фото")</f>
      </c>
    </row>
    <row r="4704">
      <c r="A4704" s="7">
        <f>HYPERLINK("http://www.lingerieopt.ru/item/3072-bebi-doll-tessie/","3072")</f>
      </c>
      <c r="B4704" s="8" t="s">
        <v>4491</v>
      </c>
      <c r="C4704" s="9">
        <v>1917</v>
      </c>
      <c r="D4704" s="0">
        <v>0</v>
      </c>
      <c r="E4704" s="10">
        <f>HYPERLINK("http://www.lingerieopt.ru/images/original/b5cbd693-8223-4798-b9f6-effaffd851e5.jpg","Фото")</f>
      </c>
    </row>
    <row r="4705">
      <c r="A4705" s="7">
        <f>HYPERLINK("http://www.lingerieopt.ru/item/3073-sorochka-bebi-doll-livia-s-zavyazkami-na-life/","3073")</f>
      </c>
      <c r="B4705" s="8" t="s">
        <v>4492</v>
      </c>
      <c r="C4705" s="9">
        <v>1619</v>
      </c>
      <c r="D4705" s="0">
        <v>21</v>
      </c>
      <c r="E4705" s="10">
        <f>HYPERLINK("http://www.lingerieopt.ru/images/original/3fa6950c-6ed9-4283-a1e7-7d4e87965733.jpg","Фото")</f>
      </c>
    </row>
    <row r="4706">
      <c r="A4706" s="7">
        <f>HYPERLINK("http://www.lingerieopt.ru/item/3073-sorochka-bebi-doll-livia-s-zavyazkami-na-life/","3073")</f>
      </c>
      <c r="B4706" s="8" t="s">
        <v>4493</v>
      </c>
      <c r="C4706" s="9">
        <v>1619</v>
      </c>
      <c r="D4706" s="0">
        <v>20</v>
      </c>
      <c r="E4706" s="10">
        <f>HYPERLINK("http://www.lingerieopt.ru/images/original/3fa6950c-6ed9-4283-a1e7-7d4e87965733.jpg","Фото")</f>
      </c>
    </row>
    <row r="4707">
      <c r="A4707" s="7">
        <f>HYPERLINK("http://www.lingerieopt.ru/item/3097-chernoe-mini-plate-adelis/","3097")</f>
      </c>
      <c r="B4707" s="8" t="s">
        <v>3852</v>
      </c>
      <c r="C4707" s="9">
        <v>1540</v>
      </c>
      <c r="D4707" s="0">
        <v>8</v>
      </c>
      <c r="E4707" s="10">
        <f>HYPERLINK("http://www.lingerieopt.ru/images/original/24673cd2-990f-4148-870f-ebd637350ad0.jpg","Фото")</f>
      </c>
    </row>
    <row r="4708">
      <c r="A4708" s="7">
        <f>HYPERLINK("http://www.lingerieopt.ru/item/3097-chernoe-mini-plate-adelis/","3097")</f>
      </c>
      <c r="B4708" s="8" t="s">
        <v>3851</v>
      </c>
      <c r="C4708" s="9">
        <v>1540</v>
      </c>
      <c r="D4708" s="0">
        <v>2</v>
      </c>
      <c r="E4708" s="10">
        <f>HYPERLINK("http://www.lingerieopt.ru/images/original/24673cd2-990f-4148-870f-ebd637350ad0.jpg","Фото")</f>
      </c>
    </row>
    <row r="4709">
      <c r="A4709" s="7">
        <f>HYPERLINK("http://www.lingerieopt.ru/item/3109-sorochka-safire-s-plotnjmi-azhurnjmi-vstavkami-na-grudi/","3109")</f>
      </c>
      <c r="B4709" s="8" t="s">
        <v>4494</v>
      </c>
      <c r="C4709" s="9">
        <v>1409</v>
      </c>
      <c r="D4709" s="0">
        <v>9</v>
      </c>
      <c r="E4709" s="10">
        <f>HYPERLINK("http://www.lingerieopt.ru/images/original/bc58946e-7b8a-4ed3-a4cf-6c659e3dbb54.jpg","Фото")</f>
      </c>
    </row>
    <row r="4710">
      <c r="A4710" s="7">
        <f>HYPERLINK("http://www.lingerieopt.ru/item/3109-sorochka-safire-s-plotnjmi-azhurnjmi-vstavkami-na-grudi/","3109")</f>
      </c>
      <c r="B4710" s="8" t="s">
        <v>4495</v>
      </c>
      <c r="C4710" s="9">
        <v>1409</v>
      </c>
      <c r="D4710" s="0">
        <v>0</v>
      </c>
      <c r="E4710" s="10">
        <f>HYPERLINK("http://www.lingerieopt.ru/images/original/bc58946e-7b8a-4ed3-a4cf-6c659e3dbb54.jpg","Фото")</f>
      </c>
    </row>
    <row r="4711">
      <c r="A4711" s="7">
        <f>HYPERLINK("http://www.lingerieopt.ru/item/3114-sorochka-srednei-dlinj-vasanti/","3114")</f>
      </c>
      <c r="B4711" s="8" t="s">
        <v>4496</v>
      </c>
      <c r="C4711" s="9">
        <v>1346</v>
      </c>
      <c r="D4711" s="0">
        <v>0</v>
      </c>
      <c r="E4711" s="10">
        <f>HYPERLINK("http://www.lingerieopt.ru/images/original/2eb4d095-888f-4d02-b6a0-c3dd92b1e76c.jpg","Фото")</f>
      </c>
    </row>
    <row r="4712">
      <c r="A4712" s="7">
        <f>HYPERLINK("http://www.lingerieopt.ru/item/3114-sorochka-srednei-dlinj-vasanti/","3114")</f>
      </c>
      <c r="B4712" s="8" t="s">
        <v>4497</v>
      </c>
      <c r="C4712" s="9">
        <v>1346</v>
      </c>
      <c r="D4712" s="0">
        <v>8</v>
      </c>
      <c r="E4712" s="10">
        <f>HYPERLINK("http://www.lingerieopt.ru/images/original/2eb4d095-888f-4d02-b6a0-c3dd92b1e76c.jpg","Фото")</f>
      </c>
    </row>
    <row r="4713">
      <c r="A4713" s="7">
        <f>HYPERLINK("http://www.lingerieopt.ru/item/3116-sorochka-diona-so-shnurovkoi-szadi/","3116")</f>
      </c>
      <c r="B4713" s="8" t="s">
        <v>4498</v>
      </c>
      <c r="C4713" s="9">
        <v>2548</v>
      </c>
      <c r="D4713" s="0">
        <v>1</v>
      </c>
      <c r="E4713" s="10">
        <f>HYPERLINK("http://www.lingerieopt.ru/images/original/5a01658c-f3cd-4e28-9c3d-4bff539bedab.jpg","Фото")</f>
      </c>
    </row>
    <row r="4714">
      <c r="A4714" s="7">
        <f>HYPERLINK("http://www.lingerieopt.ru/item/3116-sorochka-diona-so-shnurovkoi-szadi/","3116")</f>
      </c>
      <c r="B4714" s="8" t="s">
        <v>4499</v>
      </c>
      <c r="C4714" s="9">
        <v>2548</v>
      </c>
      <c r="D4714" s="0">
        <v>1</v>
      </c>
      <c r="E4714" s="10">
        <f>HYPERLINK("http://www.lingerieopt.ru/images/original/5a01658c-f3cd-4e28-9c3d-4bff539bedab.jpg","Фото")</f>
      </c>
    </row>
    <row r="4715">
      <c r="A4715" s="7">
        <f>HYPERLINK("http://www.lingerieopt.ru/item/3125-sorochka-larisa/","3125")</f>
      </c>
      <c r="B4715" s="8" t="s">
        <v>4500</v>
      </c>
      <c r="C4715" s="9">
        <v>1861</v>
      </c>
      <c r="D4715" s="0">
        <v>0</v>
      </c>
      <c r="E4715" s="10">
        <f>HYPERLINK("http://www.lingerieopt.ru/images/original/76bdab55-ed43-4db4-993b-be6ca27a82ea.jpg","Фото")</f>
      </c>
    </row>
    <row r="4716">
      <c r="A4716" s="7">
        <f>HYPERLINK("http://www.lingerieopt.ru/item/3125-sorochka-larisa/","3125")</f>
      </c>
      <c r="B4716" s="8" t="s">
        <v>4501</v>
      </c>
      <c r="C4716" s="9">
        <v>1861</v>
      </c>
      <c r="D4716" s="0">
        <v>2</v>
      </c>
      <c r="E4716" s="10">
        <f>HYPERLINK("http://www.lingerieopt.ru/images/original/76bdab55-ed43-4db4-993b-be6ca27a82ea.jpg","Фото")</f>
      </c>
    </row>
    <row r="4717">
      <c r="A4717" s="7">
        <f>HYPERLINK("http://www.lingerieopt.ru/item/3125-sorochka-larisa/","3125")</f>
      </c>
      <c r="B4717" s="8" t="s">
        <v>4502</v>
      </c>
      <c r="C4717" s="9">
        <v>1861</v>
      </c>
      <c r="D4717" s="0">
        <v>0</v>
      </c>
      <c r="E4717" s="10">
        <f>HYPERLINK("http://www.lingerieopt.ru/images/original/76bdab55-ed43-4db4-993b-be6ca27a82ea.jpg","Фото")</f>
      </c>
    </row>
    <row r="4718">
      <c r="A4718" s="7">
        <f>HYPERLINK("http://www.lingerieopt.ru/item/3125-sorochka-larisa/","3125")</f>
      </c>
      <c r="B4718" s="8" t="s">
        <v>4503</v>
      </c>
      <c r="C4718" s="9">
        <v>1861</v>
      </c>
      <c r="D4718" s="0">
        <v>0</v>
      </c>
      <c r="E4718" s="10">
        <f>HYPERLINK("http://www.lingerieopt.ru/images/original/76bdab55-ed43-4db4-993b-be6ca27a82ea.jpg","Фото")</f>
      </c>
    </row>
    <row r="4719">
      <c r="A4719" s="7">
        <f>HYPERLINK("http://www.lingerieopt.ru/item/3126-sorochka-safona-s-bretelyami-na-pope/","3126")</f>
      </c>
      <c r="B4719" s="8" t="s">
        <v>4504</v>
      </c>
      <c r="C4719" s="9">
        <v>1711</v>
      </c>
      <c r="D4719" s="0">
        <v>6</v>
      </c>
      <c r="E4719" s="10">
        <f>HYPERLINK("http://www.lingerieopt.ru/images/original/dbf965ce-21fb-485c-8a6f-4e6e12976ef5.jpg","Фото")</f>
      </c>
    </row>
    <row r="4720">
      <c r="A4720" s="7">
        <f>HYPERLINK("http://www.lingerieopt.ru/item/3126-sorochka-safona-s-bretelyami-na-pope/","3126")</f>
      </c>
      <c r="B4720" s="8" t="s">
        <v>4505</v>
      </c>
      <c r="C4720" s="9">
        <v>1711</v>
      </c>
      <c r="D4720" s="0">
        <v>6</v>
      </c>
      <c r="E4720" s="10">
        <f>HYPERLINK("http://www.lingerieopt.ru/images/original/dbf965ce-21fb-485c-8a6f-4e6e12976ef5.jpg","Фото")</f>
      </c>
    </row>
    <row r="4721">
      <c r="A4721" s="7">
        <f>HYPERLINK("http://www.lingerieopt.ru/item/3126-sorochka-safona-s-bretelyami-na-pope/","3126")</f>
      </c>
      <c r="B4721" s="8" t="s">
        <v>4506</v>
      </c>
      <c r="C4721" s="9">
        <v>1711</v>
      </c>
      <c r="D4721" s="0">
        <v>3</v>
      </c>
      <c r="E4721" s="10">
        <f>HYPERLINK("http://www.lingerieopt.ru/images/original/dbf965ce-21fb-485c-8a6f-4e6e12976ef5.jpg","Фото")</f>
      </c>
    </row>
    <row r="4722">
      <c r="A4722" s="7">
        <f>HYPERLINK("http://www.lingerieopt.ru/item/3126-sorochka-safona-s-bretelyami-na-pope/","3126")</f>
      </c>
      <c r="B4722" s="8" t="s">
        <v>4507</v>
      </c>
      <c r="C4722" s="9">
        <v>1711</v>
      </c>
      <c r="D4722" s="0">
        <v>4</v>
      </c>
      <c r="E4722" s="10">
        <f>HYPERLINK("http://www.lingerieopt.ru/images/original/dbf965ce-21fb-485c-8a6f-4e6e12976ef5.jpg","Фото")</f>
      </c>
    </row>
    <row r="4723">
      <c r="A4723" s="7">
        <f>HYPERLINK("http://www.lingerieopt.ru/item/3127-sorochka-s-otkrjtoi-grudyu-lilit/","3127")</f>
      </c>
      <c r="B4723" s="8" t="s">
        <v>4508</v>
      </c>
      <c r="C4723" s="9">
        <v>1440</v>
      </c>
      <c r="D4723" s="0">
        <v>2</v>
      </c>
      <c r="E4723" s="10">
        <f>HYPERLINK("http://www.lingerieopt.ru/images/original/2e6d28e1-1e91-4024-980d-5e50893d63d1.jpg","Фото")</f>
      </c>
    </row>
    <row r="4724">
      <c r="A4724" s="7">
        <f>HYPERLINK("http://www.lingerieopt.ru/item/3127-sorochka-s-otkrjtoi-grudyu-lilit/","3127")</f>
      </c>
      <c r="B4724" s="8" t="s">
        <v>4509</v>
      </c>
      <c r="C4724" s="9">
        <v>1440</v>
      </c>
      <c r="D4724" s="0">
        <v>4</v>
      </c>
      <c r="E4724" s="10">
        <f>HYPERLINK("http://www.lingerieopt.ru/images/original/2e6d28e1-1e91-4024-980d-5e50893d63d1.jpg","Фото")</f>
      </c>
    </row>
    <row r="4725">
      <c r="A4725" s="7">
        <f>HYPERLINK("http://www.lingerieopt.ru/item/3127-sorochka-s-otkrjtoi-grudyu-lilit/","3127")</f>
      </c>
      <c r="B4725" s="8" t="s">
        <v>4510</v>
      </c>
      <c r="C4725" s="9">
        <v>1440</v>
      </c>
      <c r="D4725" s="0">
        <v>5</v>
      </c>
      <c r="E4725" s="10">
        <f>HYPERLINK("http://www.lingerieopt.ru/images/original/2e6d28e1-1e91-4024-980d-5e50893d63d1.jpg","Фото")</f>
      </c>
    </row>
    <row r="4726">
      <c r="A4726" s="7">
        <f>HYPERLINK("http://www.lingerieopt.ru/item/3127-sorochka-s-otkrjtoi-grudyu-lilit/","3127")</f>
      </c>
      <c r="B4726" s="8" t="s">
        <v>4511</v>
      </c>
      <c r="C4726" s="9">
        <v>1440</v>
      </c>
      <c r="D4726" s="0">
        <v>3</v>
      </c>
      <c r="E4726" s="10">
        <f>HYPERLINK("http://www.lingerieopt.ru/images/original/2e6d28e1-1e91-4024-980d-5e50893d63d1.jpg","Фото")</f>
      </c>
    </row>
    <row r="4727">
      <c r="A4727" s="7">
        <f>HYPERLINK("http://www.lingerieopt.ru/item/3128-sorochka-diora-s-pazhami-i-kruzhevnjmi-elementami/","3128")</f>
      </c>
      <c r="B4727" s="8" t="s">
        <v>4512</v>
      </c>
      <c r="C4727" s="9">
        <v>2003</v>
      </c>
      <c r="D4727" s="0">
        <v>0</v>
      </c>
      <c r="E4727" s="10">
        <f>HYPERLINK("http://www.lingerieopt.ru/images/original/b08f7e43-7fdf-44df-9cb1-3fbe6ba240df.jpg","Фото")</f>
      </c>
    </row>
    <row r="4728">
      <c r="A4728" s="7">
        <f>HYPERLINK("http://www.lingerieopt.ru/item/3128-sorochka-diora-s-pazhami-i-kruzhevnjmi-elementami/","3128")</f>
      </c>
      <c r="B4728" s="8" t="s">
        <v>4513</v>
      </c>
      <c r="C4728" s="9">
        <v>2003</v>
      </c>
      <c r="D4728" s="0">
        <v>0</v>
      </c>
      <c r="E4728" s="10">
        <f>HYPERLINK("http://www.lingerieopt.ru/images/original/b08f7e43-7fdf-44df-9cb1-3fbe6ba240df.jpg","Фото")</f>
      </c>
    </row>
    <row r="4729">
      <c r="A4729" s="7">
        <f>HYPERLINK("http://www.lingerieopt.ru/item/3128-sorochka-diora-s-pazhami-i-kruzhevnjmi-elementami/","3128")</f>
      </c>
      <c r="B4729" s="8" t="s">
        <v>4514</v>
      </c>
      <c r="C4729" s="9">
        <v>2003</v>
      </c>
      <c r="D4729" s="0">
        <v>0</v>
      </c>
      <c r="E4729" s="10">
        <f>HYPERLINK("http://www.lingerieopt.ru/images/original/b08f7e43-7fdf-44df-9cb1-3fbe6ba240df.jpg","Фото")</f>
      </c>
    </row>
    <row r="4730">
      <c r="A4730" s="7">
        <f>HYPERLINK("http://www.lingerieopt.ru/item/3128-sorochka-diora-s-pazhami-i-kruzhevnjmi-elementami/","3128")</f>
      </c>
      <c r="B4730" s="8" t="s">
        <v>4515</v>
      </c>
      <c r="C4730" s="9">
        <v>2003</v>
      </c>
      <c r="D4730" s="0">
        <v>0</v>
      </c>
      <c r="E4730" s="10">
        <f>HYPERLINK("http://www.lingerieopt.ru/images/original/b08f7e43-7fdf-44df-9cb1-3fbe6ba240df.jpg","Фото")</f>
      </c>
    </row>
    <row r="4731">
      <c r="A4731" s="7">
        <f>HYPERLINK("http://www.lingerieopt.ru/item/3128-sorochka-diora-s-pazhami-i-kruzhevnjmi-elementami/","3128")</f>
      </c>
      <c r="B4731" s="8" t="s">
        <v>4516</v>
      </c>
      <c r="C4731" s="9">
        <v>2003</v>
      </c>
      <c r="D4731" s="0">
        <v>0</v>
      </c>
      <c r="E4731" s="10">
        <f>HYPERLINK("http://www.lingerieopt.ru/images/original/b08f7e43-7fdf-44df-9cb1-3fbe6ba240df.jpg","Фото")</f>
      </c>
    </row>
    <row r="4732">
      <c r="A4732" s="7">
        <f>HYPERLINK("http://www.lingerieopt.ru/item/3128-sorochka-diora-s-pazhami-i-kruzhevnjmi-elementami/","3128")</f>
      </c>
      <c r="B4732" s="8" t="s">
        <v>4517</v>
      </c>
      <c r="C4732" s="9">
        <v>2003</v>
      </c>
      <c r="D4732" s="0">
        <v>0</v>
      </c>
      <c r="E4732" s="10">
        <f>HYPERLINK("http://www.lingerieopt.ru/images/original/b08f7e43-7fdf-44df-9cb1-3fbe6ba240df.jpg","Фото")</f>
      </c>
    </row>
    <row r="4733">
      <c r="A4733" s="7">
        <f>HYPERLINK("http://www.lingerieopt.ru/item/3128-sorochka-diora-s-pazhami-i-kruzhevnjmi-elementami/","3128")</f>
      </c>
      <c r="B4733" s="8" t="s">
        <v>4518</v>
      </c>
      <c r="C4733" s="9">
        <v>2003</v>
      </c>
      <c r="D4733" s="0">
        <v>0</v>
      </c>
      <c r="E4733" s="10">
        <f>HYPERLINK("http://www.lingerieopt.ru/images/original/b08f7e43-7fdf-44df-9cb1-3fbe6ba240df.jpg","Фото")</f>
      </c>
    </row>
    <row r="4734">
      <c r="A4734" s="7">
        <f>HYPERLINK("http://www.lingerieopt.ru/item/3128-sorochka-diora-s-pazhami-i-kruzhevnjmi-elementami/","3128")</f>
      </c>
      <c r="B4734" s="8" t="s">
        <v>4519</v>
      </c>
      <c r="C4734" s="9">
        <v>2003</v>
      </c>
      <c r="D4734" s="0">
        <v>3</v>
      </c>
      <c r="E4734" s="10">
        <f>HYPERLINK("http://www.lingerieopt.ru/images/original/b08f7e43-7fdf-44df-9cb1-3fbe6ba240df.jpg","Фото")</f>
      </c>
    </row>
    <row r="4735">
      <c r="A4735" s="7">
        <f>HYPERLINK("http://www.lingerieopt.ru/item/3128-sorochka-diora-s-pazhami-i-kruzhevnjmi-elementami/","3128")</f>
      </c>
      <c r="B4735" s="8" t="s">
        <v>4520</v>
      </c>
      <c r="C4735" s="9">
        <v>2003</v>
      </c>
      <c r="D4735" s="0">
        <v>0</v>
      </c>
      <c r="E4735" s="10">
        <f>HYPERLINK("http://www.lingerieopt.ru/images/original/b08f7e43-7fdf-44df-9cb1-3fbe6ba240df.jpg","Фото")</f>
      </c>
    </row>
    <row r="4736">
      <c r="A4736" s="7">
        <f>HYPERLINK("http://www.lingerieopt.ru/item/3149-kombinaciya-s-otkrjtjmi-plechami/","3149")</f>
      </c>
      <c r="B4736" s="8" t="s">
        <v>4521</v>
      </c>
      <c r="C4736" s="9">
        <v>1074</v>
      </c>
      <c r="D4736" s="0">
        <v>0</v>
      </c>
      <c r="E4736" s="10">
        <f>HYPERLINK("http://www.lingerieopt.ru/images/original/ee6a7fdd-d306-4896-8ea2-a5edffd65c41.jpg","Фото")</f>
      </c>
    </row>
    <row r="4737">
      <c r="A4737" s="7">
        <f>HYPERLINK("http://www.lingerieopt.ru/item/3149-kombinaciya-s-otkrjtjmi-plechami/","3149")</f>
      </c>
      <c r="B4737" s="8" t="s">
        <v>4522</v>
      </c>
      <c r="C4737" s="9">
        <v>1074</v>
      </c>
      <c r="D4737" s="0">
        <v>3</v>
      </c>
      <c r="E4737" s="10">
        <f>HYPERLINK("http://www.lingerieopt.ru/images/original/ee6a7fdd-d306-4896-8ea2-a5edffd65c41.jpg","Фото")</f>
      </c>
    </row>
    <row r="4738">
      <c r="A4738" s="7">
        <f>HYPERLINK("http://www.lingerieopt.ru/item/3149-kombinaciya-s-otkrjtjmi-plechami/","3149")</f>
      </c>
      <c r="B4738" s="8" t="s">
        <v>4523</v>
      </c>
      <c r="C4738" s="9">
        <v>1074</v>
      </c>
      <c r="D4738" s="0">
        <v>0</v>
      </c>
      <c r="E4738" s="10">
        <f>HYPERLINK("http://www.lingerieopt.ru/images/original/ee6a7fdd-d306-4896-8ea2-a5edffd65c41.jpg","Фото")</f>
      </c>
    </row>
    <row r="4739">
      <c r="A4739" s="7">
        <f>HYPERLINK("http://www.lingerieopt.ru/item/3149-kombinaciya-s-otkrjtjmi-plechami/","3149")</f>
      </c>
      <c r="B4739" s="8" t="s">
        <v>4524</v>
      </c>
      <c r="C4739" s="9">
        <v>1074</v>
      </c>
      <c r="D4739" s="0">
        <v>0</v>
      </c>
      <c r="E4739" s="10">
        <f>HYPERLINK("http://www.lingerieopt.ru/images/original/ee6a7fdd-d306-4896-8ea2-a5edffd65c41.jpg","Фото")</f>
      </c>
    </row>
    <row r="4740">
      <c r="A4740" s="7">
        <f>HYPERLINK("http://www.lingerieopt.ru/item/3186-sorochka-s-azhurnjm-lifom/","3186")</f>
      </c>
      <c r="B4740" s="8" t="s">
        <v>4525</v>
      </c>
      <c r="C4740" s="9">
        <v>607</v>
      </c>
      <c r="D4740" s="0">
        <v>5</v>
      </c>
      <c r="E4740" s="10">
        <f>HYPERLINK("http://www.lingerieopt.ru/images/original/4f2042c0-2d8f-46d9-954a-dfaa0cbc0c1c.jpg","Фото")</f>
      </c>
    </row>
    <row r="4741">
      <c r="A4741" s="7">
        <f>HYPERLINK("http://www.lingerieopt.ru/item/3190-sorochka-s-razrezami-na-life-i-pazhami/","3190")</f>
      </c>
      <c r="B4741" s="8" t="s">
        <v>4526</v>
      </c>
      <c r="C4741" s="9">
        <v>1038</v>
      </c>
      <c r="D4741" s="0">
        <v>10</v>
      </c>
      <c r="E4741" s="10">
        <f>HYPERLINK("http://www.lingerieopt.ru/images/original/ab1e8ad1-7fac-4d51-83a3-7e14cdc6b51f.jpg","Фото")</f>
      </c>
    </row>
    <row r="4742">
      <c r="A4742" s="7">
        <f>HYPERLINK("http://www.lingerieopt.ru/item/3190-sorochka-s-razrezami-na-life-i-pazhami/","3190")</f>
      </c>
      <c r="B4742" s="8" t="s">
        <v>4527</v>
      </c>
      <c r="C4742" s="9">
        <v>1038</v>
      </c>
      <c r="D4742" s="0">
        <v>22</v>
      </c>
      <c r="E4742" s="10">
        <f>HYPERLINK("http://www.lingerieopt.ru/images/original/ab1e8ad1-7fac-4d51-83a3-7e14cdc6b51f.jpg","Фото")</f>
      </c>
    </row>
    <row r="4743">
      <c r="A4743" s="7">
        <f>HYPERLINK("http://www.lingerieopt.ru/item/3197-sorochka-keith-s-kombinirovannjm-lifom/","3197")</f>
      </c>
      <c r="B4743" s="8" t="s">
        <v>4528</v>
      </c>
      <c r="C4743" s="9">
        <v>2016</v>
      </c>
      <c r="D4743" s="0">
        <v>4</v>
      </c>
      <c r="E4743" s="10">
        <f>HYPERLINK("http://www.lingerieopt.ru/images/original/a9175d09-1b10-4f91-af89-c5778f70337c.jpg","Фото")</f>
      </c>
    </row>
    <row r="4744">
      <c r="A4744" s="7">
        <f>HYPERLINK("http://www.lingerieopt.ru/item/3197-sorochka-keith-s-kombinirovannjm-lifom/","3197")</f>
      </c>
      <c r="B4744" s="8" t="s">
        <v>4529</v>
      </c>
      <c r="C4744" s="9">
        <v>2016</v>
      </c>
      <c r="D4744" s="0">
        <v>0</v>
      </c>
      <c r="E4744" s="10">
        <f>HYPERLINK("http://www.lingerieopt.ru/images/original/a9175d09-1b10-4f91-af89-c5778f70337c.jpg","Фото")</f>
      </c>
    </row>
    <row r="4745">
      <c r="A4745" s="7">
        <f>HYPERLINK("http://www.lingerieopt.ru/item/3198-oblegayuschaya-sorochka-mayah-s-dvuhcvetnjm-kruzhevom-pod-lifom/","3198")</f>
      </c>
      <c r="B4745" s="8" t="s">
        <v>3854</v>
      </c>
      <c r="C4745" s="9">
        <v>2100</v>
      </c>
      <c r="D4745" s="0">
        <v>0</v>
      </c>
      <c r="E4745" s="10">
        <f>HYPERLINK("http://www.lingerieopt.ru/images/original/308ab31a-00f8-4069-9176-ee5459d3a24e.jpg","Фото")</f>
      </c>
    </row>
    <row r="4746">
      <c r="A4746" s="7">
        <f>HYPERLINK("http://www.lingerieopt.ru/item/3198-oblegayuschaya-sorochka-mayah-s-dvuhcvetnjm-kruzhevom-pod-lifom/","3198")</f>
      </c>
      <c r="B4746" s="8" t="s">
        <v>3853</v>
      </c>
      <c r="C4746" s="9">
        <v>2100</v>
      </c>
      <c r="D4746" s="0">
        <v>4</v>
      </c>
      <c r="E4746" s="10">
        <f>HYPERLINK("http://www.lingerieopt.ru/images/original/308ab31a-00f8-4069-9176-ee5459d3a24e.jpg","Фото")</f>
      </c>
    </row>
    <row r="4747">
      <c r="A4747" s="7">
        <f>HYPERLINK("http://www.lingerieopt.ru/item/3199-sorochka-s-azhurnjm-lifom/","3199")</f>
      </c>
      <c r="B4747" s="8" t="s">
        <v>4530</v>
      </c>
      <c r="C4747" s="9">
        <v>1598</v>
      </c>
      <c r="D4747" s="0">
        <v>4</v>
      </c>
      <c r="E4747" s="10">
        <f>HYPERLINK("http://www.lingerieopt.ru/images/original/a96bf736-1c85-46a9-aadc-18e066aca15d.jpg","Фото")</f>
      </c>
    </row>
    <row r="4748">
      <c r="A4748" s="7">
        <f>HYPERLINK("http://www.lingerieopt.ru/item/3199-sorochka-s-azhurnjm-lifom/","3199")</f>
      </c>
      <c r="B4748" s="8" t="s">
        <v>4531</v>
      </c>
      <c r="C4748" s="9">
        <v>1598</v>
      </c>
      <c r="D4748" s="0">
        <v>2</v>
      </c>
      <c r="E4748" s="10">
        <f>HYPERLINK("http://www.lingerieopt.ru/images/original/a96bf736-1c85-46a9-aadc-18e066aca15d.jpg","Фото")</f>
      </c>
    </row>
    <row r="4749">
      <c r="A4749" s="7">
        <f>HYPERLINK("http://www.lingerieopt.ru/item/3199-sorochka-s-azhurnjm-lifom/","3199")</f>
      </c>
      <c r="B4749" s="8" t="s">
        <v>4532</v>
      </c>
      <c r="C4749" s="9">
        <v>1598</v>
      </c>
      <c r="D4749" s="0">
        <v>2</v>
      </c>
      <c r="E4749" s="10">
        <f>HYPERLINK("http://www.lingerieopt.ru/images/original/a96bf736-1c85-46a9-aadc-18e066aca15d.jpg","Фото")</f>
      </c>
    </row>
    <row r="4750">
      <c r="A4750" s="7">
        <f>HYPERLINK("http://www.lingerieopt.ru/item/3199-sorochka-s-azhurnjm-lifom/","3199")</f>
      </c>
      <c r="B4750" s="8" t="s">
        <v>4533</v>
      </c>
      <c r="C4750" s="9">
        <v>1598</v>
      </c>
      <c r="D4750" s="0">
        <v>9</v>
      </c>
      <c r="E4750" s="10">
        <f>HYPERLINK("http://www.lingerieopt.ru/images/original/a96bf736-1c85-46a9-aadc-18e066aca15d.jpg","Фото")</f>
      </c>
    </row>
    <row r="4751">
      <c r="A4751" s="7">
        <f>HYPERLINK("http://www.lingerieopt.ru/item/3209-sorochka-savanna-s-kruzhevnoi-vstavkoi-na-zhivote/","3209")</f>
      </c>
      <c r="B4751" s="8" t="s">
        <v>4534</v>
      </c>
      <c r="C4751" s="9">
        <v>1300</v>
      </c>
      <c r="D4751" s="0">
        <v>3</v>
      </c>
      <c r="E4751" s="10">
        <f>HYPERLINK("http://www.lingerieopt.ru/images/original/2205f666-f9cc-4c60-99ed-74dffd6da8ad.jpg","Фото")</f>
      </c>
    </row>
    <row r="4752">
      <c r="A4752" s="7">
        <f>HYPERLINK("http://www.lingerieopt.ru/item/3285-sorochka-nadin-s-zavyazkami-pod-grudyu/","3285")</f>
      </c>
      <c r="B4752" s="8" t="s">
        <v>4535</v>
      </c>
      <c r="C4752" s="9">
        <v>1393</v>
      </c>
      <c r="D4752" s="0">
        <v>2</v>
      </c>
      <c r="E4752" s="10">
        <f>HYPERLINK("http://www.lingerieopt.ru/images/original/2c20099c-df45-4938-b270-ec33a443ef5f.jpg","Фото")</f>
      </c>
    </row>
    <row r="4753">
      <c r="A4753" s="7">
        <f>HYPERLINK("http://www.lingerieopt.ru/item/3285-sorochka-nadin-s-zavyazkami-pod-grudyu/","3285")</f>
      </c>
      <c r="B4753" s="8" t="s">
        <v>4536</v>
      </c>
      <c r="C4753" s="9">
        <v>1393</v>
      </c>
      <c r="D4753" s="0">
        <v>2</v>
      </c>
      <c r="E4753" s="10">
        <f>HYPERLINK("http://www.lingerieopt.ru/images/original/2c20099c-df45-4938-b270-ec33a443ef5f.jpg","Фото")</f>
      </c>
    </row>
    <row r="4754">
      <c r="A4754" s="7">
        <f>HYPERLINK("http://www.lingerieopt.ru/item/3285-sorochka-nadin-s-zavyazkami-pod-grudyu/","3285")</f>
      </c>
      <c r="B4754" s="8" t="s">
        <v>4537</v>
      </c>
      <c r="C4754" s="9">
        <v>1393</v>
      </c>
      <c r="D4754" s="0">
        <v>3</v>
      </c>
      <c r="E4754" s="10">
        <f>HYPERLINK("http://www.lingerieopt.ru/images/original/2c20099c-df45-4938-b270-ec33a443ef5f.jpg","Фото")</f>
      </c>
    </row>
    <row r="4755">
      <c r="A4755" s="7">
        <f>HYPERLINK("http://www.lingerieopt.ru/item/3285-sorochka-nadin-s-zavyazkami-pod-grudyu/","3285")</f>
      </c>
      <c r="B4755" s="8" t="s">
        <v>4538</v>
      </c>
      <c r="C4755" s="9">
        <v>1393</v>
      </c>
      <c r="D4755" s="0">
        <v>5</v>
      </c>
      <c r="E4755" s="10">
        <f>HYPERLINK("http://www.lingerieopt.ru/images/original/2c20099c-df45-4938-b270-ec33a443ef5f.jpg","Фото")</f>
      </c>
    </row>
    <row r="4756">
      <c r="A4756" s="7">
        <f>HYPERLINK("http://www.lingerieopt.ru/item/3285-sorochka-nadin-s-zavyazkami-pod-grudyu/","3285")</f>
      </c>
      <c r="B4756" s="8" t="s">
        <v>4539</v>
      </c>
      <c r="C4756" s="9">
        <v>1393</v>
      </c>
      <c r="D4756" s="0">
        <v>6</v>
      </c>
      <c r="E4756" s="10">
        <f>HYPERLINK("http://www.lingerieopt.ru/images/original/2c20099c-df45-4938-b270-ec33a443ef5f.jpg","Фото")</f>
      </c>
    </row>
    <row r="4757">
      <c r="A4757" s="7">
        <f>HYPERLINK("http://www.lingerieopt.ru/item/3285-sorochka-nadin-s-zavyazkami-pod-grudyu/","3285")</f>
      </c>
      <c r="B4757" s="8" t="s">
        <v>4540</v>
      </c>
      <c r="C4757" s="9">
        <v>1393</v>
      </c>
      <c r="D4757" s="0">
        <v>6</v>
      </c>
      <c r="E4757" s="10">
        <f>HYPERLINK("http://www.lingerieopt.ru/images/original/2c20099c-df45-4938-b270-ec33a443ef5f.jpg","Фото")</f>
      </c>
    </row>
    <row r="4758">
      <c r="A4758" s="7">
        <f>HYPERLINK("http://www.lingerieopt.ru/item/3285-sorochka-nadin-s-zavyazkami-pod-grudyu/","3285")</f>
      </c>
      <c r="B4758" s="8" t="s">
        <v>4541</v>
      </c>
      <c r="C4758" s="9">
        <v>1393</v>
      </c>
      <c r="D4758" s="0">
        <v>2</v>
      </c>
      <c r="E4758" s="10">
        <f>HYPERLINK("http://www.lingerieopt.ru/images/original/2c20099c-df45-4938-b270-ec33a443ef5f.jpg","Фото")</f>
      </c>
    </row>
    <row r="4759">
      <c r="A4759" s="7">
        <f>HYPERLINK("http://www.lingerieopt.ru/item/3285-sorochka-nadin-s-zavyazkami-pod-grudyu/","3285")</f>
      </c>
      <c r="B4759" s="8" t="s">
        <v>4542</v>
      </c>
      <c r="C4759" s="9">
        <v>1393</v>
      </c>
      <c r="D4759" s="0">
        <v>1</v>
      </c>
      <c r="E4759" s="10">
        <f>HYPERLINK("http://www.lingerieopt.ru/images/original/2c20099c-df45-4938-b270-ec33a443ef5f.jpg","Фото")</f>
      </c>
    </row>
    <row r="4760">
      <c r="A4760" s="7">
        <f>HYPERLINK("http://www.lingerieopt.ru/item/3285-sorochka-nadin-s-zavyazkami-pod-grudyu/","3285")</f>
      </c>
      <c r="B4760" s="8" t="s">
        <v>4543</v>
      </c>
      <c r="C4760" s="9">
        <v>1393</v>
      </c>
      <c r="D4760" s="0">
        <v>1</v>
      </c>
      <c r="E4760" s="10">
        <f>HYPERLINK("http://www.lingerieopt.ru/images/original/2c20099c-df45-4938-b270-ec33a443ef5f.jpg","Фото")</f>
      </c>
    </row>
    <row r="4761">
      <c r="A4761" s="7">
        <f>HYPERLINK("http://www.lingerieopt.ru/item/3355-oblegayuschaya-sorochka-s-azhurnjmi-vstavkami-karen/","3355")</f>
      </c>
      <c r="B4761" s="8" t="s">
        <v>4544</v>
      </c>
      <c r="C4761" s="9">
        <v>1226</v>
      </c>
      <c r="D4761" s="0">
        <v>4</v>
      </c>
      <c r="E4761" s="10">
        <f>HYPERLINK("http://www.lingerieopt.ru/images/original/4ab6fa2f-358e-4fcf-9670-dae97756452a.jpg","Фото")</f>
      </c>
    </row>
    <row r="4762">
      <c r="A4762" s="7">
        <f>HYPERLINK("http://www.lingerieopt.ru/item/3355-oblegayuschaya-sorochka-s-azhurnjmi-vstavkami-karen/","3355")</f>
      </c>
      <c r="B4762" s="8" t="s">
        <v>4545</v>
      </c>
      <c r="C4762" s="9">
        <v>1226</v>
      </c>
      <c r="D4762" s="0">
        <v>4</v>
      </c>
      <c r="E4762" s="10">
        <f>HYPERLINK("http://www.lingerieopt.ru/images/original/4ab6fa2f-358e-4fcf-9670-dae97756452a.jpg","Фото")</f>
      </c>
    </row>
    <row r="4763">
      <c r="A4763" s="7">
        <f>HYPERLINK("http://www.lingerieopt.ru/item/3419-krasivaya-sorochka-bebi-doll-s-kruzhevnjm-lifom-imperia/","3419")</f>
      </c>
      <c r="B4763" s="8" t="s">
        <v>4546</v>
      </c>
      <c r="C4763" s="9">
        <v>1472</v>
      </c>
      <c r="D4763" s="0">
        <v>9</v>
      </c>
      <c r="E4763" s="10">
        <f>HYPERLINK("http://www.lingerieopt.ru/images/original/c8577ea8-7e4d-4228-9187-4b7cc12e4525.jpg","Фото")</f>
      </c>
    </row>
    <row r="4764">
      <c r="A4764" s="7">
        <f>HYPERLINK("http://www.lingerieopt.ru/item/3419-krasivaya-sorochka-bebi-doll-s-kruzhevnjm-lifom-imperia/","3419")</f>
      </c>
      <c r="B4764" s="8" t="s">
        <v>4547</v>
      </c>
      <c r="C4764" s="9">
        <v>1472</v>
      </c>
      <c r="D4764" s="0">
        <v>0</v>
      </c>
      <c r="E4764" s="10">
        <f>HYPERLINK("http://www.lingerieopt.ru/images/original/c8577ea8-7e4d-4228-9187-4b7cc12e4525.jpg","Фото")</f>
      </c>
    </row>
    <row r="4765">
      <c r="A4765" s="7">
        <f>HYPERLINK("http://www.lingerieopt.ru/item/3482-sorochka-bebi-doll-s-lifom-v-goroshek/","3482")</f>
      </c>
      <c r="B4765" s="8" t="s">
        <v>4548</v>
      </c>
      <c r="C4765" s="9">
        <v>1402</v>
      </c>
      <c r="D4765" s="0">
        <v>3</v>
      </c>
      <c r="E4765" s="10">
        <f>HYPERLINK("http://www.lingerieopt.ru/images/original/4a06e58a-618b-4971-ae17-f587cbf220f3.jpg","Фото")</f>
      </c>
    </row>
    <row r="4766">
      <c r="A4766" s="7">
        <f>HYPERLINK("http://www.lingerieopt.ru/item/3482-sorochka-bebi-doll-s-lifom-v-goroshek/","3482")</f>
      </c>
      <c r="B4766" s="8" t="s">
        <v>4549</v>
      </c>
      <c r="C4766" s="9">
        <v>1402</v>
      </c>
      <c r="D4766" s="0">
        <v>0</v>
      </c>
      <c r="E4766" s="10">
        <f>HYPERLINK("http://www.lingerieopt.ru/images/original/4a06e58a-618b-4971-ae17-f587cbf220f3.jpg","Фото")</f>
      </c>
    </row>
    <row r="4767">
      <c r="A4767" s="7">
        <f>HYPERLINK("http://www.lingerieopt.ru/item/3498-sorochka-bebi-doll-s-lifom-push-up/","3498")</f>
      </c>
      <c r="B4767" s="8" t="s">
        <v>4550</v>
      </c>
      <c r="C4767" s="9">
        <v>1485</v>
      </c>
      <c r="D4767" s="0">
        <v>30</v>
      </c>
      <c r="E4767" s="10">
        <f>HYPERLINK("http://www.lingerieopt.ru/images/original/81996f75-1c44-48c1-a3e4-05f0758709a8.jpg","Фото")</f>
      </c>
    </row>
    <row r="4768">
      <c r="A4768" s="7">
        <f>HYPERLINK("http://www.lingerieopt.ru/item/3498-sorochka-bebi-doll-s-lifom-push-up/","3498")</f>
      </c>
      <c r="B4768" s="8" t="s">
        <v>4551</v>
      </c>
      <c r="C4768" s="9">
        <v>1485</v>
      </c>
      <c r="D4768" s="0">
        <v>6</v>
      </c>
      <c r="E4768" s="10">
        <f>HYPERLINK("http://www.lingerieopt.ru/images/original/81996f75-1c44-48c1-a3e4-05f0758709a8.jpg","Фото")</f>
      </c>
    </row>
    <row r="4769">
      <c r="A4769" s="7">
        <f>HYPERLINK("http://www.lingerieopt.ru/item/3573-sorochka-s-ryushami/","3573")</f>
      </c>
      <c r="B4769" s="8" t="s">
        <v>4552</v>
      </c>
      <c r="C4769" s="9">
        <v>720</v>
      </c>
      <c r="D4769" s="0">
        <v>0</v>
      </c>
      <c r="E4769" s="10">
        <f>HYPERLINK("http://www.lingerieopt.ru/images/original/b9e5a5a3-c742-46f4-a6a7-f84a29765dd4.jpg","Фото")</f>
      </c>
    </row>
    <row r="4770">
      <c r="A4770" s="7">
        <f>HYPERLINK("http://www.lingerieopt.ru/item/3573-sorochka-s-ryushami/","3573")</f>
      </c>
      <c r="B4770" s="8" t="s">
        <v>4553</v>
      </c>
      <c r="C4770" s="9">
        <v>720</v>
      </c>
      <c r="D4770" s="0">
        <v>1</v>
      </c>
      <c r="E4770" s="10">
        <f>HYPERLINK("http://www.lingerieopt.ru/images/original/b9e5a5a3-c742-46f4-a6a7-f84a29765dd4.jpg","Фото")</f>
      </c>
    </row>
    <row r="4771">
      <c r="A4771" s="7">
        <f>HYPERLINK("http://www.lingerieopt.ru/item/3578-sorochka-so-shnurovkoi-na-grudi/","3578")</f>
      </c>
      <c r="B4771" s="8" t="s">
        <v>4554</v>
      </c>
      <c r="C4771" s="9">
        <v>1505</v>
      </c>
      <c r="D4771" s="0">
        <v>30</v>
      </c>
      <c r="E4771" s="10">
        <f>HYPERLINK("http://www.lingerieopt.ru/images/original/e4a62aa7-0f9e-4a83-93df-5abb18f64994.jpg","Фото")</f>
      </c>
    </row>
    <row r="4772">
      <c r="A4772" s="7">
        <f>HYPERLINK("http://www.lingerieopt.ru/item/3685-korotkaya-setchataya-mini-sorochka-s-otkrjtoi-spinoi/","3685")</f>
      </c>
      <c r="B4772" s="8" t="s">
        <v>4555</v>
      </c>
      <c r="C4772" s="9">
        <v>750</v>
      </c>
      <c r="D4772" s="0">
        <v>6</v>
      </c>
      <c r="E4772" s="10">
        <f>HYPERLINK("http://www.lingerieopt.ru/images/original/ea1eed30-4f42-495c-92ba-c3978b8d8192.jpg","Фото")</f>
      </c>
    </row>
    <row r="4773">
      <c r="A4773" s="7">
        <f>HYPERLINK("http://www.lingerieopt.ru/item/3747-sorochka-v-setku-s-azhurnjm-verhom/","3747")</f>
      </c>
      <c r="B4773" s="8" t="s">
        <v>4556</v>
      </c>
      <c r="C4773" s="9">
        <v>780</v>
      </c>
      <c r="D4773" s="0">
        <v>1</v>
      </c>
      <c r="E4773" s="10">
        <f>HYPERLINK("http://www.lingerieopt.ru/images/original/e1299282-9906-4f83-9d25-93a9d7dce2b2.jpg","Фото")</f>
      </c>
    </row>
    <row r="4774">
      <c r="A4774" s="7">
        <f>HYPERLINK("http://www.lingerieopt.ru/item/3928-setchataya-sorochka-s-neprozrachnoi-krasnoi-vstavkoi/","3928")</f>
      </c>
      <c r="B4774" s="8" t="s">
        <v>4557</v>
      </c>
      <c r="C4774" s="9">
        <v>1446</v>
      </c>
      <c r="D4774" s="0">
        <v>30</v>
      </c>
      <c r="E4774" s="10">
        <f>HYPERLINK("http://www.lingerieopt.ru/images/original/1751e6ca-0fd5-43a2-b311-60f63085e961.jpg","Фото")</f>
      </c>
    </row>
    <row r="4775">
      <c r="A4775" s="7">
        <f>HYPERLINK("http://www.lingerieopt.ru/item/3928-setchataya-sorochka-s-neprozrachnoi-krasnoi-vstavkoi/","3928")</f>
      </c>
      <c r="B4775" s="8" t="s">
        <v>4558</v>
      </c>
      <c r="C4775" s="9">
        <v>1446</v>
      </c>
      <c r="D4775" s="0">
        <v>30</v>
      </c>
      <c r="E4775" s="10">
        <f>HYPERLINK("http://www.lingerieopt.ru/images/original/1751e6ca-0fd5-43a2-b311-60f63085e961.jpg","Фото")</f>
      </c>
    </row>
    <row r="4776">
      <c r="A4776" s="7">
        <f>HYPERLINK("http://www.lingerieopt.ru/item/3934-poluprozrachnaya-sorochka-bisquella-s-azhurnjm-podolom/","3934")</f>
      </c>
      <c r="B4776" s="8" t="s">
        <v>4559</v>
      </c>
      <c r="C4776" s="9">
        <v>1866</v>
      </c>
      <c r="D4776" s="0">
        <v>2</v>
      </c>
      <c r="E4776" s="10">
        <f>HYPERLINK("http://www.lingerieopt.ru/images/original/53a926f1-4966-49b0-96c2-f5d1b80f1ebc.jpg","Фото")</f>
      </c>
    </row>
    <row r="4777">
      <c r="A4777" s="7">
        <f>HYPERLINK("http://www.lingerieopt.ru/item/3934-poluprozrachnaya-sorochka-bisquella-s-azhurnjm-podolom/","3934")</f>
      </c>
      <c r="B4777" s="8" t="s">
        <v>4560</v>
      </c>
      <c r="C4777" s="9">
        <v>1866</v>
      </c>
      <c r="D4777" s="0">
        <v>1</v>
      </c>
      <c r="E4777" s="10">
        <f>HYPERLINK("http://www.lingerieopt.ru/images/original/53a926f1-4966-49b0-96c2-f5d1b80f1ebc.jpg","Фото")</f>
      </c>
    </row>
    <row r="4778">
      <c r="A4778" s="7">
        <f>HYPERLINK("http://www.lingerieopt.ru/item/3934-poluprozrachnaya-sorochka-bisquella-s-azhurnjm-podolom/","3934")</f>
      </c>
      <c r="B4778" s="8" t="s">
        <v>4561</v>
      </c>
      <c r="C4778" s="9">
        <v>1866</v>
      </c>
      <c r="D4778" s="0">
        <v>1</v>
      </c>
      <c r="E4778" s="10">
        <f>HYPERLINK("http://www.lingerieopt.ru/images/original/53a926f1-4966-49b0-96c2-f5d1b80f1ebc.jpg","Фото")</f>
      </c>
    </row>
    <row r="4779">
      <c r="A4779" s="7">
        <f>HYPERLINK("http://www.lingerieopt.ru/item/3934-poluprozrachnaya-sorochka-bisquella-s-azhurnjm-podolom/","3934")</f>
      </c>
      <c r="B4779" s="8" t="s">
        <v>4562</v>
      </c>
      <c r="C4779" s="9">
        <v>1866</v>
      </c>
      <c r="D4779" s="0">
        <v>1</v>
      </c>
      <c r="E4779" s="10">
        <f>HYPERLINK("http://www.lingerieopt.ru/images/original/53a926f1-4966-49b0-96c2-f5d1b80f1ebc.jpg","Фото")</f>
      </c>
    </row>
    <row r="4780">
      <c r="A4780" s="7">
        <f>HYPERLINK("http://www.lingerieopt.ru/item/4003-oblegayuschaya-elastichnaya-sorochka-s-razrezami-na-chashechkah/","4003")</f>
      </c>
      <c r="B4780" s="8" t="s">
        <v>4563</v>
      </c>
      <c r="C4780" s="9">
        <v>1666</v>
      </c>
      <c r="D4780" s="0">
        <v>1</v>
      </c>
      <c r="E4780" s="10">
        <f>HYPERLINK("http://www.lingerieopt.ru/images/original/e0e3dca2-2d9b-45f4-828f-b179a9179a27.jpg","Фото")</f>
      </c>
    </row>
    <row r="4781">
      <c r="A4781" s="7">
        <f>HYPERLINK("http://www.lingerieopt.ru/item/4003-oblegayuschaya-elastichnaya-sorochka-s-razrezami-na-chashechkah/","4003")</f>
      </c>
      <c r="B4781" s="8" t="s">
        <v>4564</v>
      </c>
      <c r="C4781" s="9">
        <v>1666</v>
      </c>
      <c r="D4781" s="0">
        <v>30</v>
      </c>
      <c r="E4781" s="10">
        <f>HYPERLINK("http://www.lingerieopt.ru/images/original/e0e3dca2-2d9b-45f4-828f-b179a9179a27.jpg","Фото")</f>
      </c>
    </row>
    <row r="4782">
      <c r="A4782" s="7">
        <f>HYPERLINK("http://www.lingerieopt.ru/item/4003-oblegayuschaya-elastichnaya-sorochka-s-razrezami-na-chashechkah/","4003")</f>
      </c>
      <c r="B4782" s="8" t="s">
        <v>4565</v>
      </c>
      <c r="C4782" s="9">
        <v>1666</v>
      </c>
      <c r="D4782" s="0">
        <v>6</v>
      </c>
      <c r="E4782" s="10">
        <f>HYPERLINK("http://www.lingerieopt.ru/images/original/e0e3dca2-2d9b-45f4-828f-b179a9179a27.jpg","Фото")</f>
      </c>
    </row>
    <row r="4783">
      <c r="A4783" s="7">
        <f>HYPERLINK("http://www.lingerieopt.ru/item/4013-dlinnji-penyuar-secret-affair-s-vjsokim-bokovjm-razrezom/","4013")</f>
      </c>
      <c r="B4783" s="8" t="s">
        <v>4566</v>
      </c>
      <c r="C4783" s="9">
        <v>3249</v>
      </c>
      <c r="D4783" s="0">
        <v>0</v>
      </c>
      <c r="E4783" s="10">
        <f>HYPERLINK("http://www.lingerieopt.ru/images/original/c9dfcf59-17d3-4fde-a5ce-1df9c29220b5.jpg","Фото")</f>
      </c>
    </row>
    <row r="4784">
      <c r="A4784" s="7">
        <f>HYPERLINK("http://www.lingerieopt.ru/item/4013-dlinnji-penyuar-secret-affair-s-vjsokim-bokovjm-razrezom/","4013")</f>
      </c>
      <c r="B4784" s="8" t="s">
        <v>4567</v>
      </c>
      <c r="C4784" s="9">
        <v>3249</v>
      </c>
      <c r="D4784" s="0">
        <v>1</v>
      </c>
      <c r="E4784" s="10">
        <f>HYPERLINK("http://www.lingerieopt.ru/images/original/c9dfcf59-17d3-4fde-a5ce-1df9c29220b5.jpg","Фото")</f>
      </c>
    </row>
    <row r="4785">
      <c r="A4785" s="7">
        <f>HYPERLINK("http://www.lingerieopt.ru/item/4018-besshovnaya-sorochka-s-vjrezami-v-stile-bandazh/","4018")</f>
      </c>
      <c r="B4785" s="8" t="s">
        <v>4568</v>
      </c>
      <c r="C4785" s="9">
        <v>2275</v>
      </c>
      <c r="D4785" s="0">
        <v>0</v>
      </c>
      <c r="E4785" s="10">
        <f>HYPERLINK("http://www.lingerieopt.ru/images/original/fbf9d13c-0144-4254-80e1-bb5282ddad3a.jpg","Фото")</f>
      </c>
    </row>
    <row r="4786">
      <c r="A4786" s="7">
        <f>HYPERLINK("http://www.lingerieopt.ru/item/4018-besshovnaya-sorochka-s-vjrezami-v-stile-bandazh/","4018")</f>
      </c>
      <c r="B4786" s="8" t="s">
        <v>4569</v>
      </c>
      <c r="C4786" s="9">
        <v>2275</v>
      </c>
      <c r="D4786" s="0">
        <v>0</v>
      </c>
      <c r="E4786" s="10">
        <f>HYPERLINK("http://www.lingerieopt.ru/images/original/fbf9d13c-0144-4254-80e1-bb5282ddad3a.jpg","Фото")</f>
      </c>
    </row>
    <row r="4787">
      <c r="A4787" s="7">
        <f>HYPERLINK("http://www.lingerieopt.ru/item/4018-besshovnaya-sorochka-s-vjrezami-v-stile-bandazh/","4018")</f>
      </c>
      <c r="B4787" s="8" t="s">
        <v>4570</v>
      </c>
      <c r="C4787" s="9">
        <v>2275</v>
      </c>
      <c r="D4787" s="0">
        <v>6</v>
      </c>
      <c r="E4787" s="10">
        <f>HYPERLINK("http://www.lingerieopt.ru/images/original/fbf9d13c-0144-4254-80e1-bb5282ddad3a.jpg","Фото")</f>
      </c>
    </row>
    <row r="4788">
      <c r="A4788" s="7">
        <f>HYPERLINK("http://www.lingerieopt.ru/item/4068-sorochka-s-patternjm-risunkom/","4068")</f>
      </c>
      <c r="B4788" s="8" t="s">
        <v>4571</v>
      </c>
      <c r="C4788" s="9">
        <v>1949</v>
      </c>
      <c r="D4788" s="0">
        <v>30</v>
      </c>
      <c r="E4788" s="10">
        <f>HYPERLINK("http://www.lingerieopt.ru/images/original/1de68c60-8c14-44b4-9324-923a308f3762.jpg","Фото")</f>
      </c>
    </row>
    <row r="4789">
      <c r="A4789" s="7">
        <f>HYPERLINK("http://www.lingerieopt.ru/item/4080-sorochka-iz-blestyaschego-satina-na-odnoi-lyamke/","4080")</f>
      </c>
      <c r="B4789" s="8" t="s">
        <v>4572</v>
      </c>
      <c r="C4789" s="9">
        <v>2111</v>
      </c>
      <c r="D4789" s="0">
        <v>1</v>
      </c>
      <c r="E4789" s="10">
        <f>HYPERLINK("http://www.lingerieopt.ru/images/original/fbc00b2c-3c88-4240-80f8-9d8d2e370c2d.jpg","Фото")</f>
      </c>
    </row>
    <row r="4790">
      <c r="A4790" s="7">
        <f>HYPERLINK("http://www.lingerieopt.ru/item/4116-neglizhe-s-serebristoi-vstavkoi/","4116")</f>
      </c>
      <c r="B4790" s="8" t="s">
        <v>4573</v>
      </c>
      <c r="C4790" s="9">
        <v>1787</v>
      </c>
      <c r="D4790" s="0">
        <v>30</v>
      </c>
      <c r="E4790" s="10">
        <f>HYPERLINK("http://www.lingerieopt.ru/images/original/67e3e950-a4a8-4fa2-b78e-a0be6a729a6f.jpg","Фото")</f>
      </c>
    </row>
    <row r="4791">
      <c r="A4791" s="7">
        <f>HYPERLINK("http://www.lingerieopt.ru/item/4126-legkaya-sorochka-so-strazami/","4126")</f>
      </c>
      <c r="B4791" s="8" t="s">
        <v>4574</v>
      </c>
      <c r="C4791" s="9">
        <v>1949</v>
      </c>
      <c r="D4791" s="0">
        <v>1</v>
      </c>
      <c r="E4791" s="10">
        <f>HYPERLINK("http://www.lingerieopt.ru/images/original/05c99c66-8031-4265-bc66-86b23cb16656.jpg","Фото")</f>
      </c>
    </row>
    <row r="4792">
      <c r="A4792" s="7">
        <f>HYPERLINK("http://www.lingerieopt.ru/item/4131-pizhamnji-komplekt-iz-maechki-i-shortikov/","4131")</f>
      </c>
      <c r="B4792" s="8" t="s">
        <v>1575</v>
      </c>
      <c r="C4792" s="9">
        <v>2275</v>
      </c>
      <c r="D4792" s="0">
        <v>0</v>
      </c>
      <c r="E4792" s="10">
        <f>HYPERLINK("http://www.lingerieopt.ru/images/original/a368e8d7-9e90-40df-8c30-20d181d63fe5.jpg","Фото")</f>
      </c>
    </row>
    <row r="4793">
      <c r="A4793" s="7">
        <f>HYPERLINK("http://www.lingerieopt.ru/item/4131-pizhamnji-komplekt-iz-maechki-i-shortikov/","4131")</f>
      </c>
      <c r="B4793" s="8" t="s">
        <v>1574</v>
      </c>
      <c r="C4793" s="9">
        <v>2275</v>
      </c>
      <c r="D4793" s="0">
        <v>0</v>
      </c>
      <c r="E4793" s="10">
        <f>HYPERLINK("http://www.lingerieopt.ru/images/original/a368e8d7-9e90-40df-8c30-20d181d63fe5.jpg","Фото")</f>
      </c>
    </row>
    <row r="4794">
      <c r="A4794" s="7">
        <f>HYPERLINK("http://www.lingerieopt.ru/item/4131-pizhamnji-komplekt-iz-maechki-i-shortikov/","4131")</f>
      </c>
      <c r="B4794" s="8" t="s">
        <v>1572</v>
      </c>
      <c r="C4794" s="9">
        <v>2275</v>
      </c>
      <c r="D4794" s="0">
        <v>0</v>
      </c>
      <c r="E4794" s="10">
        <f>HYPERLINK("http://www.lingerieopt.ru/images/original/a368e8d7-9e90-40df-8c30-20d181d63fe5.jpg","Фото")</f>
      </c>
    </row>
    <row r="4795">
      <c r="A4795" s="7">
        <f>HYPERLINK("http://www.lingerieopt.ru/item/4131-pizhamnji-komplekt-iz-maechki-i-shortikov/","4131")</f>
      </c>
      <c r="B4795" s="8" t="s">
        <v>1571</v>
      </c>
      <c r="C4795" s="9">
        <v>2275</v>
      </c>
      <c r="D4795" s="0">
        <v>0</v>
      </c>
      <c r="E4795" s="10">
        <f>HYPERLINK("http://www.lingerieopt.ru/images/original/a368e8d7-9e90-40df-8c30-20d181d63fe5.jpg","Фото")</f>
      </c>
    </row>
    <row r="4796">
      <c r="A4796" s="7">
        <f>HYPERLINK("http://www.lingerieopt.ru/item/4131-pizhamnji-komplekt-iz-maechki-i-shortikov/","4131")</f>
      </c>
      <c r="B4796" s="8" t="s">
        <v>1573</v>
      </c>
      <c r="C4796" s="9">
        <v>2275</v>
      </c>
      <c r="D4796" s="0">
        <v>0</v>
      </c>
      <c r="E4796" s="10">
        <f>HYPERLINK("http://www.lingerieopt.ru/images/original/a368e8d7-9e90-40df-8c30-20d181d63fe5.jpg","Фото")</f>
      </c>
    </row>
    <row r="4797">
      <c r="A4797" s="7">
        <f>HYPERLINK("http://www.lingerieopt.ru/item/4131-pizhamnji-komplekt-iz-maechki-i-shortikov/","4131")</f>
      </c>
      <c r="B4797" s="8" t="s">
        <v>1585</v>
      </c>
      <c r="C4797" s="9">
        <v>2275</v>
      </c>
      <c r="D4797" s="0">
        <v>0</v>
      </c>
      <c r="E4797" s="10">
        <f>HYPERLINK("http://www.lingerieopt.ru/images/original/a368e8d7-9e90-40df-8c30-20d181d63fe5.jpg","Фото")</f>
      </c>
    </row>
    <row r="4798">
      <c r="A4798" s="7">
        <f>HYPERLINK("http://www.lingerieopt.ru/item/4131-pizhamnji-komplekt-iz-maechki-i-shortikov/","4131")</f>
      </c>
      <c r="B4798" s="8" t="s">
        <v>1584</v>
      </c>
      <c r="C4798" s="9">
        <v>2275</v>
      </c>
      <c r="D4798" s="0">
        <v>6</v>
      </c>
      <c r="E4798" s="10">
        <f>HYPERLINK("http://www.lingerieopt.ru/images/original/a368e8d7-9e90-40df-8c30-20d181d63fe5.jpg","Фото")</f>
      </c>
    </row>
    <row r="4799">
      <c r="A4799" s="7">
        <f>HYPERLINK("http://www.lingerieopt.ru/item/4131-pizhamnji-komplekt-iz-maechki-i-shortikov/","4131")</f>
      </c>
      <c r="B4799" s="8" t="s">
        <v>1581</v>
      </c>
      <c r="C4799" s="9">
        <v>2275</v>
      </c>
      <c r="D4799" s="0">
        <v>3</v>
      </c>
      <c r="E4799" s="10">
        <f>HYPERLINK("http://www.lingerieopt.ru/images/original/a368e8d7-9e90-40df-8c30-20d181d63fe5.jpg","Фото")</f>
      </c>
    </row>
    <row r="4800">
      <c r="A4800" s="7">
        <f>HYPERLINK("http://www.lingerieopt.ru/item/4131-pizhamnji-komplekt-iz-maechki-i-shortikov/","4131")</f>
      </c>
      <c r="B4800" s="8" t="s">
        <v>1583</v>
      </c>
      <c r="C4800" s="9">
        <v>2275</v>
      </c>
      <c r="D4800" s="0">
        <v>6</v>
      </c>
      <c r="E4800" s="10">
        <f>HYPERLINK("http://www.lingerieopt.ru/images/original/a368e8d7-9e90-40df-8c30-20d181d63fe5.jpg","Фото")</f>
      </c>
    </row>
    <row r="4801">
      <c r="A4801" s="7">
        <f>HYPERLINK("http://www.lingerieopt.ru/item/4131-pizhamnji-komplekt-iz-maechki-i-shortikov/","4131")</f>
      </c>
      <c r="B4801" s="8" t="s">
        <v>1582</v>
      </c>
      <c r="C4801" s="9">
        <v>2275</v>
      </c>
      <c r="D4801" s="0">
        <v>6</v>
      </c>
      <c r="E4801" s="10">
        <f>HYPERLINK("http://www.lingerieopt.ru/images/original/a368e8d7-9e90-40df-8c30-20d181d63fe5.jpg","Фото")</f>
      </c>
    </row>
    <row r="4802">
      <c r="A4802" s="7">
        <f>HYPERLINK("http://www.lingerieopt.ru/item/4131-pizhamnji-komplekt-iz-maechki-i-shortikov/","4131")</f>
      </c>
      <c r="B4802" s="8" t="s">
        <v>1580</v>
      </c>
      <c r="C4802" s="9">
        <v>2275</v>
      </c>
      <c r="D4802" s="0">
        <v>0</v>
      </c>
      <c r="E4802" s="10">
        <f>HYPERLINK("http://www.lingerieopt.ru/images/original/a368e8d7-9e90-40df-8c30-20d181d63fe5.jpg","Фото")</f>
      </c>
    </row>
    <row r="4803">
      <c r="A4803" s="7">
        <f>HYPERLINK("http://www.lingerieopt.ru/item/4131-pizhamnji-komplekt-iz-maechki-i-shortikov/","4131")</f>
      </c>
      <c r="B4803" s="8" t="s">
        <v>1576</v>
      </c>
      <c r="C4803" s="9">
        <v>2275</v>
      </c>
      <c r="D4803" s="0">
        <v>0</v>
      </c>
      <c r="E4803" s="10">
        <f>HYPERLINK("http://www.lingerieopt.ru/images/original/a368e8d7-9e90-40df-8c30-20d181d63fe5.jpg","Фото")</f>
      </c>
    </row>
    <row r="4804">
      <c r="A4804" s="7">
        <f>HYPERLINK("http://www.lingerieopt.ru/item/4131-pizhamnji-komplekt-iz-maechki-i-shortikov/","4131")</f>
      </c>
      <c r="B4804" s="8" t="s">
        <v>1577</v>
      </c>
      <c r="C4804" s="9">
        <v>2275</v>
      </c>
      <c r="D4804" s="0">
        <v>0</v>
      </c>
      <c r="E4804" s="10">
        <f>HYPERLINK("http://www.lingerieopt.ru/images/original/a368e8d7-9e90-40df-8c30-20d181d63fe5.jpg","Фото")</f>
      </c>
    </row>
    <row r="4805">
      <c r="A4805" s="7">
        <f>HYPERLINK("http://www.lingerieopt.ru/item/4131-pizhamnji-komplekt-iz-maechki-i-shortikov/","4131")</f>
      </c>
      <c r="B4805" s="8" t="s">
        <v>1578</v>
      </c>
      <c r="C4805" s="9">
        <v>2275</v>
      </c>
      <c r="D4805" s="0">
        <v>6</v>
      </c>
      <c r="E4805" s="10">
        <f>HYPERLINK("http://www.lingerieopt.ru/images/original/a368e8d7-9e90-40df-8c30-20d181d63fe5.jpg","Фото")</f>
      </c>
    </row>
    <row r="4806">
      <c r="A4806" s="7">
        <f>HYPERLINK("http://www.lingerieopt.ru/item/4131-pizhamnji-komplekt-iz-maechki-i-shortikov/","4131")</f>
      </c>
      <c r="B4806" s="8" t="s">
        <v>1579</v>
      </c>
      <c r="C4806" s="9">
        <v>2275</v>
      </c>
      <c r="D4806" s="0">
        <v>6</v>
      </c>
      <c r="E4806" s="10">
        <f>HYPERLINK("http://www.lingerieopt.ru/images/original/a368e8d7-9e90-40df-8c30-20d181d63fe5.jpg","Фото")</f>
      </c>
    </row>
    <row r="4807">
      <c r="A4807" s="7">
        <f>HYPERLINK("http://www.lingerieopt.ru/item/4133-sorochka-iz-blestyaschego-atlasa-s-kruzhevom/","4133")</f>
      </c>
      <c r="B4807" s="8" t="s">
        <v>4575</v>
      </c>
      <c r="C4807" s="9">
        <v>2275</v>
      </c>
      <c r="D4807" s="0">
        <v>0</v>
      </c>
      <c r="E4807" s="10">
        <f>HYPERLINK("http://www.lingerieopt.ru/images/original/0525853c-7a48-4385-bcea-95699bfba315.jpg","Фото")</f>
      </c>
    </row>
    <row r="4808">
      <c r="A4808" s="7">
        <f>HYPERLINK("http://www.lingerieopt.ru/item/4133-sorochka-iz-blestyaschego-atlasa-s-kruzhevom/","4133")</f>
      </c>
      <c r="B4808" s="8" t="s">
        <v>4576</v>
      </c>
      <c r="C4808" s="9">
        <v>2275</v>
      </c>
      <c r="D4808" s="0">
        <v>30</v>
      </c>
      <c r="E4808" s="10">
        <f>HYPERLINK("http://www.lingerieopt.ru/images/original/0525853c-7a48-4385-bcea-95699bfba315.jpg","Фото")</f>
      </c>
    </row>
    <row r="4809">
      <c r="A4809" s="7">
        <f>HYPERLINK("http://www.lingerieopt.ru/item/4133-sorochka-iz-blestyaschego-atlasa-s-kruzhevom/","4133")</f>
      </c>
      <c r="B4809" s="8" t="s">
        <v>4577</v>
      </c>
      <c r="C4809" s="9">
        <v>2275</v>
      </c>
      <c r="D4809" s="0">
        <v>6</v>
      </c>
      <c r="E4809" s="10">
        <f>HYPERLINK("http://www.lingerieopt.ru/images/original/0525853c-7a48-4385-bcea-95699bfba315.jpg","Фото")</f>
      </c>
    </row>
    <row r="4810">
      <c r="A4810" s="7">
        <f>HYPERLINK("http://www.lingerieopt.ru/item/4133-sorochka-iz-blestyaschego-atlasa-s-kruzhevom/","4133")</f>
      </c>
      <c r="B4810" s="8" t="s">
        <v>4578</v>
      </c>
      <c r="C4810" s="9">
        <v>2275</v>
      </c>
      <c r="D4810" s="0">
        <v>0</v>
      </c>
      <c r="E4810" s="10">
        <f>HYPERLINK("http://www.lingerieopt.ru/images/original/0525853c-7a48-4385-bcea-95699bfba315.jpg","Фото")</f>
      </c>
    </row>
    <row r="4811">
      <c r="A4811" s="7">
        <f>HYPERLINK("http://www.lingerieopt.ru/item/4133-sorochka-iz-blestyaschego-atlasa-s-kruzhevom/","4133")</f>
      </c>
      <c r="B4811" s="8" t="s">
        <v>4579</v>
      </c>
      <c r="C4811" s="9">
        <v>2275</v>
      </c>
      <c r="D4811" s="0">
        <v>6</v>
      </c>
      <c r="E4811" s="10">
        <f>HYPERLINK("http://www.lingerieopt.ru/images/original/0525853c-7a48-4385-bcea-95699bfba315.jpg","Фото")</f>
      </c>
    </row>
    <row r="4812">
      <c r="A4812" s="7">
        <f>HYPERLINK("http://www.lingerieopt.ru/item/4133-sorochka-iz-blestyaschego-atlasa-s-kruzhevom/","4133")</f>
      </c>
      <c r="B4812" s="8" t="s">
        <v>4580</v>
      </c>
      <c r="C4812" s="9">
        <v>2275</v>
      </c>
      <c r="D4812" s="0">
        <v>6</v>
      </c>
      <c r="E4812" s="10">
        <f>HYPERLINK("http://www.lingerieopt.ru/images/original/0525853c-7a48-4385-bcea-95699bfba315.jpg","Фото")</f>
      </c>
    </row>
    <row r="4813">
      <c r="A4813" s="7">
        <f>HYPERLINK("http://www.lingerieopt.ru/item/4133-sorochka-iz-blestyaschego-atlasa-s-kruzhevom/","4133")</f>
      </c>
      <c r="B4813" s="8" t="s">
        <v>4581</v>
      </c>
      <c r="C4813" s="9">
        <v>2275</v>
      </c>
      <c r="D4813" s="0">
        <v>0</v>
      </c>
      <c r="E4813" s="10">
        <f>HYPERLINK("http://www.lingerieopt.ru/images/original/0525853c-7a48-4385-bcea-95699bfba315.jpg","Фото")</f>
      </c>
    </row>
    <row r="4814">
      <c r="A4814" s="7">
        <f>HYPERLINK("http://www.lingerieopt.ru/item/4133-sorochka-iz-blestyaschego-atlasa-s-kruzhevom/","4133")</f>
      </c>
      <c r="B4814" s="8" t="s">
        <v>4582</v>
      </c>
      <c r="C4814" s="9">
        <v>2275</v>
      </c>
      <c r="D4814" s="0">
        <v>0</v>
      </c>
      <c r="E4814" s="10">
        <f>HYPERLINK("http://www.lingerieopt.ru/images/original/0525853c-7a48-4385-bcea-95699bfba315.jpg","Фото")</f>
      </c>
    </row>
    <row r="4815">
      <c r="A4815" s="7">
        <f>HYPERLINK("http://www.lingerieopt.ru/item/4133-sorochka-iz-blestyaschego-atlasa-s-kruzhevom/","4133")</f>
      </c>
      <c r="B4815" s="8" t="s">
        <v>4583</v>
      </c>
      <c r="C4815" s="9">
        <v>2275</v>
      </c>
      <c r="D4815" s="0">
        <v>30</v>
      </c>
      <c r="E4815" s="10">
        <f>HYPERLINK("http://www.lingerieopt.ru/images/original/0525853c-7a48-4385-bcea-95699bfba315.jpg","Фото")</f>
      </c>
    </row>
    <row r="4816">
      <c r="A4816" s="7">
        <f>HYPERLINK("http://www.lingerieopt.ru/item/4133-sorochka-iz-blestyaschego-atlasa-s-kruzhevom/","4133")</f>
      </c>
      <c r="B4816" s="8" t="s">
        <v>4584</v>
      </c>
      <c r="C4816" s="9">
        <v>2275</v>
      </c>
      <c r="D4816" s="0">
        <v>6</v>
      </c>
      <c r="E4816" s="10">
        <f>HYPERLINK("http://www.lingerieopt.ru/images/original/0525853c-7a48-4385-bcea-95699bfba315.jpg","Фото")</f>
      </c>
    </row>
    <row r="4817">
      <c r="A4817" s="7">
        <f>HYPERLINK("http://www.lingerieopt.ru/item/4133-sorochka-iz-blestyaschego-atlasa-s-kruzhevom/","4133")</f>
      </c>
      <c r="B4817" s="8" t="s">
        <v>4585</v>
      </c>
      <c r="C4817" s="9">
        <v>2275</v>
      </c>
      <c r="D4817" s="0">
        <v>0</v>
      </c>
      <c r="E4817" s="10">
        <f>HYPERLINK("http://www.lingerieopt.ru/images/original/0525853c-7a48-4385-bcea-95699bfba315.jpg","Фото")</f>
      </c>
    </row>
    <row r="4818">
      <c r="A4818" s="7">
        <f>HYPERLINK("http://www.lingerieopt.ru/item/4142-azhurnaya-sorochka-fartuchek/","4142")</f>
      </c>
      <c r="B4818" s="8" t="s">
        <v>4586</v>
      </c>
      <c r="C4818" s="9">
        <v>2111</v>
      </c>
      <c r="D4818" s="0">
        <v>6</v>
      </c>
      <c r="E4818" s="10">
        <f>HYPERLINK("http://www.lingerieopt.ru/images/original/d02f76eb-7000-4923-a5e4-869459344ce1.jpg","Фото")</f>
      </c>
    </row>
    <row r="4819">
      <c r="A4819" s="7">
        <f>HYPERLINK("http://www.lingerieopt.ru/item/4142-azhurnaya-sorochka-fartuchek/","4142")</f>
      </c>
      <c r="B4819" s="8" t="s">
        <v>4587</v>
      </c>
      <c r="C4819" s="9">
        <v>2111</v>
      </c>
      <c r="D4819" s="0">
        <v>30</v>
      </c>
      <c r="E4819" s="10">
        <f>HYPERLINK("http://www.lingerieopt.ru/images/original/d02f76eb-7000-4923-a5e4-869459344ce1.jpg","Фото")</f>
      </c>
    </row>
    <row r="4820">
      <c r="A4820" s="7">
        <f>HYPERLINK("http://www.lingerieopt.ru/item/4145-otkrovennaya-setchataya-sorochka/","4145")</f>
      </c>
      <c r="B4820" s="8" t="s">
        <v>4588</v>
      </c>
      <c r="C4820" s="9">
        <v>1653</v>
      </c>
      <c r="D4820" s="0">
        <v>0</v>
      </c>
      <c r="E4820" s="10">
        <f>HYPERLINK("http://www.lingerieopt.ru/images/original/908b2dca-de9b-4be4-b1ce-ef82bdaddb45.jpg","Фото")</f>
      </c>
    </row>
    <row r="4821">
      <c r="A4821" s="7">
        <f>HYPERLINK("http://www.lingerieopt.ru/item/4145-otkrovennaya-setchataya-sorochka/","4145")</f>
      </c>
      <c r="B4821" s="8" t="s">
        <v>4589</v>
      </c>
      <c r="C4821" s="9">
        <v>1653</v>
      </c>
      <c r="D4821" s="0">
        <v>30</v>
      </c>
      <c r="E4821" s="10">
        <f>HYPERLINK("http://www.lingerieopt.ru/images/original/908b2dca-de9b-4be4-b1ce-ef82bdaddb45.jpg","Фото")</f>
      </c>
    </row>
    <row r="4822">
      <c r="A4822" s="7">
        <f>HYPERLINK("http://www.lingerieopt.ru/item/4149-azhurnaya-sorochka-s-glubokim-dekolte/","4149")</f>
      </c>
      <c r="B4822" s="8" t="s">
        <v>4590</v>
      </c>
      <c r="C4822" s="9">
        <v>2111</v>
      </c>
      <c r="D4822" s="0">
        <v>0</v>
      </c>
      <c r="E4822" s="10">
        <f>HYPERLINK("http://www.lingerieopt.ru/images/original/06a9a627-7c67-48c2-ae6a-6f4087652716.jpg","Фото")</f>
      </c>
    </row>
    <row r="4823">
      <c r="A4823" s="7">
        <f>HYPERLINK("http://www.lingerieopt.ru/item/4149-azhurnaya-sorochka-s-glubokim-dekolte/","4149")</f>
      </c>
      <c r="B4823" s="8" t="s">
        <v>4591</v>
      </c>
      <c r="C4823" s="9">
        <v>2111</v>
      </c>
      <c r="D4823" s="0">
        <v>30</v>
      </c>
      <c r="E4823" s="10">
        <f>HYPERLINK("http://www.lingerieopt.ru/images/original/06a9a627-7c67-48c2-ae6a-6f4087652716.jpg","Фото")</f>
      </c>
    </row>
    <row r="4824">
      <c r="A4824" s="7">
        <f>HYPERLINK("http://www.lingerieopt.ru/item/4149-azhurnaya-sorochka-s-glubokim-dekolte/","4149")</f>
      </c>
      <c r="B4824" s="8" t="s">
        <v>4592</v>
      </c>
      <c r="C4824" s="9">
        <v>2111</v>
      </c>
      <c r="D4824" s="0">
        <v>30</v>
      </c>
      <c r="E4824" s="10">
        <f>HYPERLINK("http://www.lingerieopt.ru/images/original/06a9a627-7c67-48c2-ae6a-6f4087652716.jpg","Фото")</f>
      </c>
    </row>
    <row r="4825">
      <c r="A4825" s="7">
        <f>HYPERLINK("http://www.lingerieopt.ru/item/4159-legkaya-sorochka-s-kruzhevnjm-risunkom/","4159")</f>
      </c>
      <c r="B4825" s="8" t="s">
        <v>4593</v>
      </c>
      <c r="C4825" s="9">
        <v>1949</v>
      </c>
      <c r="D4825" s="0">
        <v>30</v>
      </c>
      <c r="E4825" s="10">
        <f>HYPERLINK("http://www.lingerieopt.ru/images/original/4a388b62-2bf7-4276-928e-ee6113381b77.jpg","Фото")</f>
      </c>
    </row>
    <row r="4826">
      <c r="A4826" s="7">
        <f>HYPERLINK("http://www.lingerieopt.ru/item/4163-vozdushnji-bebi-doll-iz-blestyaschego-atlasa/","4163")</f>
      </c>
      <c r="B4826" s="8" t="s">
        <v>4594</v>
      </c>
      <c r="C4826" s="9">
        <v>2437</v>
      </c>
      <c r="D4826" s="0">
        <v>6</v>
      </c>
      <c r="E4826" s="10">
        <f>HYPERLINK("http://www.lingerieopt.ru/images/original/c93a2c62-c909-45a3-8378-69fcd8968bef.jpg","Фото")</f>
      </c>
    </row>
    <row r="4827">
      <c r="A4827" s="7">
        <f>HYPERLINK("http://www.lingerieopt.ru/item/4163-vozdushnji-bebi-doll-iz-blestyaschego-atlasa/","4163")</f>
      </c>
      <c r="B4827" s="8" t="s">
        <v>4595</v>
      </c>
      <c r="C4827" s="9">
        <v>2437</v>
      </c>
      <c r="D4827" s="0">
        <v>6</v>
      </c>
      <c r="E4827" s="10">
        <f>HYPERLINK("http://www.lingerieopt.ru/images/original/c93a2c62-c909-45a3-8378-69fcd8968bef.jpg","Фото")</f>
      </c>
    </row>
    <row r="4828">
      <c r="A4828" s="7">
        <f>HYPERLINK("http://www.lingerieopt.ru/item/4163-vozdushnji-bebi-doll-iz-blestyaschego-atlasa/","4163")</f>
      </c>
      <c r="B4828" s="8" t="s">
        <v>4596</v>
      </c>
      <c r="C4828" s="9">
        <v>2437</v>
      </c>
      <c r="D4828" s="0">
        <v>6</v>
      </c>
      <c r="E4828" s="10">
        <f>HYPERLINK("http://www.lingerieopt.ru/images/original/c93a2c62-c909-45a3-8378-69fcd8968bef.jpg","Фото")</f>
      </c>
    </row>
    <row r="4829">
      <c r="A4829" s="7">
        <f>HYPERLINK("http://www.lingerieopt.ru/item/4163-vozdushnji-bebi-doll-iz-blestyaschego-atlasa/","4163")</f>
      </c>
      <c r="B4829" s="8" t="s">
        <v>4597</v>
      </c>
      <c r="C4829" s="9">
        <v>2437</v>
      </c>
      <c r="D4829" s="0">
        <v>0</v>
      </c>
      <c r="E4829" s="10">
        <f>HYPERLINK("http://www.lingerieopt.ru/images/original/c93a2c62-c909-45a3-8378-69fcd8968bef.jpg","Фото")</f>
      </c>
    </row>
    <row r="4830">
      <c r="A4830" s="7">
        <f>HYPERLINK("http://www.lingerieopt.ru/item/4163-vozdushnji-bebi-doll-iz-blestyaschego-atlasa/","4163")</f>
      </c>
      <c r="B4830" s="8" t="s">
        <v>4598</v>
      </c>
      <c r="C4830" s="9">
        <v>2437</v>
      </c>
      <c r="D4830" s="0">
        <v>0</v>
      </c>
      <c r="E4830" s="10">
        <f>HYPERLINK("http://www.lingerieopt.ru/images/original/c93a2c62-c909-45a3-8378-69fcd8968bef.jpg","Фото")</f>
      </c>
    </row>
    <row r="4831">
      <c r="A4831" s="7">
        <f>HYPERLINK("http://www.lingerieopt.ru/item/4163-vozdushnji-bebi-doll-iz-blestyaschego-atlasa/","4163")</f>
      </c>
      <c r="B4831" s="8" t="s">
        <v>4599</v>
      </c>
      <c r="C4831" s="9">
        <v>2437</v>
      </c>
      <c r="D4831" s="0">
        <v>0</v>
      </c>
      <c r="E4831" s="10">
        <f>HYPERLINK("http://www.lingerieopt.ru/images/original/c93a2c62-c909-45a3-8378-69fcd8968bef.jpg","Фото")</f>
      </c>
    </row>
    <row r="4832">
      <c r="A4832" s="7">
        <f>HYPERLINK("http://www.lingerieopt.ru/item/4163-vozdushnji-bebi-doll-iz-blestyaschego-atlasa/","4163")</f>
      </c>
      <c r="B4832" s="8" t="s">
        <v>4600</v>
      </c>
      <c r="C4832" s="9">
        <v>2437</v>
      </c>
      <c r="D4832" s="0">
        <v>0</v>
      </c>
      <c r="E4832" s="10">
        <f>HYPERLINK("http://www.lingerieopt.ru/images/original/c93a2c62-c909-45a3-8378-69fcd8968bef.jpg","Фото")</f>
      </c>
    </row>
    <row r="4833">
      <c r="A4833" s="7">
        <f>HYPERLINK("http://www.lingerieopt.ru/item/4164-obtyagivayuschaya-sorochka-na-tonkih-bretelyah/","4164")</f>
      </c>
      <c r="B4833" s="8" t="s">
        <v>4601</v>
      </c>
      <c r="C4833" s="9">
        <v>1949</v>
      </c>
      <c r="D4833" s="0">
        <v>30</v>
      </c>
      <c r="E4833" s="10">
        <f>HYPERLINK("http://www.lingerieopt.ru/images/original/a47c7f3d-9b58-4fad-8a60-034e14906117.jpg","Фото")</f>
      </c>
    </row>
    <row r="4834">
      <c r="A4834" s="7">
        <f>HYPERLINK("http://www.lingerieopt.ru/item/4169-legkaya-sorochka-so-strazami/","4169")</f>
      </c>
      <c r="B4834" s="8" t="s">
        <v>4602</v>
      </c>
      <c r="C4834" s="9">
        <v>2111</v>
      </c>
      <c r="D4834" s="0">
        <v>30</v>
      </c>
      <c r="E4834" s="10">
        <f>HYPERLINK("http://www.lingerieopt.ru/images/original/a4093540-6ce4-49b3-9395-688a2257957d.jpg","Фото")</f>
      </c>
    </row>
    <row r="4835">
      <c r="A4835" s="7">
        <f>HYPERLINK("http://www.lingerieopt.ru/item/4176-fartuk-v-melkii-goroshek/","4176")</f>
      </c>
      <c r="B4835" s="8" t="s">
        <v>4603</v>
      </c>
      <c r="C4835" s="9">
        <v>2275</v>
      </c>
      <c r="D4835" s="0">
        <v>30</v>
      </c>
      <c r="E4835" s="10">
        <f>HYPERLINK("http://www.lingerieopt.ru/images/original/f8f387cd-d452-4e7a-a30d-270e606acf25.jpg","Фото")</f>
      </c>
    </row>
    <row r="4836">
      <c r="A4836" s="7">
        <f>HYPERLINK("http://www.lingerieopt.ru/item/4177-neglizhe-s-serebristoi-vstavkoi/","4177")</f>
      </c>
      <c r="B4836" s="8" t="s">
        <v>4604</v>
      </c>
      <c r="C4836" s="9">
        <v>1949</v>
      </c>
      <c r="D4836" s="0">
        <v>30</v>
      </c>
      <c r="E4836" s="10">
        <f>HYPERLINK("http://www.lingerieopt.ru/images/original/796ed62b-1f83-4513-b16d-4200a31b2f86.jpg","Фото")</f>
      </c>
    </row>
    <row r="4837">
      <c r="A4837" s="7">
        <f>HYPERLINK("http://www.lingerieopt.ru/item/4188-bebi-doll-s-poluprozrachnjm-kruzhevom/","4188")</f>
      </c>
      <c r="B4837" s="8" t="s">
        <v>4605</v>
      </c>
      <c r="C4837" s="9">
        <v>3592</v>
      </c>
      <c r="D4837" s="0">
        <v>0</v>
      </c>
      <c r="E4837" s="10">
        <f>HYPERLINK("http://www.lingerieopt.ru/images/original/c6e3c111-53b9-477d-a32b-2fd9194170df.jpg","Фото")</f>
      </c>
    </row>
    <row r="4838">
      <c r="A4838" s="7">
        <f>HYPERLINK("http://www.lingerieopt.ru/item/4188-bebi-doll-s-poluprozrachnjm-kruzhevom/","4188")</f>
      </c>
      <c r="B4838" s="8" t="s">
        <v>4606</v>
      </c>
      <c r="C4838" s="9">
        <v>3592</v>
      </c>
      <c r="D4838" s="0">
        <v>6</v>
      </c>
      <c r="E4838" s="10">
        <f>HYPERLINK("http://www.lingerieopt.ru/images/original/c6e3c111-53b9-477d-a32b-2fd9194170df.jpg","Фото")</f>
      </c>
    </row>
    <row r="4839">
      <c r="A4839" s="7">
        <f>HYPERLINK("http://www.lingerieopt.ru/item/4188-bebi-doll-s-poluprozrachnjm-kruzhevom/","4188")</f>
      </c>
      <c r="B4839" s="8" t="s">
        <v>4607</v>
      </c>
      <c r="C4839" s="9">
        <v>3592</v>
      </c>
      <c r="D4839" s="0">
        <v>0</v>
      </c>
      <c r="E4839" s="10">
        <f>HYPERLINK("http://www.lingerieopt.ru/images/original/c6e3c111-53b9-477d-a32b-2fd9194170df.jpg","Фото")</f>
      </c>
    </row>
    <row r="4840">
      <c r="A4840" s="7">
        <f>HYPERLINK("http://www.lingerieopt.ru/item/4188-bebi-doll-s-poluprozrachnjm-kruzhevom/","4188")</f>
      </c>
      <c r="B4840" s="8" t="s">
        <v>4608</v>
      </c>
      <c r="C4840" s="9">
        <v>3592</v>
      </c>
      <c r="D4840" s="0">
        <v>3</v>
      </c>
      <c r="E4840" s="10">
        <f>HYPERLINK("http://www.lingerieopt.ru/images/original/c6e3c111-53b9-477d-a32b-2fd9194170df.jpg","Фото")</f>
      </c>
    </row>
    <row r="4841">
      <c r="A4841" s="7">
        <f>HYPERLINK("http://www.lingerieopt.ru/item/4199-bebi-doll-s-izumrudnjm-lifom/","4199")</f>
      </c>
      <c r="B4841" s="8" t="s">
        <v>4609</v>
      </c>
      <c r="C4841" s="9">
        <v>3249</v>
      </c>
      <c r="D4841" s="0">
        <v>0</v>
      </c>
      <c r="E4841" s="10">
        <f>HYPERLINK("http://www.lingerieopt.ru/images/original/d7f35a8c-8728-4acb-b3cb-ffb268fda8f2.jpg","Фото")</f>
      </c>
    </row>
    <row r="4842">
      <c r="A4842" s="7">
        <f>HYPERLINK("http://www.lingerieopt.ru/item/4199-bebi-doll-s-izumrudnjm-lifom/","4199")</f>
      </c>
      <c r="B4842" s="8" t="s">
        <v>4610</v>
      </c>
      <c r="C4842" s="9">
        <v>3249</v>
      </c>
      <c r="D4842" s="0">
        <v>6</v>
      </c>
      <c r="E4842" s="10">
        <f>HYPERLINK("http://www.lingerieopt.ru/images/original/d7f35a8c-8728-4acb-b3cb-ffb268fda8f2.jpg","Фото")</f>
      </c>
    </row>
    <row r="4843">
      <c r="A4843" s="7">
        <f>HYPERLINK("http://www.lingerieopt.ru/item/4199-bebi-doll-s-izumrudnjm-lifom/","4199")</f>
      </c>
      <c r="B4843" s="8" t="s">
        <v>4611</v>
      </c>
      <c r="C4843" s="9">
        <v>3249</v>
      </c>
      <c r="D4843" s="0">
        <v>0</v>
      </c>
      <c r="E4843" s="10">
        <f>HYPERLINK("http://www.lingerieopt.ru/images/original/d7f35a8c-8728-4acb-b3cb-ffb268fda8f2.jpg","Фото")</f>
      </c>
    </row>
    <row r="4844">
      <c r="A4844" s="7">
        <f>HYPERLINK("http://www.lingerieopt.ru/item/4199-bebi-doll-s-izumrudnjm-lifom/","4199")</f>
      </c>
      <c r="B4844" s="8" t="s">
        <v>4612</v>
      </c>
      <c r="C4844" s="9">
        <v>3249</v>
      </c>
      <c r="D4844" s="0">
        <v>1</v>
      </c>
      <c r="E4844" s="10">
        <f>HYPERLINK("http://www.lingerieopt.ru/images/original/d7f35a8c-8728-4acb-b3cb-ffb268fda8f2.jpg","Фото")</f>
      </c>
    </row>
    <row r="4845">
      <c r="A4845" s="7">
        <f>HYPERLINK("http://www.lingerieopt.ru/item/4204-poluprozrachnaya-sorochka-s-lifom-push-ap/","4204")</f>
      </c>
      <c r="B4845" s="8" t="s">
        <v>4613</v>
      </c>
      <c r="C4845" s="9">
        <v>2844</v>
      </c>
      <c r="D4845" s="0">
        <v>3</v>
      </c>
      <c r="E4845" s="10">
        <f>HYPERLINK("http://www.lingerieopt.ru/images/original/19a5f905-ffbd-4cbc-b2c1-599d815d9cff.jpg","Фото")</f>
      </c>
    </row>
    <row r="4846">
      <c r="A4846" s="7">
        <f>HYPERLINK("http://www.lingerieopt.ru/item/4204-poluprozrachnaya-sorochka-s-lifom-push-ap/","4204")</f>
      </c>
      <c r="B4846" s="8" t="s">
        <v>4614</v>
      </c>
      <c r="C4846" s="9">
        <v>2844</v>
      </c>
      <c r="D4846" s="0">
        <v>0</v>
      </c>
      <c r="E4846" s="10">
        <f>HYPERLINK("http://www.lingerieopt.ru/images/original/19a5f905-ffbd-4cbc-b2c1-599d815d9cff.jpg","Фото")</f>
      </c>
    </row>
    <row r="4847">
      <c r="A4847" s="7">
        <f>HYPERLINK("http://www.lingerieopt.ru/item/4204-poluprozrachnaya-sorochka-s-lifom-push-ap/","4204")</f>
      </c>
      <c r="B4847" s="8" t="s">
        <v>4615</v>
      </c>
      <c r="C4847" s="9">
        <v>2844</v>
      </c>
      <c r="D4847" s="0">
        <v>0</v>
      </c>
      <c r="E4847" s="10">
        <f>HYPERLINK("http://www.lingerieopt.ru/images/original/19a5f905-ffbd-4cbc-b2c1-599d815d9cff.jpg","Фото")</f>
      </c>
    </row>
    <row r="4848">
      <c r="A4848" s="7">
        <f>HYPERLINK("http://www.lingerieopt.ru/item/4204-poluprozrachnaya-sorochka-s-lifom-push-ap/","4204")</f>
      </c>
      <c r="B4848" s="8" t="s">
        <v>4616</v>
      </c>
      <c r="C4848" s="9">
        <v>2844</v>
      </c>
      <c r="D4848" s="0">
        <v>0</v>
      </c>
      <c r="E4848" s="10">
        <f>HYPERLINK("http://www.lingerieopt.ru/images/original/19a5f905-ffbd-4cbc-b2c1-599d815d9cff.jpg","Фото")</f>
      </c>
    </row>
    <row r="4849">
      <c r="A4849" s="7">
        <f>HYPERLINK("http://www.lingerieopt.ru/item/4215-krasivaya-sorochka-black-dot-so-vstavkoi-v-melkii-goroh/","4215")</f>
      </c>
      <c r="B4849" s="8" t="s">
        <v>4617</v>
      </c>
      <c r="C4849" s="9">
        <v>2923</v>
      </c>
      <c r="D4849" s="0">
        <v>0</v>
      </c>
      <c r="E4849" s="10">
        <f>HYPERLINK("http://www.lingerieopt.ru/images/original/73470eb0-6f68-4470-80ff-b02059257374.jpg","Фото")</f>
      </c>
    </row>
    <row r="4850">
      <c r="A4850" s="7">
        <f>HYPERLINK("http://www.lingerieopt.ru/item/4215-krasivaya-sorochka-black-dot-so-vstavkoi-v-melkii-goroh/","4215")</f>
      </c>
      <c r="B4850" s="8" t="s">
        <v>4618</v>
      </c>
      <c r="C4850" s="9">
        <v>2923</v>
      </c>
      <c r="D4850" s="0">
        <v>0</v>
      </c>
      <c r="E4850" s="10">
        <f>HYPERLINK("http://www.lingerieopt.ru/images/original/73470eb0-6f68-4470-80ff-b02059257374.jpg","Фото")</f>
      </c>
    </row>
    <row r="4851">
      <c r="A4851" s="7">
        <f>HYPERLINK("http://www.lingerieopt.ru/item/4215-krasivaya-sorochka-black-dot-so-vstavkoi-v-melkii-goroh/","4215")</f>
      </c>
      <c r="B4851" s="8" t="s">
        <v>4619</v>
      </c>
      <c r="C4851" s="9">
        <v>2923</v>
      </c>
      <c r="D4851" s="0">
        <v>1</v>
      </c>
      <c r="E4851" s="10">
        <f>HYPERLINK("http://www.lingerieopt.ru/images/original/73470eb0-6f68-4470-80ff-b02059257374.jpg","Фото")</f>
      </c>
    </row>
    <row r="4852">
      <c r="A4852" s="7">
        <f>HYPERLINK("http://www.lingerieopt.ru/item/4215-krasivaya-sorochka-black-dot-so-vstavkoi-v-melkii-goroh/","4215")</f>
      </c>
      <c r="B4852" s="8" t="s">
        <v>4620</v>
      </c>
      <c r="C4852" s="9">
        <v>2923</v>
      </c>
      <c r="D4852" s="0">
        <v>0</v>
      </c>
      <c r="E4852" s="10">
        <f>HYPERLINK("http://www.lingerieopt.ru/images/original/73470eb0-6f68-4470-80ff-b02059257374.jpg","Фото")</f>
      </c>
    </row>
    <row r="4853">
      <c r="A4853" s="7">
        <f>HYPERLINK("http://www.lingerieopt.ru/item/4227-bebi-doll-s-chernjm-kruzhevom/","4227")</f>
      </c>
      <c r="B4853" s="8" t="s">
        <v>4621</v>
      </c>
      <c r="C4853" s="9">
        <v>2274</v>
      </c>
      <c r="D4853" s="0">
        <v>1</v>
      </c>
      <c r="E4853" s="10">
        <f>HYPERLINK("http://www.lingerieopt.ru/images/original/028f7501-c81f-4886-b45e-ca62ba585fe9.jpg","Фото")</f>
      </c>
    </row>
    <row r="4854">
      <c r="A4854" s="7">
        <f>HYPERLINK("http://www.lingerieopt.ru/item/4227-bebi-doll-s-chernjm-kruzhevom/","4227")</f>
      </c>
      <c r="B4854" s="8" t="s">
        <v>4622</v>
      </c>
      <c r="C4854" s="9">
        <v>2274</v>
      </c>
      <c r="D4854" s="0">
        <v>0</v>
      </c>
      <c r="E4854" s="10">
        <f>HYPERLINK("http://www.lingerieopt.ru/images/original/028f7501-c81f-4886-b45e-ca62ba585fe9.jpg","Фото")</f>
      </c>
    </row>
    <row r="4855">
      <c r="A4855" s="7">
        <f>HYPERLINK("http://www.lingerieopt.ru/item/4227-bebi-doll-s-chernjm-kruzhevom/","4227")</f>
      </c>
      <c r="B4855" s="8" t="s">
        <v>4623</v>
      </c>
      <c r="C4855" s="9">
        <v>2274</v>
      </c>
      <c r="D4855" s="0">
        <v>0</v>
      </c>
      <c r="E4855" s="10">
        <f>HYPERLINK("http://www.lingerieopt.ru/images/original/028f7501-c81f-4886-b45e-ca62ba585fe9.jpg","Фото")</f>
      </c>
    </row>
    <row r="4856">
      <c r="A4856" s="7">
        <f>HYPERLINK("http://www.lingerieopt.ru/item/4227-bebi-doll-s-chernjm-kruzhevom/","4227")</f>
      </c>
      <c r="B4856" s="8" t="s">
        <v>4624</v>
      </c>
      <c r="C4856" s="9">
        <v>2274</v>
      </c>
      <c r="D4856" s="0">
        <v>0</v>
      </c>
      <c r="E4856" s="10">
        <f>HYPERLINK("http://www.lingerieopt.ru/images/original/028f7501-c81f-4886-b45e-ca62ba585fe9.jpg","Фото")</f>
      </c>
    </row>
    <row r="4857">
      <c r="A4857" s="7">
        <f>HYPERLINK("http://www.lingerieopt.ru/item/4312-bebi-doll-s-chernoi-kruzhevnoi-otdelkoi/","4312")</f>
      </c>
      <c r="B4857" s="8" t="s">
        <v>4625</v>
      </c>
      <c r="C4857" s="9">
        <v>2682</v>
      </c>
      <c r="D4857" s="0">
        <v>0</v>
      </c>
      <c r="E4857" s="10">
        <f>HYPERLINK("http://www.lingerieopt.ru/images/original/37917e5f-b058-49b6-bac4-b131e6e5bf70.jpg","Фото")</f>
      </c>
    </row>
    <row r="4858">
      <c r="A4858" s="7">
        <f>HYPERLINK("http://www.lingerieopt.ru/item/4312-bebi-doll-s-chernoi-kruzhevnoi-otdelkoi/","4312")</f>
      </c>
      <c r="B4858" s="8" t="s">
        <v>4626</v>
      </c>
      <c r="C4858" s="9">
        <v>2682</v>
      </c>
      <c r="D4858" s="0">
        <v>6</v>
      </c>
      <c r="E4858" s="10">
        <f>HYPERLINK("http://www.lingerieopt.ru/images/original/37917e5f-b058-49b6-bac4-b131e6e5bf70.jpg","Фото")</f>
      </c>
    </row>
    <row r="4859">
      <c r="A4859" s="7">
        <f>HYPERLINK("http://www.lingerieopt.ru/item/4312-bebi-doll-s-chernoi-kruzhevnoi-otdelkoi/","4312")</f>
      </c>
      <c r="B4859" s="8" t="s">
        <v>4627</v>
      </c>
      <c r="C4859" s="9">
        <v>2682</v>
      </c>
      <c r="D4859" s="0">
        <v>3</v>
      </c>
      <c r="E4859" s="10">
        <f>HYPERLINK("http://www.lingerieopt.ru/images/original/37917e5f-b058-49b6-bac4-b131e6e5bf70.jpg","Фото")</f>
      </c>
    </row>
    <row r="4860">
      <c r="A4860" s="7">
        <f>HYPERLINK("http://www.lingerieopt.ru/item/4337-pritalennoe-plate-s-leopardovjmi-vstavkami/","4337")</f>
      </c>
      <c r="B4860" s="8" t="s">
        <v>4628</v>
      </c>
      <c r="C4860" s="9">
        <v>3592</v>
      </c>
      <c r="D4860" s="0">
        <v>6</v>
      </c>
      <c r="E4860" s="10">
        <f>HYPERLINK("http://www.lingerieopt.ru/images/original/64e79ede-a047-4783-8f9c-242ffea64bff.jpg","Фото")</f>
      </c>
    </row>
    <row r="4861">
      <c r="A4861" s="7">
        <f>HYPERLINK("http://www.lingerieopt.ru/item/4337-pritalennoe-plate-s-leopardovjmi-vstavkami/","4337")</f>
      </c>
      <c r="B4861" s="8" t="s">
        <v>4629</v>
      </c>
      <c r="C4861" s="9">
        <v>3592</v>
      </c>
      <c r="D4861" s="0">
        <v>6</v>
      </c>
      <c r="E4861" s="10">
        <f>HYPERLINK("http://www.lingerieopt.ru/images/original/64e79ede-a047-4783-8f9c-242ffea64bff.jpg","Фото")</f>
      </c>
    </row>
    <row r="4862">
      <c r="A4862" s="7">
        <f>HYPERLINK("http://www.lingerieopt.ru/item/4337-pritalennoe-plate-s-leopardovjmi-vstavkami/","4337")</f>
      </c>
      <c r="B4862" s="8" t="s">
        <v>4630</v>
      </c>
      <c r="C4862" s="9">
        <v>3592</v>
      </c>
      <c r="D4862" s="0">
        <v>1</v>
      </c>
      <c r="E4862" s="10">
        <f>HYPERLINK("http://www.lingerieopt.ru/images/original/64e79ede-a047-4783-8f9c-242ffea64bff.jpg","Фото")</f>
      </c>
    </row>
    <row r="4863">
      <c r="A4863" s="7">
        <f>HYPERLINK("http://www.lingerieopt.ru/item/4361-sorochka-s-kruzhevnoi-spinoi-i-kontrastnoi-vstavkoi-terracottas/","4361")</f>
      </c>
      <c r="B4863" s="8" t="s">
        <v>4631</v>
      </c>
      <c r="C4863" s="9">
        <v>2999</v>
      </c>
      <c r="D4863" s="0">
        <v>0</v>
      </c>
      <c r="E4863" s="10">
        <f>HYPERLINK("http://www.lingerieopt.ru/images/original/f72207ac-bf34-4c92-9e94-79082a38ff55.jpg","Фото")</f>
      </c>
    </row>
    <row r="4864">
      <c r="A4864" s="7">
        <f>HYPERLINK("http://www.lingerieopt.ru/item/4361-sorochka-s-kruzhevnoi-spinoi-i-kontrastnoi-vstavkoi-terracottas/","4361")</f>
      </c>
      <c r="B4864" s="8" t="s">
        <v>4632</v>
      </c>
      <c r="C4864" s="9">
        <v>2999</v>
      </c>
      <c r="D4864" s="0">
        <v>6</v>
      </c>
      <c r="E4864" s="10">
        <f>HYPERLINK("http://www.lingerieopt.ru/images/original/f72207ac-bf34-4c92-9e94-79082a38ff55.jpg","Фото")</f>
      </c>
    </row>
    <row r="4865">
      <c r="A4865" s="7">
        <f>HYPERLINK("http://www.lingerieopt.ru/item/4361-sorochka-s-kruzhevnoi-spinoi-i-kontrastnoi-vstavkoi-terracottas/","4361")</f>
      </c>
      <c r="B4865" s="8" t="s">
        <v>4633</v>
      </c>
      <c r="C4865" s="9">
        <v>2999</v>
      </c>
      <c r="D4865" s="0">
        <v>3</v>
      </c>
      <c r="E4865" s="10">
        <f>HYPERLINK("http://www.lingerieopt.ru/images/original/f72207ac-bf34-4c92-9e94-79082a38ff55.jpg","Фото")</f>
      </c>
    </row>
    <row r="4866">
      <c r="A4866" s="7">
        <f>HYPERLINK("http://www.lingerieopt.ru/item/4370-obtyagivayuschee-plate-s-kruzhevnjmi-vstavkami/","4370")</f>
      </c>
      <c r="B4866" s="8" t="s">
        <v>3950</v>
      </c>
      <c r="C4866" s="9">
        <v>2812</v>
      </c>
      <c r="D4866" s="0">
        <v>3</v>
      </c>
      <c r="E4866" s="10">
        <f>HYPERLINK("http://www.lingerieopt.ru/images/original/81962803-0664-4371-a49c-4ff3ece8f689.jpg","Фото")</f>
      </c>
    </row>
    <row r="4867">
      <c r="A4867" s="7">
        <f>HYPERLINK("http://www.lingerieopt.ru/item/4370-obtyagivayuschee-plate-s-kruzhevnjmi-vstavkami/","4370")</f>
      </c>
      <c r="B4867" s="8" t="s">
        <v>3951</v>
      </c>
      <c r="C4867" s="9">
        <v>2812</v>
      </c>
      <c r="D4867" s="0">
        <v>6</v>
      </c>
      <c r="E4867" s="10">
        <f>HYPERLINK("http://www.lingerieopt.ru/images/original/81962803-0664-4371-a49c-4ff3ece8f689.jpg","Фото")</f>
      </c>
    </row>
    <row r="4868">
      <c r="A4868" s="7">
        <f>HYPERLINK("http://www.lingerieopt.ru/item/4370-obtyagivayuschee-plate-s-kruzhevnjmi-vstavkami/","4370")</f>
      </c>
      <c r="B4868" s="8" t="s">
        <v>3952</v>
      </c>
      <c r="C4868" s="9">
        <v>2812</v>
      </c>
      <c r="D4868" s="0">
        <v>3</v>
      </c>
      <c r="E4868" s="10">
        <f>HYPERLINK("http://www.lingerieopt.ru/images/original/81962803-0664-4371-a49c-4ff3ece8f689.jpg","Фото")</f>
      </c>
    </row>
    <row r="4869">
      <c r="A4869" s="7">
        <f>HYPERLINK("http://www.lingerieopt.ru/item/4370-obtyagivayuschee-plate-s-kruzhevnjmi-vstavkami/","4370")</f>
      </c>
      <c r="B4869" s="8" t="s">
        <v>3953</v>
      </c>
      <c r="C4869" s="9">
        <v>2812</v>
      </c>
      <c r="D4869" s="0">
        <v>6</v>
      </c>
      <c r="E4869" s="10">
        <f>HYPERLINK("http://www.lingerieopt.ru/images/original/81962803-0664-4371-a49c-4ff3ece8f689.jpg","Фото")</f>
      </c>
    </row>
    <row r="4870">
      <c r="A4870" s="7">
        <f>HYPERLINK("http://www.lingerieopt.ru/item/4405-legkaya-bebi-doll-s-kruzhevnoi-otdelkoi/","4405")</f>
      </c>
      <c r="B4870" s="8" t="s">
        <v>4634</v>
      </c>
      <c r="C4870" s="9">
        <v>3249</v>
      </c>
      <c r="D4870" s="0">
        <v>6</v>
      </c>
      <c r="E4870" s="10">
        <f>HYPERLINK("http://www.lingerieopt.ru/images/original/550093ff-508f-4074-876f-c87e85553b43.jpg","Фото")</f>
      </c>
    </row>
    <row r="4871">
      <c r="A4871" s="7">
        <f>HYPERLINK("http://www.lingerieopt.ru/item/4405-legkaya-bebi-doll-s-kruzhevnoi-otdelkoi/","4405")</f>
      </c>
      <c r="B4871" s="8" t="s">
        <v>4635</v>
      </c>
      <c r="C4871" s="9">
        <v>3249</v>
      </c>
      <c r="D4871" s="0">
        <v>6</v>
      </c>
      <c r="E4871" s="10">
        <f>HYPERLINK("http://www.lingerieopt.ru/images/original/550093ff-508f-4074-876f-c87e85553b43.jpg","Фото")</f>
      </c>
    </row>
    <row r="4872">
      <c r="A4872" s="7">
        <f>HYPERLINK("http://www.lingerieopt.ru/item/4405-legkaya-bebi-doll-s-kruzhevnoi-otdelkoi/","4405")</f>
      </c>
      <c r="B4872" s="8" t="s">
        <v>4636</v>
      </c>
      <c r="C4872" s="9">
        <v>3249</v>
      </c>
      <c r="D4872" s="0">
        <v>6</v>
      </c>
      <c r="E4872" s="10">
        <f>HYPERLINK("http://www.lingerieopt.ru/images/original/550093ff-508f-4074-876f-c87e85553b43.jpg","Фото")</f>
      </c>
    </row>
    <row r="4873">
      <c r="A4873" s="7">
        <f>HYPERLINK("http://www.lingerieopt.ru/item/4417-elegentnaya-sorochka-imperia-c-nezhnjm-kruzhevom/","4417")</f>
      </c>
      <c r="B4873" s="8" t="s">
        <v>4637</v>
      </c>
      <c r="C4873" s="9">
        <v>1994</v>
      </c>
      <c r="D4873" s="0">
        <v>1</v>
      </c>
      <c r="E4873" s="10">
        <f>HYPERLINK("http://www.lingerieopt.ru/images/original/1848e973-7434-40f2-9360-8f20b4ef7cd3.jpg","Фото")</f>
      </c>
    </row>
    <row r="4874">
      <c r="A4874" s="7">
        <f>HYPERLINK("http://www.lingerieopt.ru/item/4417-elegentnaya-sorochka-imperia-c-nezhnjm-kruzhevom/","4417")</f>
      </c>
      <c r="B4874" s="8" t="s">
        <v>4638</v>
      </c>
      <c r="C4874" s="9">
        <v>1994</v>
      </c>
      <c r="D4874" s="0">
        <v>0</v>
      </c>
      <c r="E4874" s="10">
        <f>HYPERLINK("http://www.lingerieopt.ru/images/original/1848e973-7434-40f2-9360-8f20b4ef7cd3.jpg","Фото")</f>
      </c>
    </row>
    <row r="4875">
      <c r="A4875" s="7">
        <f>HYPERLINK("http://www.lingerieopt.ru/item/4417-elegentnaya-sorochka-imperia-c-nezhnjm-kruzhevom/","4417")</f>
      </c>
      <c r="B4875" s="8" t="s">
        <v>4639</v>
      </c>
      <c r="C4875" s="9">
        <v>1994</v>
      </c>
      <c r="D4875" s="0">
        <v>0</v>
      </c>
      <c r="E4875" s="10">
        <f>HYPERLINK("http://www.lingerieopt.ru/images/original/1848e973-7434-40f2-9360-8f20b4ef7cd3.jpg","Фото")</f>
      </c>
    </row>
    <row r="4876">
      <c r="A4876" s="7">
        <f>HYPERLINK("http://www.lingerieopt.ru/item/4417-elegentnaya-sorochka-imperia-c-nezhnjm-kruzhevom/","4417")</f>
      </c>
      <c r="B4876" s="8" t="s">
        <v>4640</v>
      </c>
      <c r="C4876" s="9">
        <v>1994</v>
      </c>
      <c r="D4876" s="0">
        <v>0</v>
      </c>
      <c r="E4876" s="10">
        <f>HYPERLINK("http://www.lingerieopt.ru/images/original/1848e973-7434-40f2-9360-8f20b4ef7cd3.jpg","Фото")</f>
      </c>
    </row>
    <row r="4877">
      <c r="A4877" s="7">
        <f>HYPERLINK("http://www.lingerieopt.ru/item/4417-elegentnaya-sorochka-imperia-c-nezhnjm-kruzhevom/","4417")</f>
      </c>
      <c r="B4877" s="8" t="s">
        <v>4641</v>
      </c>
      <c r="C4877" s="9">
        <v>1994</v>
      </c>
      <c r="D4877" s="0">
        <v>0</v>
      </c>
      <c r="E4877" s="10">
        <f>HYPERLINK("http://www.lingerieopt.ru/images/original/1848e973-7434-40f2-9360-8f20b4ef7cd3.jpg","Фото")</f>
      </c>
    </row>
    <row r="4878">
      <c r="A4878" s="7">
        <f>HYPERLINK("http://www.lingerieopt.ru/item/4417-elegentnaya-sorochka-imperia-c-nezhnjm-kruzhevom/","4417")</f>
      </c>
      <c r="B4878" s="8" t="s">
        <v>4642</v>
      </c>
      <c r="C4878" s="9">
        <v>1994</v>
      </c>
      <c r="D4878" s="0">
        <v>0</v>
      </c>
      <c r="E4878" s="10">
        <f>HYPERLINK("http://www.lingerieopt.ru/images/original/1848e973-7434-40f2-9360-8f20b4ef7cd3.jpg","Фото")</f>
      </c>
    </row>
    <row r="4879">
      <c r="A4879" s="7">
        <f>HYPERLINK("http://www.lingerieopt.ru/item/4427-elegantnji-bebi-doll-calypso-s-igrivjm-bantom/","4427")</f>
      </c>
      <c r="B4879" s="8" t="s">
        <v>4643</v>
      </c>
      <c r="C4879" s="9">
        <v>2079</v>
      </c>
      <c r="D4879" s="0">
        <v>0</v>
      </c>
      <c r="E4879" s="10">
        <f>HYPERLINK("http://www.lingerieopt.ru/images/original/a6cefd5c-668e-4826-8da2-f8319fc722d6.jpg","Фото")</f>
      </c>
    </row>
    <row r="4880">
      <c r="A4880" s="7">
        <f>HYPERLINK("http://www.lingerieopt.ru/item/4427-elegantnji-bebi-doll-calypso-s-igrivjm-bantom/","4427")</f>
      </c>
      <c r="B4880" s="8" t="s">
        <v>4644</v>
      </c>
      <c r="C4880" s="9">
        <v>2079</v>
      </c>
      <c r="D4880" s="0">
        <v>1</v>
      </c>
      <c r="E4880" s="10">
        <f>HYPERLINK("http://www.lingerieopt.ru/images/original/a6cefd5c-668e-4826-8da2-f8319fc722d6.jpg","Фото")</f>
      </c>
    </row>
    <row r="4881">
      <c r="A4881" s="7">
        <f>HYPERLINK("http://www.lingerieopt.ru/item/4434-sorochka-s-patternjm-risunkom/","4434")</f>
      </c>
      <c r="B4881" s="8" t="s">
        <v>4645</v>
      </c>
      <c r="C4881" s="9">
        <v>2111</v>
      </c>
      <c r="D4881" s="0">
        <v>30</v>
      </c>
      <c r="E4881" s="10">
        <f>HYPERLINK("http://www.lingerieopt.ru/images/original/310ddddd-70b4-46a3-aa3d-747a0b7a312e.jpg","Фото")</f>
      </c>
    </row>
    <row r="4882">
      <c r="A4882" s="7">
        <f>HYPERLINK("http://www.lingerieopt.ru/item/4437-atlasnaya-sorochka-secred-s-kruzhevnoi-otdelkoi/","4437")</f>
      </c>
      <c r="B4882" s="8" t="s">
        <v>4646</v>
      </c>
      <c r="C4882" s="9">
        <v>1994</v>
      </c>
      <c r="D4882" s="0">
        <v>1</v>
      </c>
      <c r="E4882" s="10">
        <f>HYPERLINK("http://www.lingerieopt.ru/images/original/50b4f3f2-bd4a-455e-bc52-edd0a1a4b7eb.jpg","Фото")</f>
      </c>
    </row>
    <row r="4883">
      <c r="A4883" s="7">
        <f>HYPERLINK("http://www.lingerieopt.ru/item/4437-atlasnaya-sorochka-secred-s-kruzhevnoi-otdelkoi/","4437")</f>
      </c>
      <c r="B4883" s="8" t="s">
        <v>4647</v>
      </c>
      <c r="C4883" s="9">
        <v>1994</v>
      </c>
      <c r="D4883" s="0">
        <v>1</v>
      </c>
      <c r="E4883" s="10">
        <f>HYPERLINK("http://www.lingerieopt.ru/images/original/50b4f3f2-bd4a-455e-bc52-edd0a1a4b7eb.jpg","Фото")</f>
      </c>
    </row>
    <row r="4884">
      <c r="A4884" s="7">
        <f>HYPERLINK("http://www.lingerieopt.ru/item/4438-atlasnaya-sorochka-roseberry/","4438")</f>
      </c>
      <c r="B4884" s="8" t="s">
        <v>4648</v>
      </c>
      <c r="C4884" s="9">
        <v>1771</v>
      </c>
      <c r="D4884" s="0">
        <v>8</v>
      </c>
      <c r="E4884" s="10">
        <f>HYPERLINK("http://www.lingerieopt.ru/images/original/b416fb49-9e42-4d3c-b4cf-df7711932404.jpg","Фото")</f>
      </c>
    </row>
    <row r="4885">
      <c r="A4885" s="7">
        <f>HYPERLINK("http://www.lingerieopt.ru/item/4438-atlasnaya-sorochka-roseberry/","4438")</f>
      </c>
      <c r="B4885" s="8" t="s">
        <v>4649</v>
      </c>
      <c r="C4885" s="9">
        <v>1771</v>
      </c>
      <c r="D4885" s="0">
        <v>4</v>
      </c>
      <c r="E4885" s="10">
        <f>HYPERLINK("http://www.lingerieopt.ru/images/original/b416fb49-9e42-4d3c-b4cf-df7711932404.jpg","Фото")</f>
      </c>
    </row>
    <row r="4886">
      <c r="A4886" s="7">
        <f>HYPERLINK("http://www.lingerieopt.ru/item/4443-gipyurovaya-sorochka-s-zavyazkami-na-grudi/","4443")</f>
      </c>
      <c r="B4886" s="8" t="s">
        <v>4650</v>
      </c>
      <c r="C4886" s="9">
        <v>2111</v>
      </c>
      <c r="D4886" s="0">
        <v>30</v>
      </c>
      <c r="E4886" s="10">
        <f>HYPERLINK("http://www.lingerieopt.ru/images/original/b94fe29f-bbfc-4d10-9aae-2fe8cca31f7c.jpg","Фото")</f>
      </c>
    </row>
    <row r="4887">
      <c r="A4887" s="7">
        <f>HYPERLINK("http://www.lingerieopt.ru/item/4484-sorochka-na-tonkih-bretelkah-s-asimmetrichnjm-podolom/","4484")</f>
      </c>
      <c r="B4887" s="8" t="s">
        <v>4651</v>
      </c>
      <c r="C4887" s="9">
        <v>1510</v>
      </c>
      <c r="D4887" s="0">
        <v>6</v>
      </c>
      <c r="E4887" s="10">
        <f>HYPERLINK("http://www.lingerieopt.ru/images/original/67cb1bfb-0110-49f3-bb6b-427ebb80f2e5.jpg","Фото")</f>
      </c>
    </row>
    <row r="4888">
      <c r="A4888" s="7">
        <f>HYPERLINK("http://www.lingerieopt.ru/item/4493-bebi-doll-intensa-s-igrivjmi-lyamkami/","4493")</f>
      </c>
      <c r="B4888" s="8" t="s">
        <v>4652</v>
      </c>
      <c r="C4888" s="9">
        <v>2079</v>
      </c>
      <c r="D4888" s="0">
        <v>1</v>
      </c>
      <c r="E4888" s="10">
        <f>HYPERLINK("http://www.lingerieopt.ru/images/original/9d2904ea-2b70-43c1-b449-3500e124582e.jpg","Фото")</f>
      </c>
    </row>
    <row r="4889">
      <c r="A4889" s="7">
        <f>HYPERLINK("http://www.lingerieopt.ru/item/4493-bebi-doll-intensa-s-igrivjmi-lyamkami/","4493")</f>
      </c>
      <c r="B4889" s="8" t="s">
        <v>4653</v>
      </c>
      <c r="C4889" s="9">
        <v>2079</v>
      </c>
      <c r="D4889" s="0">
        <v>1</v>
      </c>
      <c r="E4889" s="10">
        <f>HYPERLINK("http://www.lingerieopt.ru/images/original/9d2904ea-2b70-43c1-b449-3500e124582e.jpg","Фото")</f>
      </c>
    </row>
    <row r="4890">
      <c r="A4890" s="7">
        <f>HYPERLINK("http://www.lingerieopt.ru/item/4494-azhurnaya-sorochka-charms-s-razrezom/","4494")</f>
      </c>
      <c r="B4890" s="8" t="s">
        <v>4654</v>
      </c>
      <c r="C4890" s="9">
        <v>2079</v>
      </c>
      <c r="D4890" s="0">
        <v>1</v>
      </c>
      <c r="E4890" s="10">
        <f>HYPERLINK("http://www.lingerieopt.ru/images/original/8b66be21-30bc-4803-bcdc-4abe6369e1ee.jpg","Фото")</f>
      </c>
    </row>
    <row r="4891">
      <c r="A4891" s="7">
        <f>HYPERLINK("http://www.lingerieopt.ru/item/4494-azhurnaya-sorochka-charms-s-razrezom/","4494")</f>
      </c>
      <c r="B4891" s="8" t="s">
        <v>4655</v>
      </c>
      <c r="C4891" s="9">
        <v>2079</v>
      </c>
      <c r="D4891" s="0">
        <v>0</v>
      </c>
      <c r="E4891" s="10">
        <f>HYPERLINK("http://www.lingerieopt.ru/images/original/8b66be21-30bc-4803-bcdc-4abe6369e1ee.jpg","Фото")</f>
      </c>
    </row>
    <row r="4892">
      <c r="A4892" s="7">
        <f>HYPERLINK("http://www.lingerieopt.ru/item/4494-azhurnaya-sorochka-charms-s-razrezom/","4494")</f>
      </c>
      <c r="B4892" s="8" t="s">
        <v>4656</v>
      </c>
      <c r="C4892" s="9">
        <v>2079</v>
      </c>
      <c r="D4892" s="0">
        <v>1</v>
      </c>
      <c r="E4892" s="10">
        <f>HYPERLINK("http://www.lingerieopt.ru/images/original/8b66be21-30bc-4803-bcdc-4abe6369e1ee.jpg","Фото")</f>
      </c>
    </row>
    <row r="4893">
      <c r="A4893" s="7">
        <f>HYPERLINK("http://www.lingerieopt.ru/item/4494-azhurnaya-sorochka-charms-s-razrezom/","4494")</f>
      </c>
      <c r="B4893" s="8" t="s">
        <v>4657</v>
      </c>
      <c r="C4893" s="9">
        <v>2079</v>
      </c>
      <c r="D4893" s="0">
        <v>0</v>
      </c>
      <c r="E4893" s="10">
        <f>HYPERLINK("http://www.lingerieopt.ru/images/original/8b66be21-30bc-4803-bcdc-4abe6369e1ee.jpg","Фото")</f>
      </c>
    </row>
    <row r="4894">
      <c r="A4894" s="7">
        <f>HYPERLINK("http://www.lingerieopt.ru/item/4612-dlinnaya-sorochka-s-kruzhevnjm-lifom/","4612")</f>
      </c>
      <c r="B4894" s="8" t="s">
        <v>4658</v>
      </c>
      <c r="C4894" s="9">
        <v>2437</v>
      </c>
      <c r="D4894" s="0">
        <v>6</v>
      </c>
      <c r="E4894" s="10">
        <f>HYPERLINK("http://www.lingerieopt.ru/images/original/35dd1e2e-e237-4f1f-b4ec-b10455f2ef24.jpg","Фото")</f>
      </c>
    </row>
    <row r="4895">
      <c r="A4895" s="7">
        <f>HYPERLINK("http://www.lingerieopt.ru/item/4612-dlinnaya-sorochka-s-kruzhevnjm-lifom/","4612")</f>
      </c>
      <c r="B4895" s="8" t="s">
        <v>4659</v>
      </c>
      <c r="C4895" s="9">
        <v>2437</v>
      </c>
      <c r="D4895" s="0">
        <v>6</v>
      </c>
      <c r="E4895" s="10">
        <f>HYPERLINK("http://www.lingerieopt.ru/images/original/35dd1e2e-e237-4f1f-b4ec-b10455f2ef24.jpg","Фото")</f>
      </c>
    </row>
    <row r="4896">
      <c r="A4896" s="7">
        <f>HYPERLINK("http://www.lingerieopt.ru/item/4612-dlinnaya-sorochka-s-kruzhevnjm-lifom/","4612")</f>
      </c>
      <c r="B4896" s="8" t="s">
        <v>4660</v>
      </c>
      <c r="C4896" s="9">
        <v>2437</v>
      </c>
      <c r="D4896" s="0">
        <v>6</v>
      </c>
      <c r="E4896" s="10">
        <f>HYPERLINK("http://www.lingerieopt.ru/images/original/35dd1e2e-e237-4f1f-b4ec-b10455f2ef24.jpg","Фото")</f>
      </c>
    </row>
    <row r="4897">
      <c r="A4897" s="7">
        <f>HYPERLINK("http://www.lingerieopt.ru/item/4637-poluprozrachnji-bebi-doll-s-shirokoi-polosoi-i-kruzhevnoi-otdelkoi/","4637")</f>
      </c>
      <c r="B4897" s="8" t="s">
        <v>4661</v>
      </c>
      <c r="C4897" s="9">
        <v>1787</v>
      </c>
      <c r="D4897" s="0">
        <v>1</v>
      </c>
      <c r="E4897" s="10">
        <f>HYPERLINK("http://www.lingerieopt.ru/images/original/046ba85b-f8bd-40d3-a70a-28c68033d768.jpg","Фото")</f>
      </c>
    </row>
    <row r="4898">
      <c r="A4898" s="7">
        <f>HYPERLINK("http://www.lingerieopt.ru/item/4641-poluprozrachnji-bebi-doll-s-shirokoi-polosoi-i-kruzhevnoi-otdelkoi/","4641")</f>
      </c>
      <c r="B4898" s="8" t="s">
        <v>4662</v>
      </c>
      <c r="C4898" s="9">
        <v>1949</v>
      </c>
      <c r="D4898" s="0">
        <v>1</v>
      </c>
      <c r="E4898" s="10">
        <f>HYPERLINK("http://www.lingerieopt.ru/images/original/3bdaa228-581b-4799-8b3c-e13eecfacc0c.jpg","Фото")</f>
      </c>
    </row>
    <row r="4899">
      <c r="A4899" s="7">
        <f>HYPERLINK("http://www.lingerieopt.ru/item/4657-setchataya-sorochka-s-dlinnjmi-rukavami/","4657")</f>
      </c>
      <c r="B4899" s="8" t="s">
        <v>4663</v>
      </c>
      <c r="C4899" s="9">
        <v>1446</v>
      </c>
      <c r="D4899" s="0">
        <v>6</v>
      </c>
      <c r="E4899" s="10">
        <f>HYPERLINK("http://www.lingerieopt.ru/images/original/01705c85-4eb3-4e94-bc8b-809b7492e5ad.jpg","Фото")</f>
      </c>
    </row>
    <row r="4900">
      <c r="A4900" s="7">
        <f>HYPERLINK("http://www.lingerieopt.ru/item/4658-poluprozrachnji-bebi-doll-s-korsetnjmi-liniyami/","4658")</f>
      </c>
      <c r="B4900" s="8" t="s">
        <v>4664</v>
      </c>
      <c r="C4900" s="9">
        <v>2275</v>
      </c>
      <c r="D4900" s="0">
        <v>6</v>
      </c>
      <c r="E4900" s="10">
        <f>HYPERLINK("http://www.lingerieopt.ru/images/original/d8a27dda-33b2-4d41-82d6-ca8f6e0fade6.jpg","Фото")</f>
      </c>
    </row>
    <row r="4901">
      <c r="A4901" s="7">
        <f>HYPERLINK("http://www.lingerieopt.ru/item/4667-oblegayuschaya-zhakkardovaya-sorochka/","4667")</f>
      </c>
      <c r="B4901" s="8" t="s">
        <v>4665</v>
      </c>
      <c r="C4901" s="9">
        <v>1949</v>
      </c>
      <c r="D4901" s="0">
        <v>30</v>
      </c>
      <c r="E4901" s="10">
        <f>HYPERLINK("http://www.lingerieopt.ru/images/original/eea0e729-93b8-40e7-bdb4-d4231492d514.jpg","Фото")</f>
      </c>
    </row>
    <row r="4902">
      <c r="A4902" s="7">
        <f>HYPERLINK("http://www.lingerieopt.ru/item/4676-corochka-carmelove-s-azhurnoi-otdelkoi/","4676")</f>
      </c>
      <c r="B4902" s="8" t="s">
        <v>4666</v>
      </c>
      <c r="C4902" s="9">
        <v>1581</v>
      </c>
      <c r="D4902" s="0">
        <v>1</v>
      </c>
      <c r="E4902" s="10">
        <f>HYPERLINK("http://www.lingerieopt.ru/images/original/76b852b3-dbdb-4655-a87b-87f6fae608d9.jpg","Фото")</f>
      </c>
    </row>
    <row r="4903">
      <c r="A4903" s="7">
        <f>HYPERLINK("http://www.lingerieopt.ru/item/4676-corochka-carmelove-s-azhurnoi-otdelkoi/","4676")</f>
      </c>
      <c r="B4903" s="8" t="s">
        <v>4667</v>
      </c>
      <c r="C4903" s="9">
        <v>1581</v>
      </c>
      <c r="D4903" s="0">
        <v>0</v>
      </c>
      <c r="E4903" s="10">
        <f>HYPERLINK("http://www.lingerieopt.ru/images/original/76b852b3-dbdb-4655-a87b-87f6fae608d9.jpg","Фото")</f>
      </c>
    </row>
    <row r="4904">
      <c r="A4904" s="7">
        <f>HYPERLINK("http://www.lingerieopt.ru/item/4696-sorochka-carmel-s-poluprozrachnoi-kruzhevnoi-vstavkoi-na-life/","4696")</f>
      </c>
      <c r="B4904" s="8" t="s">
        <v>4668</v>
      </c>
      <c r="C4904" s="9">
        <v>1213</v>
      </c>
      <c r="D4904" s="0">
        <v>0</v>
      </c>
      <c r="E4904" s="10">
        <f>HYPERLINK("http://www.lingerieopt.ru/images/original/fc22b497-e344-48c8-883a-a9304366b012.jpg","Фото")</f>
      </c>
    </row>
    <row r="4905">
      <c r="A4905" s="7">
        <f>HYPERLINK("http://www.lingerieopt.ru/item/4696-sorochka-carmel-s-poluprozrachnoi-kruzhevnoi-vstavkoi-na-life/","4696")</f>
      </c>
      <c r="B4905" s="8" t="s">
        <v>4669</v>
      </c>
      <c r="C4905" s="9">
        <v>1213</v>
      </c>
      <c r="D4905" s="0">
        <v>0</v>
      </c>
      <c r="E4905" s="10">
        <f>HYPERLINK("http://www.lingerieopt.ru/images/original/fc22b497-e344-48c8-883a-a9304366b012.jpg","Фото")</f>
      </c>
    </row>
    <row r="4906">
      <c r="A4906" s="7">
        <f>HYPERLINK("http://www.lingerieopt.ru/item/4696-sorochka-carmel-s-poluprozrachnoi-kruzhevnoi-vstavkoi-na-life/","4696")</f>
      </c>
      <c r="B4906" s="8" t="s">
        <v>4670</v>
      </c>
      <c r="C4906" s="9">
        <v>1213</v>
      </c>
      <c r="D4906" s="0">
        <v>10</v>
      </c>
      <c r="E4906" s="10">
        <f>HYPERLINK("http://www.lingerieopt.ru/images/original/fc22b497-e344-48c8-883a-a9304366b012.jpg","Фото")</f>
      </c>
    </row>
    <row r="4907">
      <c r="A4907" s="7">
        <f>HYPERLINK("http://www.lingerieopt.ru/item/4706-ocharovatelnaya-sorochka-joop-s-djmchatjm-kruzhevom/","4706")</f>
      </c>
      <c r="B4907" s="8" t="s">
        <v>4671</v>
      </c>
      <c r="C4907" s="9">
        <v>1307</v>
      </c>
      <c r="D4907" s="0">
        <v>9</v>
      </c>
      <c r="E4907" s="10">
        <f>HYPERLINK("http://www.lingerieopt.ru/images/original/bd4fe53c-9d54-421d-a58b-352b1f478335.jpg","Фото")</f>
      </c>
    </row>
    <row r="4908">
      <c r="A4908" s="7">
        <f>HYPERLINK("http://www.lingerieopt.ru/item/4706-ocharovatelnaya-sorochka-joop-s-djmchatjm-kruzhevom/","4706")</f>
      </c>
      <c r="B4908" s="8" t="s">
        <v>4672</v>
      </c>
      <c r="C4908" s="9">
        <v>1307</v>
      </c>
      <c r="D4908" s="0">
        <v>0</v>
      </c>
      <c r="E4908" s="10">
        <f>HYPERLINK("http://www.lingerieopt.ru/images/original/bd4fe53c-9d54-421d-a58b-352b1f478335.jpg","Фото")</f>
      </c>
    </row>
    <row r="4909">
      <c r="A4909" s="7">
        <f>HYPERLINK("http://www.lingerieopt.ru/item/4706-ocharovatelnaya-sorochka-joop-s-djmchatjm-kruzhevom/","4706")</f>
      </c>
      <c r="B4909" s="8" t="s">
        <v>4673</v>
      </c>
      <c r="C4909" s="9">
        <v>1307</v>
      </c>
      <c r="D4909" s="0">
        <v>0</v>
      </c>
      <c r="E4909" s="10">
        <f>HYPERLINK("http://www.lingerieopt.ru/images/original/bd4fe53c-9d54-421d-a58b-352b1f478335.jpg","Фото")</f>
      </c>
    </row>
    <row r="4910">
      <c r="A4910" s="7">
        <f>HYPERLINK("http://www.lingerieopt.ru/item/4707-corochka-bisquitta-s-poluotkrjtoi-grudyu/","4707")</f>
      </c>
      <c r="B4910" s="8" t="s">
        <v>4674</v>
      </c>
      <c r="C4910" s="9">
        <v>1472</v>
      </c>
      <c r="D4910" s="0">
        <v>1</v>
      </c>
      <c r="E4910" s="10">
        <f>HYPERLINK("http://www.lingerieopt.ru/images/original/a311b6df-3e3e-4e94-a89a-4de294952f35.jpg","Фото")</f>
      </c>
    </row>
    <row r="4911">
      <c r="A4911" s="7">
        <f>HYPERLINK("http://www.lingerieopt.ru/item/4707-corochka-bisquitta-s-poluotkrjtoi-grudyu/","4707")</f>
      </c>
      <c r="B4911" s="8" t="s">
        <v>4675</v>
      </c>
      <c r="C4911" s="9">
        <v>1472</v>
      </c>
      <c r="D4911" s="0">
        <v>0</v>
      </c>
      <c r="E4911" s="10">
        <f>HYPERLINK("http://www.lingerieopt.ru/images/original/a311b6df-3e3e-4e94-a89a-4de294952f35.jpg","Фото")</f>
      </c>
    </row>
    <row r="4912">
      <c r="A4912" s="7">
        <f>HYPERLINK("http://www.lingerieopt.ru/item/4707-corochka-bisquitta-s-poluotkrjtoi-grudyu/","4707")</f>
      </c>
      <c r="B4912" s="8" t="s">
        <v>4676</v>
      </c>
      <c r="C4912" s="9">
        <v>1472</v>
      </c>
      <c r="D4912" s="0">
        <v>8</v>
      </c>
      <c r="E4912" s="10">
        <f>HYPERLINK("http://www.lingerieopt.ru/images/original/a311b6df-3e3e-4e94-a89a-4de294952f35.jpg","Фото")</f>
      </c>
    </row>
    <row r="4913">
      <c r="A4913" s="7">
        <f>HYPERLINK("http://www.lingerieopt.ru/item/4707-corochka-bisquitta-s-poluotkrjtoi-grudyu/","4707")</f>
      </c>
      <c r="B4913" s="8" t="s">
        <v>4677</v>
      </c>
      <c r="C4913" s="9">
        <v>1472</v>
      </c>
      <c r="D4913" s="0">
        <v>0</v>
      </c>
      <c r="E4913" s="10">
        <f>HYPERLINK("http://www.lingerieopt.ru/images/original/a311b6df-3e3e-4e94-a89a-4de294952f35.jpg","Фото")</f>
      </c>
    </row>
    <row r="4914">
      <c r="A4914" s="7">
        <f>HYPERLINK("http://www.lingerieopt.ru/item/4715-prozrachnaya-sorochka-caroline-s-atlasnjm-lifom/","4715")</f>
      </c>
      <c r="B4914" s="8" t="s">
        <v>4678</v>
      </c>
      <c r="C4914" s="9">
        <v>1196</v>
      </c>
      <c r="D4914" s="0">
        <v>0</v>
      </c>
      <c r="E4914" s="10">
        <f>HYPERLINK("http://www.lingerieopt.ru/images/original/593f45e6-8e58-443b-93dd-21e063c0d087.jpg","Фото")</f>
      </c>
    </row>
    <row r="4915">
      <c r="A4915" s="7">
        <f>HYPERLINK("http://www.lingerieopt.ru/item/4715-prozrachnaya-sorochka-caroline-s-atlasnjm-lifom/","4715")</f>
      </c>
      <c r="B4915" s="8" t="s">
        <v>4679</v>
      </c>
      <c r="C4915" s="9">
        <v>1196</v>
      </c>
      <c r="D4915" s="0">
        <v>4</v>
      </c>
      <c r="E4915" s="10">
        <f>HYPERLINK("http://www.lingerieopt.ru/images/original/593f45e6-8e58-443b-93dd-21e063c0d087.jpg","Фото")</f>
      </c>
    </row>
    <row r="4916">
      <c r="A4916" s="7">
        <f>HYPERLINK("http://www.lingerieopt.ru/item/4717-prozrachnaya-sorochka-brasiliana/","4717")</f>
      </c>
      <c r="B4916" s="8" t="s">
        <v>4680</v>
      </c>
      <c r="C4916" s="9">
        <v>1603</v>
      </c>
      <c r="D4916" s="0">
        <v>2</v>
      </c>
      <c r="E4916" s="10">
        <f>HYPERLINK("http://www.lingerieopt.ru/images/original/84be0192-1ded-463c-8f03-04c97be62451.jpg","Фото")</f>
      </c>
    </row>
    <row r="4917">
      <c r="A4917" s="7">
        <f>HYPERLINK("http://www.lingerieopt.ru/item/4717-prozrachnaya-sorochka-brasiliana/","4717")</f>
      </c>
      <c r="B4917" s="8" t="s">
        <v>4681</v>
      </c>
      <c r="C4917" s="9">
        <v>1603</v>
      </c>
      <c r="D4917" s="0">
        <v>2</v>
      </c>
      <c r="E4917" s="10">
        <f>HYPERLINK("http://www.lingerieopt.ru/images/original/84be0192-1ded-463c-8f03-04c97be62451.jpg","Фото")</f>
      </c>
    </row>
    <row r="4918">
      <c r="A4918" s="7">
        <f>HYPERLINK("http://www.lingerieopt.ru/item/4717-prozrachnaya-sorochka-brasiliana/","4717")</f>
      </c>
      <c r="B4918" s="8" t="s">
        <v>4682</v>
      </c>
      <c r="C4918" s="9">
        <v>1603</v>
      </c>
      <c r="D4918" s="0">
        <v>5</v>
      </c>
      <c r="E4918" s="10">
        <f>HYPERLINK("http://www.lingerieopt.ru/images/original/84be0192-1ded-463c-8f03-04c97be62451.jpg","Фото")</f>
      </c>
    </row>
    <row r="4919">
      <c r="A4919" s="7">
        <f>HYPERLINK("http://www.lingerieopt.ru/item/4718-prozrachnji-penyuar-brasiliana/","4718")</f>
      </c>
      <c r="B4919" s="8" t="s">
        <v>4683</v>
      </c>
      <c r="C4919" s="9">
        <v>2104</v>
      </c>
      <c r="D4919" s="0">
        <v>6</v>
      </c>
      <c r="E4919" s="10">
        <f>HYPERLINK("http://www.lingerieopt.ru/images/original/9691f61f-8686-486a-919c-9f322f8c1361.jpg","Фото")</f>
      </c>
    </row>
    <row r="4920">
      <c r="A4920" s="7">
        <f>HYPERLINK("http://www.lingerieopt.ru/item/4718-prozrachnji-penyuar-brasiliana/","4718")</f>
      </c>
      <c r="B4920" s="8" t="s">
        <v>4684</v>
      </c>
      <c r="C4920" s="9">
        <v>2104</v>
      </c>
      <c r="D4920" s="0">
        <v>2</v>
      </c>
      <c r="E4920" s="10">
        <f>HYPERLINK("http://www.lingerieopt.ru/images/original/9691f61f-8686-486a-919c-9f322f8c1361.jpg","Фото")</f>
      </c>
    </row>
    <row r="4921">
      <c r="A4921" s="7">
        <f>HYPERLINK("http://www.lingerieopt.ru/item/4718-prozrachnji-penyuar-brasiliana/","4718")</f>
      </c>
      <c r="B4921" s="8" t="s">
        <v>4685</v>
      </c>
      <c r="C4921" s="9">
        <v>2104</v>
      </c>
      <c r="D4921" s="0">
        <v>0</v>
      </c>
      <c r="E4921" s="10">
        <f>HYPERLINK("http://www.lingerieopt.ru/images/original/9691f61f-8686-486a-919c-9f322f8c1361.jpg","Фото")</f>
      </c>
    </row>
    <row r="4922">
      <c r="A4922" s="7">
        <f>HYPERLINK("http://www.lingerieopt.ru/item/4718-prozrachnji-penyuar-brasiliana/","4718")</f>
      </c>
      <c r="B4922" s="8" t="s">
        <v>4686</v>
      </c>
      <c r="C4922" s="9">
        <v>2104</v>
      </c>
      <c r="D4922" s="0">
        <v>3</v>
      </c>
      <c r="E4922" s="10">
        <f>HYPERLINK("http://www.lingerieopt.ru/images/original/9691f61f-8686-486a-919c-9f322f8c1361.jpg","Фото")</f>
      </c>
    </row>
    <row r="4923">
      <c r="A4923" s="7">
        <f>HYPERLINK("http://www.lingerieopt.ru/item/4718-prozrachnji-penyuar-brasiliana/","4718")</f>
      </c>
      <c r="B4923" s="8" t="s">
        <v>4687</v>
      </c>
      <c r="C4923" s="9">
        <v>2104</v>
      </c>
      <c r="D4923" s="0">
        <v>5</v>
      </c>
      <c r="E4923" s="10">
        <f>HYPERLINK("http://www.lingerieopt.ru/images/original/9691f61f-8686-486a-919c-9f322f8c1361.jpg","Фото")</f>
      </c>
    </row>
    <row r="4924">
      <c r="A4924" s="7">
        <f>HYPERLINK("http://www.lingerieopt.ru/item/4719-poluprozrachnaya-sorochka-timea-s-prispuschennjmi-rukavchikami/","4719")</f>
      </c>
      <c r="B4924" s="8" t="s">
        <v>4688</v>
      </c>
      <c r="C4924" s="9">
        <v>1684</v>
      </c>
      <c r="D4924" s="0">
        <v>5</v>
      </c>
      <c r="E4924" s="10">
        <f>HYPERLINK("http://www.lingerieopt.ru/images/original/10ddf494-7045-4767-aa38-baa58f82580b.jpg","Фото")</f>
      </c>
    </row>
    <row r="4925">
      <c r="A4925" s="7">
        <f>HYPERLINK("http://www.lingerieopt.ru/item/4719-poluprozrachnaya-sorochka-timea-s-prispuschennjmi-rukavchikami/","4719")</f>
      </c>
      <c r="B4925" s="8" t="s">
        <v>4689</v>
      </c>
      <c r="C4925" s="9">
        <v>1684</v>
      </c>
      <c r="D4925" s="0">
        <v>4</v>
      </c>
      <c r="E4925" s="10">
        <f>HYPERLINK("http://www.lingerieopt.ru/images/original/10ddf494-7045-4767-aa38-baa58f82580b.jpg","Фото")</f>
      </c>
    </row>
    <row r="4926">
      <c r="A4926" s="7">
        <f>HYPERLINK("http://www.lingerieopt.ru/item/4729-serebristoe-plate-halla-s-kruzhevnjmi-vstavkami/","4729")</f>
      </c>
      <c r="B4926" s="8" t="s">
        <v>3958</v>
      </c>
      <c r="C4926" s="9">
        <v>1319</v>
      </c>
      <c r="D4926" s="0">
        <v>18</v>
      </c>
      <c r="E4926" s="10">
        <f>HYPERLINK("http://www.lingerieopt.ru/images/original/2ab80cca-e0d9-4fb4-a382-a7714020713a.jpg","Фото")</f>
      </c>
    </row>
    <row r="4927">
      <c r="A4927" s="7">
        <f>HYPERLINK("http://www.lingerieopt.ru/item/4729-serebristoe-plate-halla-s-kruzhevnjmi-vstavkami/","4729")</f>
      </c>
      <c r="B4927" s="8" t="s">
        <v>3956</v>
      </c>
      <c r="C4927" s="9">
        <v>1319</v>
      </c>
      <c r="D4927" s="0">
        <v>31</v>
      </c>
      <c r="E4927" s="10">
        <f>HYPERLINK("http://www.lingerieopt.ru/images/original/2ab80cca-e0d9-4fb4-a382-a7714020713a.jpg","Фото")</f>
      </c>
    </row>
    <row r="4928">
      <c r="A4928" s="7">
        <f>HYPERLINK("http://www.lingerieopt.ru/item/4729-serebristoe-plate-halla-s-kruzhevnjmi-vstavkami/","4729")</f>
      </c>
      <c r="B4928" s="8" t="s">
        <v>3957</v>
      </c>
      <c r="C4928" s="9">
        <v>1319</v>
      </c>
      <c r="D4928" s="0">
        <v>17</v>
      </c>
      <c r="E4928" s="10">
        <f>HYPERLINK("http://www.lingerieopt.ru/images/original/2ab80cca-e0d9-4fb4-a382-a7714020713a.jpg","Фото")</f>
      </c>
    </row>
    <row r="4929">
      <c r="A4929" s="7">
        <f>HYPERLINK("http://www.lingerieopt.ru/item/4741-sorochka-angie-s-kruzhevnjmi-vstavkami/","4741")</f>
      </c>
      <c r="B4929" s="8" t="s">
        <v>4690</v>
      </c>
      <c r="C4929" s="9">
        <v>1225</v>
      </c>
      <c r="D4929" s="0">
        <v>0</v>
      </c>
      <c r="E4929" s="10">
        <f>HYPERLINK("http://www.lingerieopt.ru/images/original/b631d67f-63c8-47b2-96ca-a58388a2e709.jpg","Фото")</f>
      </c>
    </row>
    <row r="4930">
      <c r="A4930" s="7">
        <f>HYPERLINK("http://www.lingerieopt.ru/item/4741-sorochka-angie-s-kruzhevnjmi-vstavkami/","4741")</f>
      </c>
      <c r="B4930" s="8" t="s">
        <v>4691</v>
      </c>
      <c r="C4930" s="9">
        <v>1225</v>
      </c>
      <c r="D4930" s="0">
        <v>14</v>
      </c>
      <c r="E4930" s="10">
        <f>HYPERLINK("http://www.lingerieopt.ru/images/original/b631d67f-63c8-47b2-96ca-a58388a2e709.jpg","Фото")</f>
      </c>
    </row>
    <row r="4931">
      <c r="A4931" s="7">
        <f>HYPERLINK("http://www.lingerieopt.ru/item/4741-sorochka-angie-s-kruzhevnjmi-vstavkami/","4741")</f>
      </c>
      <c r="B4931" s="8" t="s">
        <v>4692</v>
      </c>
      <c r="C4931" s="9">
        <v>1225</v>
      </c>
      <c r="D4931" s="0">
        <v>1</v>
      </c>
      <c r="E4931" s="10">
        <f>HYPERLINK("http://www.lingerieopt.ru/images/original/b631d67f-63c8-47b2-96ca-a58388a2e709.jpg","Фото")</f>
      </c>
    </row>
    <row r="4932">
      <c r="A4932" s="7">
        <f>HYPERLINK("http://www.lingerieopt.ru/item/4743-obtyagivayuschii-bebi-doll-ava-s-kruzhevom-po-lifu/","4743")</f>
      </c>
      <c r="B4932" s="8" t="s">
        <v>4693</v>
      </c>
      <c r="C4932" s="9">
        <v>1175</v>
      </c>
      <c r="D4932" s="0">
        <v>0</v>
      </c>
      <c r="E4932" s="10">
        <f>HYPERLINK("http://www.lingerieopt.ru/images/original/00d1b738-c2cf-439b-8029-e416d7518133.jpg","Фото")</f>
      </c>
    </row>
    <row r="4933">
      <c r="A4933" s="7">
        <f>HYPERLINK("http://www.lingerieopt.ru/item/4743-obtyagivayuschii-bebi-doll-ava-s-kruzhevom-po-lifu/","4743")</f>
      </c>
      <c r="B4933" s="8" t="s">
        <v>4694</v>
      </c>
      <c r="C4933" s="9">
        <v>1175</v>
      </c>
      <c r="D4933" s="0">
        <v>15</v>
      </c>
      <c r="E4933" s="10">
        <f>HYPERLINK("http://www.lingerieopt.ru/images/original/00d1b738-c2cf-439b-8029-e416d7518133.jpg","Фото")</f>
      </c>
    </row>
    <row r="4934">
      <c r="A4934" s="7">
        <f>HYPERLINK("http://www.lingerieopt.ru/item/4743-obtyagivayuschii-bebi-doll-ava-s-kruzhevom-po-lifu/","4743")</f>
      </c>
      <c r="B4934" s="8" t="s">
        <v>4695</v>
      </c>
      <c r="C4934" s="9">
        <v>1175</v>
      </c>
      <c r="D4934" s="0">
        <v>0</v>
      </c>
      <c r="E4934" s="10">
        <f>HYPERLINK("http://www.lingerieopt.ru/images/original/00d1b738-c2cf-439b-8029-e416d7518133.jpg","Фото")</f>
      </c>
    </row>
    <row r="4935">
      <c r="A4935" s="7">
        <f>HYPERLINK("http://www.lingerieopt.ru/item/4748-sorochka-s-treugolnjmi-chashechkami-castilla/","4748")</f>
      </c>
      <c r="B4935" s="8" t="s">
        <v>4696</v>
      </c>
      <c r="C4935" s="9">
        <v>1481</v>
      </c>
      <c r="D4935" s="0">
        <v>2</v>
      </c>
      <c r="E4935" s="10">
        <f>HYPERLINK("http://www.lingerieopt.ru/images/original/112c8580-dc46-4f06-898b-426fe3192979.jpg","Фото")</f>
      </c>
    </row>
    <row r="4936">
      <c r="A4936" s="7">
        <f>HYPERLINK("http://www.lingerieopt.ru/item/4748-sorochka-s-treugolnjmi-chashechkami-castilla/","4748")</f>
      </c>
      <c r="B4936" s="8" t="s">
        <v>4697</v>
      </c>
      <c r="C4936" s="9">
        <v>1481</v>
      </c>
      <c r="D4936" s="0">
        <v>0</v>
      </c>
      <c r="E4936" s="10">
        <f>HYPERLINK("http://www.lingerieopt.ru/images/original/112c8580-dc46-4f06-898b-426fe3192979.jpg","Фото")</f>
      </c>
    </row>
    <row r="4937">
      <c r="A4937" s="7">
        <f>HYPERLINK("http://www.lingerieopt.ru/item/4799-kombinaciya-caprice-s-ryushevoi-oborkoi-po-linii-dekolte/","4799")</f>
      </c>
      <c r="B4937" s="8" t="s">
        <v>4698</v>
      </c>
      <c r="C4937" s="9">
        <v>1368</v>
      </c>
      <c r="D4937" s="0">
        <v>4</v>
      </c>
      <c r="E4937" s="10">
        <f>HYPERLINK("http://www.lingerieopt.ru/images/original/87cd6286-c708-40d9-a81c-6b9161976432.jpg","Фото")</f>
      </c>
    </row>
    <row r="4938">
      <c r="A4938" s="7">
        <f>HYPERLINK("http://www.lingerieopt.ru/item/4799-kombinaciya-caprice-s-ryushevoi-oborkoi-po-linii-dekolte/","4799")</f>
      </c>
      <c r="B4938" s="8" t="s">
        <v>4699</v>
      </c>
      <c r="C4938" s="9">
        <v>1368</v>
      </c>
      <c r="D4938" s="0">
        <v>3</v>
      </c>
      <c r="E4938" s="10">
        <f>HYPERLINK("http://www.lingerieopt.ru/images/original/87cd6286-c708-40d9-a81c-6b9161976432.jpg","Фото")</f>
      </c>
    </row>
    <row r="4939">
      <c r="A4939" s="7">
        <f>HYPERLINK("http://www.lingerieopt.ru/item/4799-kombinaciya-caprice-s-ryushevoi-oborkoi-po-linii-dekolte/","4799")</f>
      </c>
      <c r="B4939" s="8" t="s">
        <v>4699</v>
      </c>
      <c r="C4939" s="9">
        <v>1368</v>
      </c>
      <c r="D4939" s="0">
        <v>3</v>
      </c>
      <c r="E4939" s="10">
        <f>HYPERLINK("http://www.lingerieopt.ru/images/original/87cd6286-c708-40d9-a81c-6b9161976432.jpg","Фото")</f>
      </c>
    </row>
    <row r="4940">
      <c r="A4940" s="7">
        <f>HYPERLINK("http://www.lingerieopt.ru/item/4799-kombinaciya-caprice-s-ryushevoi-oborkoi-po-linii-dekolte/","4799")</f>
      </c>
      <c r="B4940" s="8" t="s">
        <v>4700</v>
      </c>
      <c r="C4940" s="9">
        <v>1368</v>
      </c>
      <c r="D4940" s="0">
        <v>0</v>
      </c>
      <c r="E4940" s="10">
        <f>HYPERLINK("http://www.lingerieopt.ru/images/original/87cd6286-c708-40d9-a81c-6b9161976432.jpg","Фото")</f>
      </c>
    </row>
    <row r="4941">
      <c r="A4941" s="7">
        <f>HYPERLINK("http://www.lingerieopt.ru/item/4800-kombinaciya-indiana-s-pazhami-dlya-chulok/","4800")</f>
      </c>
      <c r="B4941" s="8" t="s">
        <v>4701</v>
      </c>
      <c r="C4941" s="9">
        <v>1636</v>
      </c>
      <c r="D4941" s="0">
        <v>3</v>
      </c>
      <c r="E4941" s="10">
        <f>HYPERLINK("http://www.lingerieopt.ru/images/original/637b8d80-b0cf-44a4-a00b-3344f7527b1d.jpg","Фото")</f>
      </c>
    </row>
    <row r="4942">
      <c r="A4942" s="7">
        <f>HYPERLINK("http://www.lingerieopt.ru/item/4800-kombinaciya-indiana-s-pazhami-dlya-chulok/","4800")</f>
      </c>
      <c r="B4942" s="8" t="s">
        <v>4702</v>
      </c>
      <c r="C4942" s="9">
        <v>1636</v>
      </c>
      <c r="D4942" s="0">
        <v>5</v>
      </c>
      <c r="E4942" s="10">
        <f>HYPERLINK("http://www.lingerieopt.ru/images/original/637b8d80-b0cf-44a4-a00b-3344f7527b1d.jpg","Фото")</f>
      </c>
    </row>
    <row r="4943">
      <c r="A4943" s="7">
        <f>HYPERLINK("http://www.lingerieopt.ru/item/4800-kombinaciya-indiana-s-pazhami-dlya-chulok/","4800")</f>
      </c>
      <c r="B4943" s="8" t="s">
        <v>4703</v>
      </c>
      <c r="C4943" s="9">
        <v>1636</v>
      </c>
      <c r="D4943" s="0">
        <v>5</v>
      </c>
      <c r="E4943" s="10">
        <f>HYPERLINK("http://www.lingerieopt.ru/images/original/637b8d80-b0cf-44a4-a00b-3344f7527b1d.jpg","Фото")</f>
      </c>
    </row>
    <row r="4944">
      <c r="A4944" s="7">
        <f>HYPERLINK("http://www.lingerieopt.ru/item/4800-kombinaciya-indiana-s-pazhami-dlya-chulok/","4800")</f>
      </c>
      <c r="B4944" s="8" t="s">
        <v>4704</v>
      </c>
      <c r="C4944" s="9">
        <v>1636</v>
      </c>
      <c r="D4944" s="0">
        <v>3</v>
      </c>
      <c r="E4944" s="10">
        <f>HYPERLINK("http://www.lingerieopt.ru/images/original/637b8d80-b0cf-44a4-a00b-3344f7527b1d.jpg","Фото")</f>
      </c>
    </row>
    <row r="4945">
      <c r="A4945" s="7">
        <f>HYPERLINK("http://www.lingerieopt.ru/item/4801-poluprozrachnaya-kruzhevnaya-kombinaciya-innocence-s-atlasnjm-bantom/","4801")</f>
      </c>
      <c r="B4945" s="8" t="s">
        <v>4705</v>
      </c>
      <c r="C4945" s="9">
        <v>2911</v>
      </c>
      <c r="D4945" s="0">
        <v>0</v>
      </c>
      <c r="E4945" s="10">
        <f>HYPERLINK("http://www.lingerieopt.ru/images/original/455f195f-e617-4cb6-a9bd-25728f82c1ca.jpg","Фото")</f>
      </c>
    </row>
    <row r="4946">
      <c r="A4946" s="7">
        <f>HYPERLINK("http://www.lingerieopt.ru/item/4801-poluprozrachnaya-kruzhevnaya-kombinaciya-innocence-s-atlasnjm-bantom/","4801")</f>
      </c>
      <c r="B4946" s="8" t="s">
        <v>4706</v>
      </c>
      <c r="C4946" s="9">
        <v>2911</v>
      </c>
      <c r="D4946" s="0">
        <v>0</v>
      </c>
      <c r="E4946" s="10">
        <f>HYPERLINK("http://www.lingerieopt.ru/images/original/455f195f-e617-4cb6-a9bd-25728f82c1ca.jpg","Фото")</f>
      </c>
    </row>
    <row r="4947">
      <c r="A4947" s="7">
        <f>HYPERLINK("http://www.lingerieopt.ru/item/4801-poluprozrachnaya-kruzhevnaya-kombinaciya-innocence-s-atlasnjm-bantom/","4801")</f>
      </c>
      <c r="B4947" s="8" t="s">
        <v>4707</v>
      </c>
      <c r="C4947" s="9">
        <v>2911</v>
      </c>
      <c r="D4947" s="0">
        <v>2</v>
      </c>
      <c r="E4947" s="10">
        <f>HYPERLINK("http://www.lingerieopt.ru/images/original/455f195f-e617-4cb6-a9bd-25728f82c1ca.jpg","Фото")</f>
      </c>
    </row>
    <row r="4948">
      <c r="A4948" s="7">
        <f>HYPERLINK("http://www.lingerieopt.ru/item/4802-poluprozrachnaya-kombinaciya-kaylee-s-otkrjtjmi-chashkami-lifa/","4802")</f>
      </c>
      <c r="B4948" s="8" t="s">
        <v>4708</v>
      </c>
      <c r="C4948" s="9">
        <v>1602</v>
      </c>
      <c r="D4948" s="0">
        <v>2</v>
      </c>
      <c r="E4948" s="10">
        <f>HYPERLINK("http://www.lingerieopt.ru/images/original/aef1699d-ab4c-47f1-8abf-79882542f40e.jpg","Фото")</f>
      </c>
    </row>
    <row r="4949">
      <c r="A4949" s="7">
        <f>HYPERLINK("http://www.lingerieopt.ru/item/4802-poluprozrachnaya-kombinaciya-kaylee-s-otkrjtjmi-chashkami-lifa/","4802")</f>
      </c>
      <c r="B4949" s="8" t="s">
        <v>4709</v>
      </c>
      <c r="C4949" s="9">
        <v>1602</v>
      </c>
      <c r="D4949" s="0">
        <v>6</v>
      </c>
      <c r="E4949" s="10">
        <f>HYPERLINK("http://www.lingerieopt.ru/images/original/aef1699d-ab4c-47f1-8abf-79882542f40e.jpg","Фото")</f>
      </c>
    </row>
    <row r="4950">
      <c r="A4950" s="7">
        <f>HYPERLINK("http://www.lingerieopt.ru/item/4802-poluprozrachnaya-kombinaciya-kaylee-s-otkrjtjmi-chashkami-lifa/","4802")</f>
      </c>
      <c r="B4950" s="8" t="s">
        <v>4710</v>
      </c>
      <c r="C4950" s="9">
        <v>1602</v>
      </c>
      <c r="D4950" s="0">
        <v>3</v>
      </c>
      <c r="E4950" s="10">
        <f>HYPERLINK("http://www.lingerieopt.ru/images/original/aef1699d-ab4c-47f1-8abf-79882542f40e.jpg","Фото")</f>
      </c>
    </row>
    <row r="4951">
      <c r="A4951" s="7">
        <f>HYPERLINK("http://www.lingerieopt.ru/item/4802-poluprozrachnaya-kombinaciya-kaylee-s-otkrjtjmi-chashkami-lifa/","4802")</f>
      </c>
      <c r="B4951" s="8" t="s">
        <v>4711</v>
      </c>
      <c r="C4951" s="9">
        <v>1602</v>
      </c>
      <c r="D4951" s="0">
        <v>5</v>
      </c>
      <c r="E4951" s="10">
        <f>HYPERLINK("http://www.lingerieopt.ru/images/original/aef1699d-ab4c-47f1-8abf-79882542f40e.jpg","Фото")</f>
      </c>
    </row>
    <row r="4952">
      <c r="A4952" s="7">
        <f>HYPERLINK("http://www.lingerieopt.ru/item/4804-kombinaciya-isida-s-ryushevoi-otdelkoi-i-kruzhevnjm-lifom/","4804")</f>
      </c>
      <c r="B4952" s="8" t="s">
        <v>4712</v>
      </c>
      <c r="C4952" s="9">
        <v>1613</v>
      </c>
      <c r="D4952" s="0">
        <v>3</v>
      </c>
      <c r="E4952" s="10">
        <f>HYPERLINK("http://www.lingerieopt.ru/images/original/6cfae61c-3967-476d-919a-675e5d5b5a6f.jpg","Фото")</f>
      </c>
    </row>
    <row r="4953">
      <c r="A4953" s="7">
        <f>HYPERLINK("http://www.lingerieopt.ru/item/4804-kombinaciya-isida-s-ryushevoi-otdelkoi-i-kruzhevnjm-lifom/","4804")</f>
      </c>
      <c r="B4953" s="8" t="s">
        <v>4713</v>
      </c>
      <c r="C4953" s="9">
        <v>1613</v>
      </c>
      <c r="D4953" s="0">
        <v>2</v>
      </c>
      <c r="E4953" s="10">
        <f>HYPERLINK("http://www.lingerieopt.ru/images/original/6cfae61c-3967-476d-919a-675e5d5b5a6f.jpg","Фото")</f>
      </c>
    </row>
    <row r="4954">
      <c r="A4954" s="7">
        <f>HYPERLINK("http://www.lingerieopt.ru/item/4804-kombinaciya-isida-s-ryushevoi-otdelkoi-i-kruzhevnjm-lifom/","4804")</f>
      </c>
      <c r="B4954" s="8" t="s">
        <v>4714</v>
      </c>
      <c r="C4954" s="9">
        <v>1613</v>
      </c>
      <c r="D4954" s="0">
        <v>5</v>
      </c>
      <c r="E4954" s="10">
        <f>HYPERLINK("http://www.lingerieopt.ru/images/original/6cfae61c-3967-476d-919a-675e5d5b5a6f.jpg","Фото")</f>
      </c>
    </row>
    <row r="4955">
      <c r="A4955" s="7">
        <f>HYPERLINK("http://www.lingerieopt.ru/item/4804-kombinaciya-isida-s-ryushevoi-otdelkoi-i-kruzhevnjm-lifom/","4804")</f>
      </c>
      <c r="B4955" s="8" t="s">
        <v>4715</v>
      </c>
      <c r="C4955" s="9">
        <v>1613</v>
      </c>
      <c r="D4955" s="0">
        <v>2</v>
      </c>
      <c r="E4955" s="10">
        <f>HYPERLINK("http://www.lingerieopt.ru/images/original/6cfae61c-3967-476d-919a-675e5d5b5a6f.jpg","Фото")</f>
      </c>
    </row>
    <row r="4956">
      <c r="A4956" s="7">
        <f>HYPERLINK("http://www.lingerieopt.ru/item/4806-poluprozrachnaya-kruzhevnaya-sorochka-mila-s-treugolnjmi-chashechkami-lifa/","4806")</f>
      </c>
      <c r="B4956" s="8" t="s">
        <v>4716</v>
      </c>
      <c r="C4956" s="9">
        <v>2040</v>
      </c>
      <c r="D4956" s="0">
        <v>2</v>
      </c>
      <c r="E4956" s="10">
        <f>HYPERLINK("http://www.lingerieopt.ru/images/original/dfa055e4-635e-4935-a60f-dfb6b0490f52.jpg","Фото")</f>
      </c>
    </row>
    <row r="4957">
      <c r="A4957" s="7">
        <f>HYPERLINK("http://www.lingerieopt.ru/item/4806-poluprozrachnaya-kruzhevnaya-sorochka-mila-s-treugolnjmi-chashechkami-lifa/","4806")</f>
      </c>
      <c r="B4957" s="8" t="s">
        <v>4717</v>
      </c>
      <c r="C4957" s="9">
        <v>2040</v>
      </c>
      <c r="D4957" s="0">
        <v>0</v>
      </c>
      <c r="E4957" s="10">
        <f>HYPERLINK("http://www.lingerieopt.ru/images/original/dfa055e4-635e-4935-a60f-dfb6b0490f52.jpg","Фото")</f>
      </c>
    </row>
    <row r="4958">
      <c r="A4958" s="7">
        <f>HYPERLINK("http://www.lingerieopt.ru/item/4806-poluprozrachnaya-kruzhevnaya-sorochka-mila-s-treugolnjmi-chashechkami-lifa/","4806")</f>
      </c>
      <c r="B4958" s="8" t="s">
        <v>4718</v>
      </c>
      <c r="C4958" s="9">
        <v>2040</v>
      </c>
      <c r="D4958" s="0">
        <v>0</v>
      </c>
      <c r="E4958" s="10">
        <f>HYPERLINK("http://www.lingerieopt.ru/images/original/dfa055e4-635e-4935-a60f-dfb6b0490f52.jpg","Фото")</f>
      </c>
    </row>
    <row r="4959">
      <c r="A4959" s="7">
        <f>HYPERLINK("http://www.lingerieopt.ru/item/4809-sorochka-sasha-s-shirokim-kruzhevom-po-podolu/","4809")</f>
      </c>
      <c r="B4959" s="8" t="s">
        <v>4719</v>
      </c>
      <c r="C4959" s="9">
        <v>2954</v>
      </c>
      <c r="D4959" s="0">
        <v>0</v>
      </c>
      <c r="E4959" s="10">
        <f>HYPERLINK("http://www.lingerieopt.ru/images/original/83020237-ef3d-4ced-a4d5-019614043df9.jpg","Фото")</f>
      </c>
    </row>
    <row r="4960">
      <c r="A4960" s="7">
        <f>HYPERLINK("http://www.lingerieopt.ru/item/4809-sorochka-sasha-s-shirokim-kruzhevom-po-podolu/","4809")</f>
      </c>
      <c r="B4960" s="8" t="s">
        <v>4720</v>
      </c>
      <c r="C4960" s="9">
        <v>2954</v>
      </c>
      <c r="D4960" s="0">
        <v>2</v>
      </c>
      <c r="E4960" s="10">
        <f>HYPERLINK("http://www.lingerieopt.ru/images/original/83020237-ef3d-4ced-a4d5-019614043df9.jpg","Фото")</f>
      </c>
    </row>
    <row r="4961">
      <c r="A4961" s="7">
        <f>HYPERLINK("http://www.lingerieopt.ru/item/4809-sorochka-sasha-s-shirokim-kruzhevom-po-podolu/","4809")</f>
      </c>
      <c r="B4961" s="8" t="s">
        <v>4721</v>
      </c>
      <c r="C4961" s="9">
        <v>2954</v>
      </c>
      <c r="D4961" s="0">
        <v>0</v>
      </c>
      <c r="E4961" s="10">
        <f>HYPERLINK("http://www.lingerieopt.ru/images/original/83020237-ef3d-4ced-a4d5-019614043df9.jpg","Фото")</f>
      </c>
    </row>
    <row r="4962">
      <c r="A4962" s="7">
        <f>HYPERLINK("http://www.lingerieopt.ru/item/4811-sorochka-seduce-me-s-ryushevoi-otorochkoi/","4811")</f>
      </c>
      <c r="B4962" s="8" t="s">
        <v>4722</v>
      </c>
      <c r="C4962" s="9">
        <v>2336</v>
      </c>
      <c r="D4962" s="0">
        <v>0</v>
      </c>
      <c r="E4962" s="10">
        <f>HYPERLINK("http://www.lingerieopt.ru/images/original/d3f8c665-818f-4462-a7b1-a460ca08d41e.jpg","Фото")</f>
      </c>
    </row>
    <row r="4963">
      <c r="A4963" s="7">
        <f>HYPERLINK("http://www.lingerieopt.ru/item/4811-sorochka-seduce-me-s-ryushevoi-otorochkoi/","4811")</f>
      </c>
      <c r="B4963" s="8" t="s">
        <v>4723</v>
      </c>
      <c r="C4963" s="9">
        <v>2336</v>
      </c>
      <c r="D4963" s="0">
        <v>3</v>
      </c>
      <c r="E4963" s="10">
        <f>HYPERLINK("http://www.lingerieopt.ru/images/original/d3f8c665-818f-4462-a7b1-a460ca08d41e.jpg","Фото")</f>
      </c>
    </row>
    <row r="4964">
      <c r="A4964" s="7">
        <f>HYPERLINK("http://www.lingerieopt.ru/item/4811-sorochka-seduce-me-s-ryushevoi-otorochkoi/","4811")</f>
      </c>
      <c r="B4964" s="8" t="s">
        <v>4724</v>
      </c>
      <c r="C4964" s="9">
        <v>2336</v>
      </c>
      <c r="D4964" s="0">
        <v>0</v>
      </c>
      <c r="E4964" s="10">
        <f>HYPERLINK("http://www.lingerieopt.ru/images/original/d3f8c665-818f-4462-a7b1-a460ca08d41e.jpg","Фото")</f>
      </c>
    </row>
    <row r="4965">
      <c r="A4965" s="7">
        <f>HYPERLINK("http://www.lingerieopt.ru/item/4813-sorochka-sienna-v-goroshek-s-metallicheskimi-kolcami-na-life/","4813")</f>
      </c>
      <c r="B4965" s="8" t="s">
        <v>4725</v>
      </c>
      <c r="C4965" s="9">
        <v>2072</v>
      </c>
      <c r="D4965" s="0">
        <v>4</v>
      </c>
      <c r="E4965" s="10">
        <f>HYPERLINK("http://www.lingerieopt.ru/images/original/d6d40d48-f2b9-4561-b221-41d0869154ea.jpg","Фото")</f>
      </c>
    </row>
    <row r="4966">
      <c r="A4966" s="7">
        <f>HYPERLINK("http://www.lingerieopt.ru/item/4813-sorochka-sienna-v-goroshek-s-metallicheskimi-kolcami-na-life/","4813")</f>
      </c>
      <c r="B4966" s="8" t="s">
        <v>4726</v>
      </c>
      <c r="C4966" s="9">
        <v>2072</v>
      </c>
      <c r="D4966" s="0">
        <v>3</v>
      </c>
      <c r="E4966" s="10">
        <f>HYPERLINK("http://www.lingerieopt.ru/images/original/d6d40d48-f2b9-4561-b221-41d0869154ea.jpg","Фото")</f>
      </c>
    </row>
    <row r="4967">
      <c r="A4967" s="7">
        <f>HYPERLINK("http://www.lingerieopt.ru/item/4813-sorochka-sienna-v-goroshek-s-metallicheskimi-kolcami-na-life/","4813")</f>
      </c>
      <c r="B4967" s="8" t="s">
        <v>4727</v>
      </c>
      <c r="C4967" s="9">
        <v>2072</v>
      </c>
      <c r="D4967" s="0">
        <v>3</v>
      </c>
      <c r="E4967" s="10">
        <f>HYPERLINK("http://www.lingerieopt.ru/images/original/d6d40d48-f2b9-4561-b221-41d0869154ea.jpg","Фото")</f>
      </c>
    </row>
    <row r="4968">
      <c r="A4968" s="7">
        <f>HYPERLINK("http://www.lingerieopt.ru/item/4813-sorochka-sienna-v-goroshek-s-metallicheskimi-kolcami-na-life/","4813")</f>
      </c>
      <c r="B4968" s="8" t="s">
        <v>4728</v>
      </c>
      <c r="C4968" s="9">
        <v>2072</v>
      </c>
      <c r="D4968" s="0">
        <v>3</v>
      </c>
      <c r="E4968" s="10">
        <f>HYPERLINK("http://www.lingerieopt.ru/images/original/d6d40d48-f2b9-4561-b221-41d0869154ea.jpg","Фото")</f>
      </c>
    </row>
    <row r="4969">
      <c r="A4969" s="7">
        <f>HYPERLINK("http://www.lingerieopt.ru/item/4816-oblegayuschaya-sorochka-splash-s-kruzhevnjm-lifom-i-atlasnoi-vstavkoi/","4816")</f>
      </c>
      <c r="B4969" s="8" t="s">
        <v>4729</v>
      </c>
      <c r="C4969" s="9">
        <v>1590</v>
      </c>
      <c r="D4969" s="0">
        <v>2</v>
      </c>
      <c r="E4969" s="10">
        <f>HYPERLINK("http://www.lingerieopt.ru/images/original/2a7aef09-8154-4d07-a1e3-e6636c718ec7.jpg","Фото")</f>
      </c>
    </row>
    <row r="4970">
      <c r="A4970" s="7">
        <f>HYPERLINK("http://www.lingerieopt.ru/item/4816-oblegayuschaya-sorochka-splash-s-kruzhevnjm-lifom-i-atlasnoi-vstavkoi/","4816")</f>
      </c>
      <c r="B4970" s="8" t="s">
        <v>4730</v>
      </c>
      <c r="C4970" s="9">
        <v>1590</v>
      </c>
      <c r="D4970" s="0">
        <v>5</v>
      </c>
      <c r="E4970" s="10">
        <f>HYPERLINK("http://www.lingerieopt.ru/images/original/2a7aef09-8154-4d07-a1e3-e6636c718ec7.jpg","Фото")</f>
      </c>
    </row>
    <row r="4971">
      <c r="A4971" s="7">
        <f>HYPERLINK("http://www.lingerieopt.ru/item/4816-oblegayuschaya-sorochka-splash-s-kruzhevnjm-lifom-i-atlasnoi-vstavkoi/","4816")</f>
      </c>
      <c r="B4971" s="8" t="s">
        <v>4731</v>
      </c>
      <c r="C4971" s="9">
        <v>1590</v>
      </c>
      <c r="D4971" s="0">
        <v>4</v>
      </c>
      <c r="E4971" s="10">
        <f>HYPERLINK("http://www.lingerieopt.ru/images/original/2a7aef09-8154-4d07-a1e3-e6636c718ec7.jpg","Фото")</f>
      </c>
    </row>
    <row r="4972">
      <c r="A4972" s="7">
        <f>HYPERLINK("http://www.lingerieopt.ru/item/4816-oblegayuschaya-sorochka-splash-s-kruzhevnjm-lifom-i-atlasnoi-vstavkoi/","4816")</f>
      </c>
      <c r="B4972" s="8" t="s">
        <v>4732</v>
      </c>
      <c r="C4972" s="9">
        <v>1590</v>
      </c>
      <c r="D4972" s="0">
        <v>3</v>
      </c>
      <c r="E4972" s="10">
        <f>HYPERLINK("http://www.lingerieopt.ru/images/original/2a7aef09-8154-4d07-a1e3-e6636c718ec7.jpg","Фото")</f>
      </c>
    </row>
    <row r="4973">
      <c r="A4973" s="7">
        <f>HYPERLINK("http://www.lingerieopt.ru/item/4818-poluprozrachnaya-sorochka-tigra-s-otkrjtoi-spinkoi/","4818")</f>
      </c>
      <c r="B4973" s="8" t="s">
        <v>4733</v>
      </c>
      <c r="C4973" s="9">
        <v>1169</v>
      </c>
      <c r="D4973" s="0">
        <v>1</v>
      </c>
      <c r="E4973" s="10">
        <f>HYPERLINK("http://www.lingerieopt.ru/images/original/eb4bfe1d-7b59-4864-b828-bc602f21e1b9.jpg","Фото")</f>
      </c>
    </row>
    <row r="4974">
      <c r="A4974" s="7">
        <f>HYPERLINK("http://www.lingerieopt.ru/item/4818-poluprozrachnaya-sorochka-tigra-s-otkrjtoi-spinkoi/","4818")</f>
      </c>
      <c r="B4974" s="8" t="s">
        <v>4734</v>
      </c>
      <c r="C4974" s="9">
        <v>1169</v>
      </c>
      <c r="D4974" s="0">
        <v>0</v>
      </c>
      <c r="E4974" s="10">
        <f>HYPERLINK("http://www.lingerieopt.ru/images/original/eb4bfe1d-7b59-4864-b828-bc602f21e1b9.jpg","Фото")</f>
      </c>
    </row>
    <row r="4975">
      <c r="A4975" s="7">
        <f>HYPERLINK("http://www.lingerieopt.ru/item/4818-poluprozrachnaya-sorochka-tigra-s-otkrjtoi-spinkoi/","4818")</f>
      </c>
      <c r="B4975" s="8" t="s">
        <v>4735</v>
      </c>
      <c r="C4975" s="9">
        <v>1169</v>
      </c>
      <c r="D4975" s="0">
        <v>0</v>
      </c>
      <c r="E4975" s="10">
        <f>HYPERLINK("http://www.lingerieopt.ru/images/original/eb4bfe1d-7b59-4864-b828-bc602f21e1b9.jpg","Фото")</f>
      </c>
    </row>
    <row r="4976">
      <c r="A4976" s="7">
        <f>HYPERLINK("http://www.lingerieopt.ru/item/4818-poluprozrachnaya-sorochka-tigra-s-otkrjtoi-spinkoi/","4818")</f>
      </c>
      <c r="B4976" s="8" t="s">
        <v>4736</v>
      </c>
      <c r="C4976" s="9">
        <v>1169</v>
      </c>
      <c r="D4976" s="0">
        <v>0</v>
      </c>
      <c r="E4976" s="10">
        <f>HYPERLINK("http://www.lingerieopt.ru/images/original/eb4bfe1d-7b59-4864-b828-bc602f21e1b9.jpg","Фото")</f>
      </c>
    </row>
    <row r="4977">
      <c r="A4977" s="7">
        <f>HYPERLINK("http://www.lingerieopt.ru/item/4829-otkrjtaya-sorochka-wild-nymph-s-cepochkoi-iz-kristallov/","4829")</f>
      </c>
      <c r="B4977" s="8" t="s">
        <v>4737</v>
      </c>
      <c r="C4977" s="9">
        <v>1190</v>
      </c>
      <c r="D4977" s="0">
        <v>1</v>
      </c>
      <c r="E4977" s="10">
        <f>HYPERLINK("http://www.lingerieopt.ru/images/original/b30a1a91-5d1e-40f0-9179-23213628c1af.jpg","Фото")</f>
      </c>
    </row>
    <row r="4978">
      <c r="A4978" s="7">
        <f>HYPERLINK("http://www.lingerieopt.ru/item/4829-otkrjtaya-sorochka-wild-nymph-s-cepochkoi-iz-kristallov/","4829")</f>
      </c>
      <c r="B4978" s="8" t="s">
        <v>4738</v>
      </c>
      <c r="C4978" s="9">
        <v>1190</v>
      </c>
      <c r="D4978" s="0">
        <v>10</v>
      </c>
      <c r="E4978" s="10">
        <f>HYPERLINK("http://www.lingerieopt.ru/images/original/b30a1a91-5d1e-40f0-9179-23213628c1af.jpg","Фото")</f>
      </c>
    </row>
    <row r="4979">
      <c r="A4979" s="7">
        <f>HYPERLINK("http://www.lingerieopt.ru/item/4829-otkrjtaya-sorochka-wild-nymph-s-cepochkoi-iz-kristallov/","4829")</f>
      </c>
      <c r="B4979" s="8" t="s">
        <v>4739</v>
      </c>
      <c r="C4979" s="9">
        <v>1190</v>
      </c>
      <c r="D4979" s="0">
        <v>1</v>
      </c>
      <c r="E4979" s="10">
        <f>HYPERLINK("http://www.lingerieopt.ru/images/original/b30a1a91-5d1e-40f0-9179-23213628c1af.jpg","Фото")</f>
      </c>
    </row>
    <row r="4980">
      <c r="A4980" s="7">
        <f>HYPERLINK("http://www.lingerieopt.ru/item/4829-otkrjtaya-sorochka-wild-nymph-s-cepochkoi-iz-kristallov/","4829")</f>
      </c>
      <c r="B4980" s="8" t="s">
        <v>4740</v>
      </c>
      <c r="C4980" s="9">
        <v>1190</v>
      </c>
      <c r="D4980" s="0">
        <v>4</v>
      </c>
      <c r="E4980" s="10">
        <f>HYPERLINK("http://www.lingerieopt.ru/images/original/b30a1a91-5d1e-40f0-9179-23213628c1af.jpg","Фото")</f>
      </c>
    </row>
    <row r="4981">
      <c r="A4981" s="7">
        <f>HYPERLINK("http://www.lingerieopt.ru/item/4860-sorochka-v-krupnuyu-setku-s-troinjmi-bretelyami/","4860")</f>
      </c>
      <c r="B4981" s="8" t="s">
        <v>4741</v>
      </c>
      <c r="C4981" s="9">
        <v>1446</v>
      </c>
      <c r="D4981" s="0">
        <v>30</v>
      </c>
      <c r="E4981" s="10">
        <f>HYPERLINK("http://www.lingerieopt.ru/images/original/23141746-f0d0-4f24-ab22-48a075da2c14.jpg","Фото")</f>
      </c>
    </row>
    <row r="4982">
      <c r="A4982" s="7">
        <f>HYPERLINK("http://www.lingerieopt.ru/item/4865-setchataya-sorochka-s-vjrezom-kaplei/","4865")</f>
      </c>
      <c r="B4982" s="8" t="s">
        <v>4742</v>
      </c>
      <c r="C4982" s="9">
        <v>1507</v>
      </c>
      <c r="D4982" s="0">
        <v>30</v>
      </c>
      <c r="E4982" s="10">
        <f>HYPERLINK("http://www.lingerieopt.ru/images/original/19f9593f-dd6e-4b30-8625-a7ab04e55742.jpg","Фото")</f>
      </c>
    </row>
    <row r="4983">
      <c r="A4983" s="7">
        <f>HYPERLINK("http://www.lingerieopt.ru/item/4867-elegantnaya-sorochka-empressia/","4867")</f>
      </c>
      <c r="B4983" s="8" t="s">
        <v>4743</v>
      </c>
      <c r="C4983" s="9">
        <v>2079</v>
      </c>
      <c r="D4983" s="0">
        <v>11</v>
      </c>
      <c r="E4983" s="10">
        <f>HYPERLINK("http://www.lingerieopt.ru/images/original/fc02016e-20e7-4f1e-94e6-8fe3cf86a051.jpg","Фото")</f>
      </c>
    </row>
    <row r="4984">
      <c r="A4984" s="7">
        <f>HYPERLINK("http://www.lingerieopt.ru/item/4867-elegantnaya-sorochka-empressia/","4867")</f>
      </c>
      <c r="B4984" s="8" t="s">
        <v>4744</v>
      </c>
      <c r="C4984" s="9">
        <v>2079</v>
      </c>
      <c r="D4984" s="0">
        <v>1</v>
      </c>
      <c r="E4984" s="10">
        <f>HYPERLINK("http://www.lingerieopt.ru/images/original/fc02016e-20e7-4f1e-94e6-8fe3cf86a051.jpg","Фото")</f>
      </c>
    </row>
    <row r="4985">
      <c r="A4985" s="7">
        <f>HYPERLINK("http://www.lingerieopt.ru/item/4869-satinovaya-sorochka-lelia/","4869")</f>
      </c>
      <c r="B4985" s="8" t="s">
        <v>4745</v>
      </c>
      <c r="C4985" s="9">
        <v>1716</v>
      </c>
      <c r="D4985" s="0">
        <v>0</v>
      </c>
      <c r="E4985" s="10">
        <f>HYPERLINK("http://www.lingerieopt.ru/images/original/43eb3706-26ec-4471-b50d-c0fbee319506.jpg","Фото")</f>
      </c>
    </row>
    <row r="4986">
      <c r="A4986" s="7">
        <f>HYPERLINK("http://www.lingerieopt.ru/item/4869-satinovaya-sorochka-lelia/","4869")</f>
      </c>
      <c r="B4986" s="8" t="s">
        <v>4746</v>
      </c>
      <c r="C4986" s="9">
        <v>1716</v>
      </c>
      <c r="D4986" s="0">
        <v>1</v>
      </c>
      <c r="E4986" s="10">
        <f>HYPERLINK("http://www.lingerieopt.ru/images/original/43eb3706-26ec-4471-b50d-c0fbee319506.jpg","Фото")</f>
      </c>
    </row>
    <row r="4987">
      <c r="A4987" s="7">
        <f>HYPERLINK("http://www.lingerieopt.ru/item/4890-oblegayuschaya-zhakkardovaya-sorochka/","4890")</f>
      </c>
      <c r="B4987" s="8" t="s">
        <v>4747</v>
      </c>
      <c r="C4987" s="9">
        <v>2111</v>
      </c>
      <c r="D4987" s="0">
        <v>6</v>
      </c>
      <c r="E4987" s="10">
        <f>HYPERLINK("http://www.lingerieopt.ru/images/original/a92c6a13-f73b-4057-99c3-4709f587bb30.jpg","Фото")</f>
      </c>
    </row>
    <row r="4988">
      <c r="A4988" s="7">
        <f>HYPERLINK("http://www.lingerieopt.ru/item/4891-poluprozrachnaya-sorochka-s-kontrastnjmi-liniyami/","4891")</f>
      </c>
      <c r="B4988" s="8" t="s">
        <v>4748</v>
      </c>
      <c r="C4988" s="9">
        <v>2111</v>
      </c>
      <c r="D4988" s="0">
        <v>30</v>
      </c>
      <c r="E4988" s="10">
        <f>HYPERLINK("http://www.lingerieopt.ru/images/original/b6cce034-e894-47ed-9d56-3780e85f9d31.jpg","Фото")</f>
      </c>
    </row>
    <row r="4989">
      <c r="A4989" s="7">
        <f>HYPERLINK("http://www.lingerieopt.ru/item/4898-poluprozrachnji-bebi-doll-s-korsetnjmi-liniyami/","4898")</f>
      </c>
      <c r="B4989" s="8" t="s">
        <v>4749</v>
      </c>
      <c r="C4989" s="9">
        <v>2111</v>
      </c>
      <c r="D4989" s="0">
        <v>30</v>
      </c>
      <c r="E4989" s="10">
        <f>HYPERLINK("http://www.lingerieopt.ru/images/original/e3318a74-5ac9-40e9-be9b-e5ed76347137.jpg","Фото")</f>
      </c>
    </row>
    <row r="4990">
      <c r="A4990" s="7">
        <f>HYPERLINK("http://www.lingerieopt.ru/item/4903-neglizhe-s-vjrezami-pod-lifom/","4903")</f>
      </c>
      <c r="B4990" s="8" t="s">
        <v>4750</v>
      </c>
      <c r="C4990" s="9">
        <v>2111</v>
      </c>
      <c r="D4990" s="0">
        <v>6</v>
      </c>
      <c r="E4990" s="10">
        <f>HYPERLINK("http://www.lingerieopt.ru/images/original/ba3da5b8-e064-4d94-bd19-96244c373b7f.jpg","Фото")</f>
      </c>
    </row>
    <row r="4991">
      <c r="A4991" s="7">
        <f>HYPERLINK("http://www.lingerieopt.ru/item/4905-setchataya-sorochka-s-otkrjtoi-spinoi/","4905")</f>
      </c>
      <c r="B4991" s="8" t="s">
        <v>4751</v>
      </c>
      <c r="C4991" s="9">
        <v>2275</v>
      </c>
      <c r="D4991" s="0">
        <v>7</v>
      </c>
      <c r="E4991" s="10">
        <f>HYPERLINK("http://www.lingerieopt.ru/images/original/a16be3ab-41d0-4594-b89e-4d76c9be2682.jpg","Фото")</f>
      </c>
    </row>
    <row r="4992">
      <c r="A4992" s="7">
        <f>HYPERLINK("http://www.lingerieopt.ru/item/4907-poluprozrachnaya-sorochka-s-kontrastnjmi-liniyami/","4907")</f>
      </c>
      <c r="B4992" s="8" t="s">
        <v>4752</v>
      </c>
      <c r="C4992" s="9">
        <v>1949</v>
      </c>
      <c r="D4992" s="0">
        <v>30</v>
      </c>
      <c r="E4992" s="10">
        <f>HYPERLINK("http://www.lingerieopt.ru/images/original/aa293438-78cb-4f67-b112-9ed3d8062a36.jpg","Фото")</f>
      </c>
    </row>
    <row r="4993">
      <c r="A4993" s="7">
        <f>HYPERLINK("http://www.lingerieopt.ru/item/4908-neglizhe-s-vjrezami-pod-lifom/","4908")</f>
      </c>
      <c r="B4993" s="8" t="s">
        <v>4753</v>
      </c>
      <c r="C4993" s="9">
        <v>2275</v>
      </c>
      <c r="D4993" s="0">
        <v>6</v>
      </c>
      <c r="E4993" s="10">
        <f>HYPERLINK("http://www.lingerieopt.ru/images/original/6efab252-0020-4e55-b082-dd8f005f05ad.jpg","Фото")</f>
      </c>
    </row>
    <row r="4994">
      <c r="A4994" s="7">
        <f>HYPERLINK("http://www.lingerieopt.ru/item/4911-sorochka-siliya-s-glubokim-vjrezom/","4911")</f>
      </c>
      <c r="B4994" s="8" t="s">
        <v>4754</v>
      </c>
      <c r="C4994" s="9">
        <v>1633</v>
      </c>
      <c r="D4994" s="0">
        <v>0</v>
      </c>
      <c r="E4994" s="10">
        <f>HYPERLINK("http://www.lingerieopt.ru/images/original/01fa81f7-0525-44ad-bee8-da5f5ef541cb.jpg","Фото")</f>
      </c>
    </row>
    <row r="4995">
      <c r="A4995" s="7">
        <f>HYPERLINK("http://www.lingerieopt.ru/item/4911-sorochka-siliya-s-glubokim-vjrezom/","4911")</f>
      </c>
      <c r="B4995" s="8" t="s">
        <v>4755</v>
      </c>
      <c r="C4995" s="9">
        <v>1633</v>
      </c>
      <c r="D4995" s="0">
        <v>0</v>
      </c>
      <c r="E4995" s="10">
        <f>HYPERLINK("http://www.lingerieopt.ru/images/original/01fa81f7-0525-44ad-bee8-da5f5ef541cb.jpg","Фото")</f>
      </c>
    </row>
    <row r="4996">
      <c r="A4996" s="7">
        <f>HYPERLINK("http://www.lingerieopt.ru/item/4911-sorochka-siliya-s-glubokim-vjrezom/","4911")</f>
      </c>
      <c r="B4996" s="8" t="s">
        <v>4756</v>
      </c>
      <c r="C4996" s="9">
        <v>1633</v>
      </c>
      <c r="D4996" s="0">
        <v>5</v>
      </c>
      <c r="E4996" s="10">
        <f>HYPERLINK("http://www.lingerieopt.ru/images/original/01fa81f7-0525-44ad-bee8-da5f5ef541cb.jpg","Фото")</f>
      </c>
    </row>
    <row r="4997">
      <c r="A4997" s="7">
        <f>HYPERLINK("http://www.lingerieopt.ru/item/4912-poluprozrachnaya-sorochka-eksin-s-gorlovinoi-amerikanka/","4912")</f>
      </c>
      <c r="B4997" s="8" t="s">
        <v>3968</v>
      </c>
      <c r="C4997" s="9">
        <v>1115</v>
      </c>
      <c r="D4997" s="0">
        <v>5</v>
      </c>
      <c r="E4997" s="10">
        <f>HYPERLINK("http://www.lingerieopt.ru/images/original/d25568ee-a5e3-4ebf-8c6d-9dece64a2ec4.jpg","Фото")</f>
      </c>
    </row>
    <row r="4998">
      <c r="A4998" s="7">
        <f>HYPERLINK("http://www.lingerieopt.ru/item/4912-poluprozrachnaya-sorochka-eksin-s-gorlovinoi-amerikanka/","4912")</f>
      </c>
      <c r="B4998" s="8" t="s">
        <v>3967</v>
      </c>
      <c r="C4998" s="9">
        <v>1115</v>
      </c>
      <c r="D4998" s="0">
        <v>0</v>
      </c>
      <c r="E4998" s="10">
        <f>HYPERLINK("http://www.lingerieopt.ru/images/original/d25568ee-a5e3-4ebf-8c6d-9dece64a2ec4.jpg","Фото")</f>
      </c>
    </row>
    <row r="4999">
      <c r="A4999" s="7">
        <f>HYPERLINK("http://www.lingerieopt.ru/item/4912-poluprozrachnaya-sorochka-eksin-s-gorlovinoi-amerikanka/","4912")</f>
      </c>
      <c r="B4999" s="8" t="s">
        <v>3966</v>
      </c>
      <c r="C4999" s="9">
        <v>1115</v>
      </c>
      <c r="D4999" s="0">
        <v>0</v>
      </c>
      <c r="E4999" s="10">
        <f>HYPERLINK("http://www.lingerieopt.ru/images/original/d25568ee-a5e3-4ebf-8c6d-9dece64a2ec4.jpg","Фото")</f>
      </c>
    </row>
    <row r="5000">
      <c r="A5000" s="7">
        <f>HYPERLINK("http://www.lingerieopt.ru/item/4949-chernaya-kruzhevnaya-sorochka-christelle/","4949")</f>
      </c>
      <c r="B5000" s="8" t="s">
        <v>4757</v>
      </c>
      <c r="C5000" s="9">
        <v>1144</v>
      </c>
      <c r="D5000" s="0">
        <v>19</v>
      </c>
      <c r="E5000" s="10">
        <f>HYPERLINK("http://www.lingerieopt.ru/images/original/9bc38398-cd1a-4eef-9a49-0ff53e7cd4f4.jpg","Фото")</f>
      </c>
    </row>
    <row r="5001">
      <c r="A5001" s="7">
        <f>HYPERLINK("http://www.lingerieopt.ru/item/4949-chernaya-kruzhevnaya-sorochka-christelle/","4949")</f>
      </c>
      <c r="B5001" s="8" t="s">
        <v>4758</v>
      </c>
      <c r="C5001" s="9">
        <v>1144</v>
      </c>
      <c r="D5001" s="0">
        <v>0</v>
      </c>
      <c r="E5001" s="10">
        <f>HYPERLINK("http://www.lingerieopt.ru/images/original/9bc38398-cd1a-4eef-9a49-0ff53e7cd4f4.jpg","Фото")</f>
      </c>
    </row>
    <row r="5002">
      <c r="A5002" s="7">
        <f>HYPERLINK("http://www.lingerieopt.ru/item/4949-chernaya-kruzhevnaya-sorochka-christelle/","4949")</f>
      </c>
      <c r="B5002" s="8" t="s">
        <v>4759</v>
      </c>
      <c r="C5002" s="9">
        <v>1144</v>
      </c>
      <c r="D5002" s="0">
        <v>13</v>
      </c>
      <c r="E5002" s="10">
        <f>HYPERLINK("http://www.lingerieopt.ru/images/original/9bc38398-cd1a-4eef-9a49-0ff53e7cd4f4.jpg","Фото")</f>
      </c>
    </row>
    <row r="5003">
      <c r="A5003" s="7">
        <f>HYPERLINK("http://www.lingerieopt.ru/item/4949-chernaya-kruzhevnaya-sorochka-christelle/","4949")</f>
      </c>
      <c r="B5003" s="8" t="s">
        <v>4760</v>
      </c>
      <c r="C5003" s="9">
        <v>1144</v>
      </c>
      <c r="D5003" s="0">
        <v>1</v>
      </c>
      <c r="E5003" s="10">
        <f>HYPERLINK("http://www.lingerieopt.ru/images/original/9bc38398-cd1a-4eef-9a49-0ff53e7cd4f4.jpg","Фото")</f>
      </c>
    </row>
    <row r="5004">
      <c r="A5004" s="7">
        <f>HYPERLINK("http://www.lingerieopt.ru/item/4965-oblegayuschaya-sorochka-creda-s-nezhnjm-kruzhevom/","4965")</f>
      </c>
      <c r="B5004" s="8" t="s">
        <v>4761</v>
      </c>
      <c r="C5004" s="9">
        <v>2117</v>
      </c>
      <c r="D5004" s="0">
        <v>2</v>
      </c>
      <c r="E5004" s="10">
        <f>HYPERLINK("http://www.lingerieopt.ru/images/original/2cdabeac-3d53-43c4-9b1d-7b68cf569705.jpg","Фото")</f>
      </c>
    </row>
    <row r="5005">
      <c r="A5005" s="7">
        <f>HYPERLINK("http://www.lingerieopt.ru/item/4973-sorochka-zahara-s-poluprozrachnjmi-kruzhevnjmi-elementami/","4973")</f>
      </c>
      <c r="B5005" s="8" t="s">
        <v>4762</v>
      </c>
      <c r="C5005" s="9">
        <v>2161</v>
      </c>
      <c r="D5005" s="0">
        <v>1</v>
      </c>
      <c r="E5005" s="10">
        <f>HYPERLINK("http://www.lingerieopt.ru/images/original/130b1f43-e97d-4c30-bf2d-5cdc21f44651.jpg","Фото")</f>
      </c>
    </row>
    <row r="5006">
      <c r="A5006" s="7">
        <f>HYPERLINK("http://www.lingerieopt.ru/item/4974-oblegayuschaya-sorochka-kalia-s-babochkami-na-kruzheve/","4974")</f>
      </c>
      <c r="B5006" s="8" t="s">
        <v>4763</v>
      </c>
      <c r="C5006" s="9">
        <v>2276</v>
      </c>
      <c r="D5006" s="0">
        <v>6</v>
      </c>
      <c r="E5006" s="10">
        <f>HYPERLINK("http://www.lingerieopt.ru/images/original/621f0bd6-d4b9-4244-b3a5-141af83eceaa.jpg","Фото")</f>
      </c>
    </row>
    <row r="5007">
      <c r="A5007" s="7">
        <f>HYPERLINK("http://www.lingerieopt.ru/item/4978-serebristaya-sorochka-avena-s-kruzhevnoi-otorochkoi/","4978")</f>
      </c>
      <c r="B5007" s="8" t="s">
        <v>4764</v>
      </c>
      <c r="C5007" s="9">
        <v>2390</v>
      </c>
      <c r="D5007" s="0">
        <v>9</v>
      </c>
      <c r="E5007" s="10">
        <f>HYPERLINK("http://www.lingerieopt.ru/images/original/cc587307-0215-4dc7-bb6d-cbdb660260c1.jpg","Фото")</f>
      </c>
    </row>
    <row r="5008">
      <c r="A5008" s="7">
        <f>HYPERLINK("http://www.lingerieopt.ru/item/5034-prelestnaya-sorochka-nikki-s-otkrjtoi-spinoi/","5034")</f>
      </c>
      <c r="B5008" s="8" t="s">
        <v>4765</v>
      </c>
      <c r="C5008" s="9">
        <v>1558</v>
      </c>
      <c r="D5008" s="0">
        <v>5</v>
      </c>
      <c r="E5008" s="10">
        <f>HYPERLINK("http://www.lingerieopt.ru/images/original/69207a5e-013f-405a-935d-d8af8ae6bb72.jpg","Фото")</f>
      </c>
    </row>
    <row r="5009">
      <c r="A5009" s="7">
        <f>HYPERLINK("http://www.lingerieopt.ru/item/5034-prelestnaya-sorochka-nikki-s-otkrjtoi-spinoi/","5034")</f>
      </c>
      <c r="B5009" s="8" t="s">
        <v>4766</v>
      </c>
      <c r="C5009" s="9">
        <v>1558</v>
      </c>
      <c r="D5009" s="0">
        <v>5</v>
      </c>
      <c r="E5009" s="10">
        <f>HYPERLINK("http://www.lingerieopt.ru/images/original/69207a5e-013f-405a-935d-d8af8ae6bb72.jpg","Фото")</f>
      </c>
    </row>
    <row r="5010">
      <c r="A5010" s="7">
        <f>HYPERLINK("http://www.lingerieopt.ru/item/5035-nezhnaya-sorochka-rosie-s-kruzhevami/","5035")</f>
      </c>
      <c r="B5010" s="8" t="s">
        <v>4767</v>
      </c>
      <c r="C5010" s="9">
        <v>1090</v>
      </c>
      <c r="D5010" s="0">
        <v>1</v>
      </c>
      <c r="E5010" s="10">
        <f>HYPERLINK("http://www.lingerieopt.ru/images/original/52e4930f-7070-48ec-bd29-7c58169e311e.jpg","Фото")</f>
      </c>
    </row>
    <row r="5011">
      <c r="A5011" s="7">
        <f>HYPERLINK("http://www.lingerieopt.ru/item/5035-nezhnaya-sorochka-rosie-s-kruzhevami/","5035")</f>
      </c>
      <c r="B5011" s="8" t="s">
        <v>4768</v>
      </c>
      <c r="C5011" s="9">
        <v>1090</v>
      </c>
      <c r="D5011" s="0">
        <v>0</v>
      </c>
      <c r="E5011" s="10">
        <f>HYPERLINK("http://www.lingerieopt.ru/images/original/52e4930f-7070-48ec-bd29-7c58169e311e.jpg","Фото")</f>
      </c>
    </row>
    <row r="5012">
      <c r="A5012" s="7">
        <f>HYPERLINK("http://www.lingerieopt.ru/item/5036-sorochka-sharlote-na-tonkih-bretelyah/","5036")</f>
      </c>
      <c r="B5012" s="8" t="s">
        <v>4769</v>
      </c>
      <c r="C5012" s="9">
        <v>1237</v>
      </c>
      <c r="D5012" s="0">
        <v>6</v>
      </c>
      <c r="E5012" s="10">
        <f>HYPERLINK("http://www.lingerieopt.ru/images/original/f5b6c1e8-17f4-42b8-9232-322336090425.jpg","Фото")</f>
      </c>
    </row>
    <row r="5013">
      <c r="A5013" s="7">
        <f>HYPERLINK("http://www.lingerieopt.ru/item/5036-sorochka-sharlote-na-tonkih-bretelyah/","5036")</f>
      </c>
      <c r="B5013" s="8" t="s">
        <v>4770</v>
      </c>
      <c r="C5013" s="9">
        <v>1237</v>
      </c>
      <c r="D5013" s="0">
        <v>6</v>
      </c>
      <c r="E5013" s="10">
        <f>HYPERLINK("http://www.lingerieopt.ru/images/original/f5b6c1e8-17f4-42b8-9232-322336090425.jpg","Фото")</f>
      </c>
    </row>
    <row r="5014">
      <c r="A5014" s="7">
        <f>HYPERLINK("http://www.lingerieopt.ru/item/5094-oblegayuschaya-sorochka-fibi-s-v-obraznoi-kruzhevnoi-vstavkoi/","5094")</f>
      </c>
      <c r="B5014" s="8" t="s">
        <v>4771</v>
      </c>
      <c r="C5014" s="9">
        <v>2402</v>
      </c>
      <c r="D5014" s="0">
        <v>1</v>
      </c>
      <c r="E5014" s="10">
        <f>HYPERLINK("http://www.lingerieopt.ru/images/original/2a7f1020-7456-4d77-9d6c-b649735ec328.jpg","Фото")</f>
      </c>
    </row>
    <row r="5015">
      <c r="A5015" s="7">
        <f>HYPERLINK("http://www.lingerieopt.ru/item/5094-oblegayuschaya-sorochka-fibi-s-v-obraznoi-kruzhevnoi-vstavkoi/","5094")</f>
      </c>
      <c r="B5015" s="8" t="s">
        <v>4772</v>
      </c>
      <c r="C5015" s="9">
        <v>2402</v>
      </c>
      <c r="D5015" s="0">
        <v>1</v>
      </c>
      <c r="E5015" s="10">
        <f>HYPERLINK("http://www.lingerieopt.ru/images/original/2a7f1020-7456-4d77-9d6c-b649735ec328.jpg","Фото")</f>
      </c>
    </row>
    <row r="5016">
      <c r="A5016" s="7">
        <f>HYPERLINK("http://www.lingerieopt.ru/item/5142-poluprozrachnaya-sorochka-celia/","5142")</f>
      </c>
      <c r="B5016" s="8" t="s">
        <v>4773</v>
      </c>
      <c r="C5016" s="9">
        <v>1302</v>
      </c>
      <c r="D5016" s="0">
        <v>3</v>
      </c>
      <c r="E5016" s="10">
        <f>HYPERLINK("http://www.lingerieopt.ru/images/original/bceed447-bec4-4836-a532-eeb7671ffd2c.jpg","Фото")</f>
      </c>
    </row>
    <row r="5017">
      <c r="A5017" s="7">
        <f>HYPERLINK("http://www.lingerieopt.ru/item/5142-poluprozrachnaya-sorochka-celia/","5142")</f>
      </c>
      <c r="B5017" s="8" t="s">
        <v>4774</v>
      </c>
      <c r="C5017" s="9">
        <v>1302</v>
      </c>
      <c r="D5017" s="0">
        <v>1</v>
      </c>
      <c r="E5017" s="10">
        <f>HYPERLINK("http://www.lingerieopt.ru/images/original/bceed447-bec4-4836-a532-eeb7671ffd2c.jpg","Фото")</f>
      </c>
    </row>
    <row r="5018">
      <c r="A5018" s="7">
        <f>HYPERLINK("http://www.lingerieopt.ru/item/5142-poluprozrachnaya-sorochka-celia/","5142")</f>
      </c>
      <c r="B5018" s="8" t="s">
        <v>4775</v>
      </c>
      <c r="C5018" s="9">
        <v>1302</v>
      </c>
      <c r="D5018" s="0">
        <v>3</v>
      </c>
      <c r="E5018" s="10">
        <f>HYPERLINK("http://www.lingerieopt.ru/images/original/bceed447-bec4-4836-a532-eeb7671ffd2c.jpg","Фото")</f>
      </c>
    </row>
    <row r="5019">
      <c r="A5019" s="7">
        <f>HYPERLINK("http://www.lingerieopt.ru/item/5142-poluprozrachnaya-sorochka-celia/","5142")</f>
      </c>
      <c r="B5019" s="8" t="s">
        <v>4776</v>
      </c>
      <c r="C5019" s="9">
        <v>1302</v>
      </c>
      <c r="D5019" s="0">
        <v>2</v>
      </c>
      <c r="E5019" s="10">
        <f>HYPERLINK("http://www.lingerieopt.ru/images/original/bceed447-bec4-4836-a532-eeb7671ffd2c.jpg","Фото")</f>
      </c>
    </row>
    <row r="5020">
      <c r="A5020" s="7">
        <f>HYPERLINK("http://www.lingerieopt.ru/item/5143-kruzhevnaya-sorochka-daiva-na-tonkih-bretelyah/","5143")</f>
      </c>
      <c r="B5020" s="8" t="s">
        <v>4777</v>
      </c>
      <c r="C5020" s="9">
        <v>1291</v>
      </c>
      <c r="D5020" s="0">
        <v>3</v>
      </c>
      <c r="E5020" s="10">
        <f>HYPERLINK("http://www.lingerieopt.ru/images/original/01deabb9-da02-4e14-a6eb-1f7bda1bb22d.jpg","Фото")</f>
      </c>
    </row>
    <row r="5021">
      <c r="A5021" s="7">
        <f>HYPERLINK("http://www.lingerieopt.ru/item/5143-kruzhevnaya-sorochka-daiva-na-tonkih-bretelyah/","5143")</f>
      </c>
      <c r="B5021" s="8" t="s">
        <v>4778</v>
      </c>
      <c r="C5021" s="9">
        <v>1291</v>
      </c>
      <c r="D5021" s="0">
        <v>1</v>
      </c>
      <c r="E5021" s="10">
        <f>HYPERLINK("http://www.lingerieopt.ru/images/original/01deabb9-da02-4e14-a6eb-1f7bda1bb22d.jpg","Фото")</f>
      </c>
    </row>
    <row r="5022">
      <c r="A5022" s="7">
        <f>HYPERLINK("http://www.lingerieopt.ru/item/5143-kruzhevnaya-sorochka-daiva-na-tonkih-bretelyah/","5143")</f>
      </c>
      <c r="B5022" s="8" t="s">
        <v>4779</v>
      </c>
      <c r="C5022" s="9">
        <v>1291</v>
      </c>
      <c r="D5022" s="0">
        <v>3</v>
      </c>
      <c r="E5022" s="10">
        <f>HYPERLINK("http://www.lingerieopt.ru/images/original/01deabb9-da02-4e14-a6eb-1f7bda1bb22d.jpg","Фото")</f>
      </c>
    </row>
    <row r="5023">
      <c r="A5023" s="7">
        <f>HYPERLINK("http://www.lingerieopt.ru/item/5143-kruzhevnaya-sorochka-daiva-na-tonkih-bretelyah/","5143")</f>
      </c>
      <c r="B5023" s="8" t="s">
        <v>4780</v>
      </c>
      <c r="C5023" s="9">
        <v>1291</v>
      </c>
      <c r="D5023" s="0">
        <v>0</v>
      </c>
      <c r="E5023" s="10">
        <f>HYPERLINK("http://www.lingerieopt.ru/images/original/01deabb9-da02-4e14-a6eb-1f7bda1bb22d.jpg","Фото")</f>
      </c>
    </row>
    <row r="5024">
      <c r="A5024" s="7">
        <f>HYPERLINK("http://www.lingerieopt.ru/item/5144-poluprozrachnaya-sorochka-lasedi-s-razrezom-ot-lifa/","5144")</f>
      </c>
      <c r="B5024" s="8" t="s">
        <v>4781</v>
      </c>
      <c r="C5024" s="9">
        <v>1291</v>
      </c>
      <c r="D5024" s="0">
        <v>3</v>
      </c>
      <c r="E5024" s="10">
        <f>HYPERLINK("http://www.lingerieopt.ru/images/original/7855256f-c73a-4e0b-a319-3bda4a8d2b44.jpg","Фото")</f>
      </c>
    </row>
    <row r="5025">
      <c r="A5025" s="7">
        <f>HYPERLINK("http://www.lingerieopt.ru/item/5144-poluprozrachnaya-sorochka-lasedi-s-razrezom-ot-lifa/","5144")</f>
      </c>
      <c r="B5025" s="8" t="s">
        <v>4782</v>
      </c>
      <c r="C5025" s="9">
        <v>1291</v>
      </c>
      <c r="D5025" s="0">
        <v>4</v>
      </c>
      <c r="E5025" s="10">
        <f>HYPERLINK("http://www.lingerieopt.ru/images/original/7855256f-c73a-4e0b-a319-3bda4a8d2b44.jpg","Фото")</f>
      </c>
    </row>
    <row r="5026">
      <c r="A5026" s="7">
        <f>HYPERLINK("http://www.lingerieopt.ru/item/5145-poluprozrachnaya-sorochka-vasper-so-sborkami-i-shnurovkami/","5145")</f>
      </c>
      <c r="B5026" s="8" t="s">
        <v>4783</v>
      </c>
      <c r="C5026" s="9">
        <v>1210</v>
      </c>
      <c r="D5026" s="0">
        <v>2</v>
      </c>
      <c r="E5026" s="10">
        <f>HYPERLINK("http://www.lingerieopt.ru/images/original/c7e3818b-097b-4b34-bb49-251e501205ed.jpg","Фото")</f>
      </c>
    </row>
    <row r="5027">
      <c r="A5027" s="7">
        <f>HYPERLINK("http://www.lingerieopt.ru/item/5145-poluprozrachnaya-sorochka-vasper-so-sborkami-i-shnurovkami/","5145")</f>
      </c>
      <c r="B5027" s="8" t="s">
        <v>4784</v>
      </c>
      <c r="C5027" s="9">
        <v>1210</v>
      </c>
      <c r="D5027" s="0">
        <v>3</v>
      </c>
      <c r="E5027" s="10">
        <f>HYPERLINK("http://www.lingerieopt.ru/images/original/c7e3818b-097b-4b34-bb49-251e501205ed.jpg","Фото")</f>
      </c>
    </row>
    <row r="5028">
      <c r="A5028" s="7">
        <f>HYPERLINK("http://www.lingerieopt.ru/item/5150-korotenkaya-sorochka-tyrone-s-azhurnjm-lifom/","5150")</f>
      </c>
      <c r="B5028" s="8" t="s">
        <v>4785</v>
      </c>
      <c r="C5028" s="9">
        <v>2067</v>
      </c>
      <c r="D5028" s="0">
        <v>2</v>
      </c>
      <c r="E5028" s="10">
        <f>HYPERLINK("http://www.lingerieopt.ru/images/original/e8f62639-3559-45d1-8110-538823c6561c.jpg","Фото")</f>
      </c>
    </row>
    <row r="5029">
      <c r="A5029" s="7">
        <f>HYPERLINK("http://www.lingerieopt.ru/item/5150-korotenkaya-sorochka-tyrone-s-azhurnjm-lifom/","5150")</f>
      </c>
      <c r="B5029" s="8" t="s">
        <v>4786</v>
      </c>
      <c r="C5029" s="9">
        <v>2067</v>
      </c>
      <c r="D5029" s="0">
        <v>4</v>
      </c>
      <c r="E5029" s="10">
        <f>HYPERLINK("http://www.lingerieopt.ru/images/original/e8f62639-3559-45d1-8110-538823c6561c.jpg","Фото")</f>
      </c>
    </row>
    <row r="5030">
      <c r="A5030" s="7">
        <f>HYPERLINK("http://www.lingerieopt.ru/item/5176-dvuhsloinaya-kombinaciya-gillian/","5176")</f>
      </c>
      <c r="B5030" s="8" t="s">
        <v>4787</v>
      </c>
      <c r="C5030" s="9">
        <v>2915</v>
      </c>
      <c r="D5030" s="0">
        <v>0</v>
      </c>
      <c r="E5030" s="10">
        <f>HYPERLINK("http://www.lingerieopt.ru/images/original/9f1b7e87-4cdb-4f00-b6db-0580720b45cd.jpg","Фото")</f>
      </c>
    </row>
    <row r="5031">
      <c r="A5031" s="7">
        <f>HYPERLINK("http://www.lingerieopt.ru/item/5176-dvuhsloinaya-kombinaciya-gillian/","5176")</f>
      </c>
      <c r="B5031" s="8" t="s">
        <v>4788</v>
      </c>
      <c r="C5031" s="9">
        <v>2915</v>
      </c>
      <c r="D5031" s="0">
        <v>2</v>
      </c>
      <c r="E5031" s="10">
        <f>HYPERLINK("http://www.lingerieopt.ru/images/original/9f1b7e87-4cdb-4f00-b6db-0580720b45cd.jpg","Фото")</f>
      </c>
    </row>
    <row r="5032">
      <c r="A5032" s="7">
        <f>HYPERLINK("http://www.lingerieopt.ru/item/5176-dvuhsloinaya-kombinaciya-gillian/","5176")</f>
      </c>
      <c r="B5032" s="8" t="s">
        <v>4789</v>
      </c>
      <c r="C5032" s="9">
        <v>2915</v>
      </c>
      <c r="D5032" s="0">
        <v>0</v>
      </c>
      <c r="E5032" s="10">
        <f>HYPERLINK("http://www.lingerieopt.ru/images/original/9f1b7e87-4cdb-4f00-b6db-0580720b45cd.jpg","Фото")</f>
      </c>
    </row>
    <row r="5033">
      <c r="A5033" s="7">
        <f>HYPERLINK("http://www.lingerieopt.ru/item/5209-kruzhevnaya-sorochka-ursula-s-glubokim-dekolte/","5209")</f>
      </c>
      <c r="B5033" s="8" t="s">
        <v>4790</v>
      </c>
      <c r="C5033" s="9">
        <v>2272</v>
      </c>
      <c r="D5033" s="0">
        <v>5</v>
      </c>
      <c r="E5033" s="10">
        <f>HYPERLINK("http://www.lingerieopt.ru/images/original/cb3c5b02-9d2c-480f-a864-76923db046da.jpg","Фото")</f>
      </c>
    </row>
    <row r="5034">
      <c r="A5034" s="7">
        <f>HYPERLINK("http://www.lingerieopt.ru/item/5209-kruzhevnaya-sorochka-ursula-s-glubokim-dekolte/","5209")</f>
      </c>
      <c r="B5034" s="8" t="s">
        <v>4791</v>
      </c>
      <c r="C5034" s="9">
        <v>2272</v>
      </c>
      <c r="D5034" s="0">
        <v>4</v>
      </c>
      <c r="E5034" s="10">
        <f>HYPERLINK("http://www.lingerieopt.ru/images/original/cb3c5b02-9d2c-480f-a864-76923db046da.jpg","Фото")</f>
      </c>
    </row>
    <row r="5035">
      <c r="A5035" s="7">
        <f>HYPERLINK("http://www.lingerieopt.ru/item/5209-kruzhevnaya-sorochka-ursula-s-glubokim-dekolte/","5209")</f>
      </c>
      <c r="B5035" s="8" t="s">
        <v>4792</v>
      </c>
      <c r="C5035" s="9">
        <v>2272</v>
      </c>
      <c r="D5035" s="0">
        <v>5</v>
      </c>
      <c r="E5035" s="10">
        <f>HYPERLINK("http://www.lingerieopt.ru/images/original/cb3c5b02-9d2c-480f-a864-76923db046da.jpg","Фото")</f>
      </c>
    </row>
    <row r="5036">
      <c r="A5036" s="7">
        <f>HYPERLINK("http://www.lingerieopt.ru/item/5209-kruzhevnaya-sorochka-ursula-s-glubokim-dekolte/","5209")</f>
      </c>
      <c r="B5036" s="8" t="s">
        <v>4793</v>
      </c>
      <c r="C5036" s="9">
        <v>2272</v>
      </c>
      <c r="D5036" s="0">
        <v>5</v>
      </c>
      <c r="E5036" s="10">
        <f>HYPERLINK("http://www.lingerieopt.ru/images/original/cb3c5b02-9d2c-480f-a864-76923db046da.jpg","Фото")</f>
      </c>
    </row>
    <row r="5037">
      <c r="A5037" s="7">
        <f>HYPERLINK("http://www.lingerieopt.ru/item/5234-oblegayuschaya-sorochka-auroria-s-kruzhevami/","5234")</f>
      </c>
      <c r="B5037" s="8" t="s">
        <v>4794</v>
      </c>
      <c r="C5037" s="9">
        <v>1509</v>
      </c>
      <c r="D5037" s="0">
        <v>1</v>
      </c>
      <c r="E5037" s="10">
        <f>HYPERLINK("http://www.lingerieopt.ru/images/original/b08b219f-9291-4aa2-9969-c252c45a370d.jpg","Фото")</f>
      </c>
    </row>
    <row r="5038">
      <c r="A5038" s="7">
        <f>HYPERLINK("http://www.lingerieopt.ru/item/5234-oblegayuschaya-sorochka-auroria-s-kruzhevami/","5234")</f>
      </c>
      <c r="B5038" s="8" t="s">
        <v>4795</v>
      </c>
      <c r="C5038" s="9">
        <v>1509</v>
      </c>
      <c r="D5038" s="0">
        <v>1</v>
      </c>
      <c r="E5038" s="10">
        <f>HYPERLINK("http://www.lingerieopt.ru/images/original/b08b219f-9291-4aa2-9969-c252c45a370d.jpg","Фото")</f>
      </c>
    </row>
    <row r="5039">
      <c r="A5039" s="7">
        <f>HYPERLINK("http://www.lingerieopt.ru/item/5235-roskoshnji-bebi-doll-auroria-so-shnurovkoi-na-life/","5235")</f>
      </c>
      <c r="B5039" s="8" t="s">
        <v>4796</v>
      </c>
      <c r="C5039" s="9">
        <v>2247</v>
      </c>
      <c r="D5039" s="0">
        <v>1</v>
      </c>
      <c r="E5039" s="10">
        <f>HYPERLINK("http://www.lingerieopt.ru/images/original/9db2af54-17e7-45e7-a9bc-20938a6babf0.jpg","Фото")</f>
      </c>
    </row>
    <row r="5040">
      <c r="A5040" s="7">
        <f>HYPERLINK("http://www.lingerieopt.ru/item/5235-roskoshnji-bebi-doll-auroria-so-shnurovkoi-na-life/","5235")</f>
      </c>
      <c r="B5040" s="8" t="s">
        <v>4797</v>
      </c>
      <c r="C5040" s="9">
        <v>2247</v>
      </c>
      <c r="D5040" s="0">
        <v>2</v>
      </c>
      <c r="E5040" s="10">
        <f>HYPERLINK("http://www.lingerieopt.ru/images/original/9db2af54-17e7-45e7-a9bc-20938a6babf0.jpg","Фото")</f>
      </c>
    </row>
    <row r="5041">
      <c r="A5041" s="7">
        <f>HYPERLINK("http://www.lingerieopt.ru/item/5247-chuvstvennaya-sorochka-bebi-doll-roseberry-s-bantom-na-life/","5247")</f>
      </c>
      <c r="B5041" s="8" t="s">
        <v>4798</v>
      </c>
      <c r="C5041" s="9">
        <v>1638</v>
      </c>
      <c r="D5041" s="0">
        <v>1</v>
      </c>
      <c r="E5041" s="10">
        <f>HYPERLINK("http://www.lingerieopt.ru/images/original/263bbb82-9ed0-4873-9d26-5b5c1ff50052.jpg","Фото")</f>
      </c>
    </row>
    <row r="5042">
      <c r="A5042" s="7">
        <f>HYPERLINK("http://www.lingerieopt.ru/item/5247-chuvstvennaya-sorochka-bebi-doll-roseberry-s-bantom-na-life/","5247")</f>
      </c>
      <c r="B5042" s="8" t="s">
        <v>4799</v>
      </c>
      <c r="C5042" s="9">
        <v>1638</v>
      </c>
      <c r="D5042" s="0">
        <v>0</v>
      </c>
      <c r="E5042" s="10">
        <f>HYPERLINK("http://www.lingerieopt.ru/images/original/263bbb82-9ed0-4873-9d26-5b5c1ff50052.jpg","Фото")</f>
      </c>
    </row>
    <row r="5043">
      <c r="A5043" s="7">
        <f>HYPERLINK("http://www.lingerieopt.ru/item/5256-poluprozrachnji-dvuhsloinji-bebi-doll-s-trusikami-brilliance/","5256")</f>
      </c>
      <c r="B5043" s="8" t="s">
        <v>4800</v>
      </c>
      <c r="C5043" s="9">
        <v>1787</v>
      </c>
      <c r="D5043" s="0">
        <v>30</v>
      </c>
      <c r="E5043" s="10">
        <f>HYPERLINK("http://www.lingerieopt.ru/images/original/4babe014-c0f0-46c6-a0b5-4d5ad2a6e51f.jpg","Фото")</f>
      </c>
    </row>
    <row r="5044">
      <c r="A5044" s="7">
        <f>HYPERLINK("http://www.lingerieopt.ru/item/5318-roskoshnaya-sorochka-gill-s-dvuhcvetnjm-lifom/","5318")</f>
      </c>
      <c r="B5044" s="8" t="s">
        <v>4801</v>
      </c>
      <c r="C5044" s="9">
        <v>2080</v>
      </c>
      <c r="D5044" s="0">
        <v>2</v>
      </c>
      <c r="E5044" s="10">
        <f>HYPERLINK("http://www.lingerieopt.ru/images/original/763aca71-0ff8-44f8-89ac-1aae12874c89.jpg","Фото")</f>
      </c>
    </row>
    <row r="5045">
      <c r="A5045" s="7">
        <f>HYPERLINK("http://www.lingerieopt.ru/item/5318-roskoshnaya-sorochka-gill-s-dvuhcvetnjm-lifom/","5318")</f>
      </c>
      <c r="B5045" s="8" t="s">
        <v>4802</v>
      </c>
      <c r="C5045" s="9">
        <v>2080</v>
      </c>
      <c r="D5045" s="0">
        <v>3</v>
      </c>
      <c r="E5045" s="10">
        <f>HYPERLINK("http://www.lingerieopt.ru/images/original/763aca71-0ff8-44f8-89ac-1aae12874c89.jpg","Фото")</f>
      </c>
    </row>
    <row r="5046">
      <c r="A5046" s="7">
        <f>HYPERLINK("http://www.lingerieopt.ru/item/5325-kruzhevnoi-penyuar-jessie-s-korotkimi-rukavchikami/","5325")</f>
      </c>
      <c r="B5046" s="8" t="s">
        <v>4803</v>
      </c>
      <c r="C5046" s="9">
        <v>2600</v>
      </c>
      <c r="D5046" s="0">
        <v>20</v>
      </c>
      <c r="E5046" s="10">
        <f>HYPERLINK("http://www.lingerieopt.ru/images/original/3c5e8f2e-c6b9-49d1-82de-92592fea7138.jpg","Фото")</f>
      </c>
    </row>
    <row r="5047">
      <c r="A5047" s="7">
        <f>HYPERLINK("http://www.lingerieopt.ru/item/5325-kruzhevnoi-penyuar-jessie-s-korotkimi-rukavchikami/","5325")</f>
      </c>
      <c r="B5047" s="8" t="s">
        <v>4804</v>
      </c>
      <c r="C5047" s="9">
        <v>2600</v>
      </c>
      <c r="D5047" s="0">
        <v>10</v>
      </c>
      <c r="E5047" s="10">
        <f>HYPERLINK("http://www.lingerieopt.ru/images/original/3c5e8f2e-c6b9-49d1-82de-92592fea7138.jpg","Фото")</f>
      </c>
    </row>
    <row r="5048">
      <c r="A5048" s="7">
        <f>HYPERLINK("http://www.lingerieopt.ru/item/5328-oblegayuschaya-sorochka-martina-so-strelochkoi-ot-lifa/","5328")</f>
      </c>
      <c r="B5048" s="8" t="s">
        <v>4805</v>
      </c>
      <c r="C5048" s="9">
        <v>2075</v>
      </c>
      <c r="D5048" s="0">
        <v>2</v>
      </c>
      <c r="E5048" s="10">
        <f>HYPERLINK("http://www.lingerieopt.ru/images/original/62407a54-c406-43c5-9af5-280801ad4f5c.jpg","Фото")</f>
      </c>
    </row>
    <row r="5049">
      <c r="A5049" s="7">
        <f>HYPERLINK("http://www.lingerieopt.ru/item/5328-oblegayuschaya-sorochka-martina-so-strelochkoi-ot-lifa/","5328")</f>
      </c>
      <c r="B5049" s="8" t="s">
        <v>4806</v>
      </c>
      <c r="C5049" s="9">
        <v>2075</v>
      </c>
      <c r="D5049" s="0">
        <v>0</v>
      </c>
      <c r="E5049" s="10">
        <f>HYPERLINK("http://www.lingerieopt.ru/images/original/62407a54-c406-43c5-9af5-280801ad4f5c.jpg","Фото")</f>
      </c>
    </row>
    <row r="5050">
      <c r="A5050" s="7">
        <f>HYPERLINK("http://www.lingerieopt.ru/item/5372-sorochka-monica-s-prispuschennjmi-rukavchikami/","5372")</f>
      </c>
      <c r="B5050" s="8" t="s">
        <v>4807</v>
      </c>
      <c r="C5050" s="9">
        <v>1809</v>
      </c>
      <c r="D5050" s="0">
        <v>2</v>
      </c>
      <c r="E5050" s="10">
        <f>HYPERLINK("http://www.lingerieopt.ru/images/original/f70c3041-afac-4ace-93fb-b108dc868b95.jpg","Фото")</f>
      </c>
    </row>
    <row r="5051">
      <c r="A5051" s="7">
        <f>HYPERLINK("http://www.lingerieopt.ru/item/5372-sorochka-monica-s-prispuschennjmi-rukavchikami/","5372")</f>
      </c>
      <c r="B5051" s="8" t="s">
        <v>4808</v>
      </c>
      <c r="C5051" s="9">
        <v>1809</v>
      </c>
      <c r="D5051" s="0">
        <v>4</v>
      </c>
      <c r="E5051" s="10">
        <f>HYPERLINK("http://www.lingerieopt.ru/images/original/f70c3041-afac-4ace-93fb-b108dc868b95.jpg","Фото")</f>
      </c>
    </row>
    <row r="5052">
      <c r="A5052" s="7">
        <f>HYPERLINK("http://www.lingerieopt.ru/item/5372-sorochka-monica-s-prispuschennjmi-rukavchikami/","5372")</f>
      </c>
      <c r="B5052" s="8" t="s">
        <v>4809</v>
      </c>
      <c r="C5052" s="9">
        <v>1809</v>
      </c>
      <c r="D5052" s="0">
        <v>2</v>
      </c>
      <c r="E5052" s="10">
        <f>HYPERLINK("http://www.lingerieopt.ru/images/original/f70c3041-afac-4ace-93fb-b108dc868b95.jpg","Фото")</f>
      </c>
    </row>
    <row r="5053">
      <c r="A5053" s="7">
        <f>HYPERLINK("http://www.lingerieopt.ru/item/5372-sorochka-monica-s-prispuschennjmi-rukavchikami/","5372")</f>
      </c>
      <c r="B5053" s="8" t="s">
        <v>4810</v>
      </c>
      <c r="C5053" s="9">
        <v>1809</v>
      </c>
      <c r="D5053" s="0">
        <v>3</v>
      </c>
      <c r="E5053" s="10">
        <f>HYPERLINK("http://www.lingerieopt.ru/images/original/f70c3041-afac-4ace-93fb-b108dc868b95.jpg","Фото")</f>
      </c>
    </row>
    <row r="5054">
      <c r="A5054" s="7">
        <f>HYPERLINK("http://www.lingerieopt.ru/item/5376-oblegayuschaya-sorochka-kate-s-pazhami-i-skreschennjmi-na-grudi-bretelyami/","5376")</f>
      </c>
      <c r="B5054" s="8" t="s">
        <v>4811</v>
      </c>
      <c r="C5054" s="9">
        <v>1575</v>
      </c>
      <c r="D5054" s="0">
        <v>0</v>
      </c>
      <c r="E5054" s="10">
        <f>HYPERLINK("http://www.lingerieopt.ru/images/original/34656f2f-1156-40be-b0b6-c33e77db6cb9.jpg","Фото")</f>
      </c>
    </row>
    <row r="5055">
      <c r="A5055" s="7">
        <f>HYPERLINK("http://www.lingerieopt.ru/item/5376-oblegayuschaya-sorochka-kate-s-pazhami-i-skreschennjmi-na-grudi-bretelyami/","5376")</f>
      </c>
      <c r="B5055" s="8" t="s">
        <v>4812</v>
      </c>
      <c r="C5055" s="9">
        <v>1575</v>
      </c>
      <c r="D5055" s="0">
        <v>0</v>
      </c>
      <c r="E5055" s="10">
        <f>HYPERLINK("http://www.lingerieopt.ru/images/original/34656f2f-1156-40be-b0b6-c33e77db6cb9.jpg","Фото")</f>
      </c>
    </row>
    <row r="5056">
      <c r="A5056" s="7">
        <f>HYPERLINK("http://www.lingerieopt.ru/item/5376-oblegayuschaya-sorochka-kate-s-pazhami-i-skreschennjmi-na-grudi-bretelyami/","5376")</f>
      </c>
      <c r="B5056" s="8" t="s">
        <v>4813</v>
      </c>
      <c r="C5056" s="9">
        <v>1575</v>
      </c>
      <c r="D5056" s="0">
        <v>0</v>
      </c>
      <c r="E5056" s="10">
        <f>HYPERLINK("http://www.lingerieopt.ru/images/original/34656f2f-1156-40be-b0b6-c33e77db6cb9.jpg","Фото")</f>
      </c>
    </row>
    <row r="5057">
      <c r="A5057" s="7">
        <f>HYPERLINK("http://www.lingerieopt.ru/item/5376-oblegayuschaya-sorochka-kate-s-pazhami-i-skreschennjmi-na-grudi-bretelyami/","5376")</f>
      </c>
      <c r="B5057" s="8" t="s">
        <v>4814</v>
      </c>
      <c r="C5057" s="9">
        <v>1575</v>
      </c>
      <c r="D5057" s="0">
        <v>1</v>
      </c>
      <c r="E5057" s="10">
        <f>HYPERLINK("http://www.lingerieopt.ru/images/original/34656f2f-1156-40be-b0b6-c33e77db6cb9.jpg","Фото")</f>
      </c>
    </row>
    <row r="5058">
      <c r="A5058" s="7">
        <f>HYPERLINK("http://www.lingerieopt.ru/item/5380-azhurnaya-sorochka-grace-s-lifom-na-kostochkah-ryushami-i-oborkami/","5380")</f>
      </c>
      <c r="B5058" s="8" t="s">
        <v>4815</v>
      </c>
      <c r="C5058" s="9">
        <v>2429</v>
      </c>
      <c r="D5058" s="0">
        <v>2</v>
      </c>
      <c r="E5058" s="10">
        <f>HYPERLINK("http://www.lingerieopt.ru/images/original/b5c7d6fc-954d-4ebb-8b2e-ee43e7b97a8e.jpg","Фото")</f>
      </c>
    </row>
    <row r="5059">
      <c r="A5059" s="7">
        <f>HYPERLINK("http://www.lingerieopt.ru/item/5380-azhurnaya-sorochka-grace-s-lifom-na-kostochkah-ryushami-i-oborkami/","5380")</f>
      </c>
      <c r="B5059" s="8" t="s">
        <v>4816</v>
      </c>
      <c r="C5059" s="9">
        <v>2429</v>
      </c>
      <c r="D5059" s="0">
        <v>0</v>
      </c>
      <c r="E5059" s="10">
        <f>HYPERLINK("http://www.lingerieopt.ru/images/original/b5c7d6fc-954d-4ebb-8b2e-ee43e7b97a8e.jpg","Фото")</f>
      </c>
    </row>
    <row r="5060">
      <c r="A5060" s="7">
        <f>HYPERLINK("http://www.lingerieopt.ru/item/5380-azhurnaya-sorochka-grace-s-lifom-na-kostochkah-ryushami-i-oborkami/","5380")</f>
      </c>
      <c r="B5060" s="8" t="s">
        <v>4817</v>
      </c>
      <c r="C5060" s="9">
        <v>2429</v>
      </c>
      <c r="D5060" s="0">
        <v>5</v>
      </c>
      <c r="E5060" s="10">
        <f>HYPERLINK("http://www.lingerieopt.ru/images/original/b5c7d6fc-954d-4ebb-8b2e-ee43e7b97a8e.jpg","Фото")</f>
      </c>
    </row>
    <row r="5061">
      <c r="A5061" s="7">
        <f>HYPERLINK("http://www.lingerieopt.ru/item/5380-azhurnaya-sorochka-grace-s-lifom-na-kostochkah-ryushami-i-oborkami/","5380")</f>
      </c>
      <c r="B5061" s="8" t="s">
        <v>4818</v>
      </c>
      <c r="C5061" s="9">
        <v>2429</v>
      </c>
      <c r="D5061" s="0">
        <v>2</v>
      </c>
      <c r="E5061" s="10">
        <f>HYPERLINK("http://www.lingerieopt.ru/images/original/b5c7d6fc-954d-4ebb-8b2e-ee43e7b97a8e.jpg","Фото")</f>
      </c>
    </row>
    <row r="5062">
      <c r="A5062" s="7">
        <f>HYPERLINK("http://www.lingerieopt.ru/item/5380-azhurnaya-sorochka-grace-s-lifom-na-kostochkah-ryushami-i-oborkami/","5380")</f>
      </c>
      <c r="B5062" s="8" t="s">
        <v>4819</v>
      </c>
      <c r="C5062" s="9">
        <v>2429</v>
      </c>
      <c r="D5062" s="0">
        <v>0</v>
      </c>
      <c r="E5062" s="10">
        <f>HYPERLINK("http://www.lingerieopt.ru/images/original/b5c7d6fc-954d-4ebb-8b2e-ee43e7b97a8e.jpg","Фото")</f>
      </c>
    </row>
    <row r="5063">
      <c r="A5063" s="7">
        <f>HYPERLINK("http://www.lingerieopt.ru/item/5380-azhurnaya-sorochka-grace-s-lifom-na-kostochkah-ryushami-i-oborkami/","5380")</f>
      </c>
      <c r="B5063" s="8" t="s">
        <v>4820</v>
      </c>
      <c r="C5063" s="9">
        <v>2429</v>
      </c>
      <c r="D5063" s="0">
        <v>8</v>
      </c>
      <c r="E5063" s="10">
        <f>HYPERLINK("http://www.lingerieopt.ru/images/original/b5c7d6fc-954d-4ebb-8b2e-ee43e7b97a8e.jpg","Фото")</f>
      </c>
    </row>
    <row r="5064">
      <c r="A5064" s="7">
        <f>HYPERLINK("http://www.lingerieopt.ru/item/5435-korotenkaya-sorochka-s-leopardovoi-vstavkoi/","5435")</f>
      </c>
      <c r="B5064" s="8" t="s">
        <v>4821</v>
      </c>
      <c r="C5064" s="9">
        <v>1088</v>
      </c>
      <c r="D5064" s="0">
        <v>0</v>
      </c>
      <c r="E5064" s="10">
        <f>HYPERLINK("http://www.lingerieopt.ru/images/original/6793d3fa-9b20-427e-b430-9fa57a467db5.jpg","Фото")</f>
      </c>
    </row>
    <row r="5065">
      <c r="A5065" s="7">
        <f>HYPERLINK("http://www.lingerieopt.ru/item/5435-korotenkaya-sorochka-s-leopardovoi-vstavkoi/","5435")</f>
      </c>
      <c r="B5065" s="8" t="s">
        <v>4822</v>
      </c>
      <c r="C5065" s="9">
        <v>1088</v>
      </c>
      <c r="D5065" s="0">
        <v>11</v>
      </c>
      <c r="E5065" s="10">
        <f>HYPERLINK("http://www.lingerieopt.ru/images/original/6793d3fa-9b20-427e-b430-9fa57a467db5.jpg","Фото")</f>
      </c>
    </row>
    <row r="5066">
      <c r="A5066" s="7">
        <f>HYPERLINK("http://www.lingerieopt.ru/item/5588-yarkaya-sorochka-s-otkrjtjm-zhivotikom/","5588")</f>
      </c>
      <c r="B5066" s="8" t="s">
        <v>4823</v>
      </c>
      <c r="C5066" s="9">
        <v>720</v>
      </c>
      <c r="D5066" s="0">
        <v>1</v>
      </c>
      <c r="E5066" s="10">
        <f>HYPERLINK("http://www.lingerieopt.ru/images/original/67e1ce8d-ac80-4a09-9a25-f0f6b3439e3a.jpg","Фото")</f>
      </c>
    </row>
    <row r="5067">
      <c r="A5067" s="7">
        <f>HYPERLINK("http://www.lingerieopt.ru/item/5597-roskoshnaya-sorochka-s-kruzhevnoi-otdelkoi/","5597")</f>
      </c>
      <c r="B5067" s="8" t="s">
        <v>4824</v>
      </c>
      <c r="C5067" s="9">
        <v>3827</v>
      </c>
      <c r="D5067" s="0">
        <v>1</v>
      </c>
      <c r="E5067" s="10">
        <f>HYPERLINK("http://www.lingerieopt.ru/images/original/188ecd33-be4b-48aa-81ed-1e2f73eb5d0f.jpg","Фото")</f>
      </c>
    </row>
    <row r="5068">
      <c r="A5068" s="7">
        <f>HYPERLINK("http://www.lingerieopt.ru/item/5597-roskoshnaya-sorochka-s-kruzhevnoi-otdelkoi/","5597")</f>
      </c>
      <c r="B5068" s="8" t="s">
        <v>4825</v>
      </c>
      <c r="C5068" s="9">
        <v>3827</v>
      </c>
      <c r="D5068" s="0">
        <v>0</v>
      </c>
      <c r="E5068" s="10">
        <f>HYPERLINK("http://www.lingerieopt.ru/images/original/188ecd33-be4b-48aa-81ed-1e2f73eb5d0f.jpg","Фото")</f>
      </c>
    </row>
    <row r="5069">
      <c r="A5069" s="7">
        <f>HYPERLINK("http://www.lingerieopt.ru/item/5597-roskoshnaya-sorochka-s-kruzhevnoi-otdelkoi/","5597")</f>
      </c>
      <c r="B5069" s="8" t="s">
        <v>4826</v>
      </c>
      <c r="C5069" s="9">
        <v>3827</v>
      </c>
      <c r="D5069" s="0">
        <v>1</v>
      </c>
      <c r="E5069" s="10">
        <f>HYPERLINK("http://www.lingerieopt.ru/images/original/188ecd33-be4b-48aa-81ed-1e2f73eb5d0f.jpg","Фото")</f>
      </c>
    </row>
    <row r="5070">
      <c r="A5070" s="7">
        <f>HYPERLINK("http://www.lingerieopt.ru/item/5711-sorochka-v-novogodnem-stile/","5711")</f>
      </c>
      <c r="B5070" s="8" t="s">
        <v>4827</v>
      </c>
      <c r="C5070" s="9">
        <v>3745</v>
      </c>
      <c r="D5070" s="0">
        <v>7</v>
      </c>
      <c r="E5070" s="10">
        <f>HYPERLINK("http://www.lingerieopt.ru/images/original/0c3c5ca4-1a9e-4e08-b8bc-cfca66eb6bde.jpg","Фото")</f>
      </c>
    </row>
    <row r="5071">
      <c r="A5071" s="7">
        <f>HYPERLINK("http://www.lingerieopt.ru/item/5711-sorochka-v-novogodnem-stile/","5711")</f>
      </c>
      <c r="B5071" s="8" t="s">
        <v>4828</v>
      </c>
      <c r="C5071" s="9">
        <v>3745</v>
      </c>
      <c r="D5071" s="0">
        <v>0</v>
      </c>
      <c r="E5071" s="10">
        <f>HYPERLINK("http://www.lingerieopt.ru/images/original/0c3c5ca4-1a9e-4e08-b8bc-cfca66eb6bde.jpg","Фото")</f>
      </c>
    </row>
    <row r="5072">
      <c r="A5072" s="7">
        <f>HYPERLINK("http://www.lingerieopt.ru/item/5711-sorochka-v-novogodnem-stile/","5711")</f>
      </c>
      <c r="B5072" s="8" t="s">
        <v>4829</v>
      </c>
      <c r="C5072" s="9">
        <v>3745</v>
      </c>
      <c r="D5072" s="0">
        <v>3</v>
      </c>
      <c r="E5072" s="10">
        <f>HYPERLINK("http://www.lingerieopt.ru/images/original/0c3c5ca4-1a9e-4e08-b8bc-cfca66eb6bde.jpg","Фото")</f>
      </c>
    </row>
    <row r="5073">
      <c r="A5073" s="7">
        <f>HYPERLINK("http://www.lingerieopt.ru/item/5991-elegantnaya-sorochka-lanka-s-prozrachnjmi-vstavkami/","5991")</f>
      </c>
      <c r="B5073" s="8" t="s">
        <v>4830</v>
      </c>
      <c r="C5073" s="9">
        <v>2529</v>
      </c>
      <c r="D5073" s="0">
        <v>0</v>
      </c>
      <c r="E5073" s="10">
        <f>HYPERLINK("http://www.lingerieopt.ru/images/original/1d3cd1fe-52eb-4e44-af1a-385ec8394811.jpg","Фото")</f>
      </c>
    </row>
    <row r="5074">
      <c r="A5074" s="7">
        <f>HYPERLINK("http://www.lingerieopt.ru/item/5991-elegantnaya-sorochka-lanka-s-prozrachnjmi-vstavkami/","5991")</f>
      </c>
      <c r="B5074" s="8" t="s">
        <v>4831</v>
      </c>
      <c r="C5074" s="9">
        <v>2529</v>
      </c>
      <c r="D5074" s="0">
        <v>2</v>
      </c>
      <c r="E5074" s="10">
        <f>HYPERLINK("http://www.lingerieopt.ru/images/original/1d3cd1fe-52eb-4e44-af1a-385ec8394811.jpg","Фото")</f>
      </c>
    </row>
    <row r="5075">
      <c r="A5075" s="7">
        <f>HYPERLINK("http://www.lingerieopt.ru/item/6114-kruzhevnaya-sorochka-s-atlasnoi-vstavkoi-speredi/","6114")</f>
      </c>
      <c r="B5075" s="8" t="s">
        <v>4832</v>
      </c>
      <c r="C5075" s="9">
        <v>2275</v>
      </c>
      <c r="D5075" s="0">
        <v>6</v>
      </c>
      <c r="E5075" s="10">
        <f>HYPERLINK("http://www.lingerieopt.ru/images/original/57fec706-509e-4292-833e-552e5c70cc13.jpg","Фото")</f>
      </c>
    </row>
    <row r="5076">
      <c r="A5076" s="7">
        <f>HYPERLINK("http://www.lingerieopt.ru/item/6114-kruzhevnaya-sorochka-s-atlasnoi-vstavkoi-speredi/","6114")</f>
      </c>
      <c r="B5076" s="8" t="s">
        <v>4833</v>
      </c>
      <c r="C5076" s="9">
        <v>2275</v>
      </c>
      <c r="D5076" s="0">
        <v>6</v>
      </c>
      <c r="E5076" s="10">
        <f>HYPERLINK("http://www.lingerieopt.ru/images/original/57fec706-509e-4292-833e-552e5c70cc13.jpg","Фото")</f>
      </c>
    </row>
    <row r="5077">
      <c r="A5077" s="7">
        <f>HYPERLINK("http://www.lingerieopt.ru/item/6114-kruzhevnaya-sorochka-s-atlasnoi-vstavkoi-speredi/","6114")</f>
      </c>
      <c r="B5077" s="8" t="s">
        <v>4834</v>
      </c>
      <c r="C5077" s="9">
        <v>2275</v>
      </c>
      <c r="D5077" s="0">
        <v>6</v>
      </c>
      <c r="E5077" s="10">
        <f>HYPERLINK("http://www.lingerieopt.ru/images/original/57fec706-509e-4292-833e-552e5c70cc13.jpg","Фото")</f>
      </c>
    </row>
    <row r="5078">
      <c r="A5078" s="7">
        <f>HYPERLINK("http://www.lingerieopt.ru/item/6116-kruzhevnoe-neglizhe-s-imitaciei-shnurovki/","6116")</f>
      </c>
      <c r="B5078" s="8" t="s">
        <v>4835</v>
      </c>
      <c r="C5078" s="9">
        <v>2437</v>
      </c>
      <c r="D5078" s="0">
        <v>6</v>
      </c>
      <c r="E5078" s="10">
        <f>HYPERLINK("http://www.lingerieopt.ru/images/original/839bd535-b63a-4262-a7a0-ee4446023113.jpg","Фото")</f>
      </c>
    </row>
    <row r="5079">
      <c r="A5079" s="7">
        <f>HYPERLINK("http://www.lingerieopt.ru/item/6116-kruzhevnoe-neglizhe-s-imitaciei-shnurovki/","6116")</f>
      </c>
      <c r="B5079" s="8" t="s">
        <v>4836</v>
      </c>
      <c r="C5079" s="9">
        <v>2437</v>
      </c>
      <c r="D5079" s="0">
        <v>6</v>
      </c>
      <c r="E5079" s="10">
        <f>HYPERLINK("http://www.lingerieopt.ru/images/original/839bd535-b63a-4262-a7a0-ee4446023113.jpg","Фото")</f>
      </c>
    </row>
    <row r="5080">
      <c r="A5080" s="7">
        <f>HYPERLINK("http://www.lingerieopt.ru/item/6116-kruzhevnoe-neglizhe-s-imitaciei-shnurovki/","6116")</f>
      </c>
      <c r="B5080" s="8" t="s">
        <v>4837</v>
      </c>
      <c r="C5080" s="9">
        <v>2437</v>
      </c>
      <c r="D5080" s="0">
        <v>6</v>
      </c>
      <c r="E5080" s="10">
        <f>HYPERLINK("http://www.lingerieopt.ru/images/original/839bd535-b63a-4262-a7a0-ee4446023113.jpg","Фото")</f>
      </c>
    </row>
    <row r="5081">
      <c r="A5081" s="7">
        <f>HYPERLINK("http://www.lingerieopt.ru/item/6119-nezhnaya-sorochka-s-kruzhevnjm-lifom/","6119")</f>
      </c>
      <c r="B5081" s="8" t="s">
        <v>4838</v>
      </c>
      <c r="C5081" s="9">
        <v>1653</v>
      </c>
      <c r="D5081" s="0">
        <v>6</v>
      </c>
      <c r="E5081" s="10">
        <f>HYPERLINK("http://www.lingerieopt.ru/images/original/2d7116d3-8cf8-4148-8981-5ac6a6c257c7.jpg","Фото")</f>
      </c>
    </row>
    <row r="5082">
      <c r="A5082" s="7">
        <f>HYPERLINK("http://www.lingerieopt.ru/item/6123-azhurnaya-sorochka-s-cvetochnjm-uzorom/","6123")</f>
      </c>
      <c r="B5082" s="8" t="s">
        <v>4839</v>
      </c>
      <c r="C5082" s="9">
        <v>996</v>
      </c>
      <c r="D5082" s="0">
        <v>13</v>
      </c>
      <c r="E5082" s="10">
        <f>HYPERLINK("http://www.lingerieopt.ru/images/original/5b1d15b5-4e1d-4ff3-bc97-c390698e93dd.jpg","Фото")</f>
      </c>
    </row>
    <row r="5083">
      <c r="A5083" s="7">
        <f>HYPERLINK("http://www.lingerieopt.ru/item/6126-dvuhstoronnyaya-kombinaciya-s-kruzhevnjm-lifom/","6126")</f>
      </c>
      <c r="B5083" s="8" t="s">
        <v>4840</v>
      </c>
      <c r="C5083" s="9">
        <v>3831</v>
      </c>
      <c r="D5083" s="0">
        <v>6</v>
      </c>
      <c r="E5083" s="10">
        <f>HYPERLINK("http://www.lingerieopt.ru/images/original/413a2ea8-182e-48ab-a0e3-94631dc04c6f.jpg","Фото")</f>
      </c>
    </row>
    <row r="5084">
      <c r="A5084" s="7">
        <f>HYPERLINK("http://www.lingerieopt.ru/item/6131-komplekt-iz-poluprozrachnogo-bebi-dolla-i-trusikov/","6131")</f>
      </c>
      <c r="B5084" s="8" t="s">
        <v>4841</v>
      </c>
      <c r="C5084" s="9">
        <v>1787</v>
      </c>
      <c r="D5084" s="0">
        <v>6</v>
      </c>
      <c r="E5084" s="10">
        <f>HYPERLINK("http://www.lingerieopt.ru/images/original/5aaff352-69b5-4b72-9210-bbd038a4c1b0.jpg","Фото")</f>
      </c>
    </row>
    <row r="5085">
      <c r="A5085" s="7">
        <f>HYPERLINK("http://www.lingerieopt.ru/item/6132-poluprozrachnaya-kombinaciya-s-kruzhevnjm-lifom-i-poluotkrjtoi-spinkoi/","6132")</f>
      </c>
      <c r="B5085" s="8" t="s">
        <v>4842</v>
      </c>
      <c r="C5085" s="9">
        <v>1787</v>
      </c>
      <c r="D5085" s="0">
        <v>6</v>
      </c>
      <c r="E5085" s="10">
        <f>HYPERLINK("http://www.lingerieopt.ru/images/original/25fc9213-622b-4eee-a920-07863577dec8.jpg","Фото")</f>
      </c>
    </row>
    <row r="5086">
      <c r="A5086" s="7">
        <f>HYPERLINK("http://www.lingerieopt.ru/item/6133-elegantnji-bebi-doll-s-blestyaschim-kruzhevom/","6133")</f>
      </c>
      <c r="B5086" s="8" t="s">
        <v>4843</v>
      </c>
      <c r="C5086" s="9">
        <v>3249</v>
      </c>
      <c r="D5086" s="0">
        <v>1</v>
      </c>
      <c r="E5086" s="10">
        <f>HYPERLINK("http://www.lingerieopt.ru/images/original/32eb6993-a52b-430b-a231-458d7975b6a3.jpg","Фото")</f>
      </c>
    </row>
    <row r="5087">
      <c r="A5087" s="7">
        <f>HYPERLINK("http://www.lingerieopt.ru/item/6133-elegantnji-bebi-doll-s-blestyaschim-kruzhevom/","6133")</f>
      </c>
      <c r="B5087" s="8" t="s">
        <v>4844</v>
      </c>
      <c r="C5087" s="9">
        <v>3249</v>
      </c>
      <c r="D5087" s="0">
        <v>1</v>
      </c>
      <c r="E5087" s="10">
        <f>HYPERLINK("http://www.lingerieopt.ru/images/original/32eb6993-a52b-430b-a231-458d7975b6a3.jpg","Фото")</f>
      </c>
    </row>
    <row r="5088">
      <c r="A5088" s="7">
        <f>HYPERLINK("http://www.lingerieopt.ru/item/6133-elegantnji-bebi-doll-s-blestyaschim-kruzhevom/","6133")</f>
      </c>
      <c r="B5088" s="8" t="s">
        <v>4845</v>
      </c>
      <c r="C5088" s="9">
        <v>3249</v>
      </c>
      <c r="D5088" s="0">
        <v>0</v>
      </c>
      <c r="E5088" s="10">
        <f>HYPERLINK("http://www.lingerieopt.ru/images/original/32eb6993-a52b-430b-a231-458d7975b6a3.jpg","Фото")</f>
      </c>
    </row>
    <row r="5089">
      <c r="A5089" s="7">
        <f>HYPERLINK("http://www.lingerieopt.ru/item/6139-kruzhevnaya-sorochka-v-pol-s-razrezom/","6139")</f>
      </c>
      <c r="B5089" s="8" t="s">
        <v>4846</v>
      </c>
      <c r="C5089" s="9">
        <v>3249</v>
      </c>
      <c r="D5089" s="0">
        <v>1</v>
      </c>
      <c r="E5089" s="10">
        <f>HYPERLINK("http://www.lingerieopt.ru/images/original/96a7bf04-9fa6-4e96-8404-8d46eff525e8.jpg","Фото")</f>
      </c>
    </row>
    <row r="5090">
      <c r="A5090" s="7">
        <f>HYPERLINK("http://www.lingerieopt.ru/item/6139-kruzhevnaya-sorochka-v-pol-s-razrezom/","6139")</f>
      </c>
      <c r="B5090" s="8" t="s">
        <v>4847</v>
      </c>
      <c r="C5090" s="9">
        <v>3249</v>
      </c>
      <c r="D5090" s="0">
        <v>0</v>
      </c>
      <c r="E5090" s="10">
        <f>HYPERLINK("http://www.lingerieopt.ru/images/original/96a7bf04-9fa6-4e96-8404-8d46eff525e8.jpg","Фото")</f>
      </c>
    </row>
    <row r="5091">
      <c r="A5091" s="7">
        <f>HYPERLINK("http://www.lingerieopt.ru/item/6141-poluprozrachnaya-shifonovaya-sorochka-s-kruzhevnjm-lifom-i-razrezom-po-noge/","6141")</f>
      </c>
      <c r="B5091" s="8" t="s">
        <v>4848</v>
      </c>
      <c r="C5091" s="9">
        <v>3592</v>
      </c>
      <c r="D5091" s="0">
        <v>6</v>
      </c>
      <c r="E5091" s="10">
        <f>HYPERLINK("http://www.lingerieopt.ru/images/original/814c3e5f-6727-416e-a61b-6357d7f018e6.jpg","Фото")</f>
      </c>
    </row>
    <row r="5092">
      <c r="A5092" s="7">
        <f>HYPERLINK("http://www.lingerieopt.ru/item/6142-poluprozrachnaya-sorochka-s-kruzhevnjm-lifom-i-otkrjtoi-spinoi/","6142")</f>
      </c>
      <c r="B5092" s="8" t="s">
        <v>4849</v>
      </c>
      <c r="C5092" s="9">
        <v>3911</v>
      </c>
      <c r="D5092" s="0">
        <v>6</v>
      </c>
      <c r="E5092" s="10">
        <f>HYPERLINK("http://www.lingerieopt.ru/images/original/ebacd952-b0bc-48ea-b216-fdc07daf6fc9.jpg","Фото")</f>
      </c>
    </row>
    <row r="5093">
      <c r="A5093" s="7">
        <f>HYPERLINK("http://www.lingerieopt.ru/item/6143-dvuhstoronnii-bebi-doll-s-trusikami/","6143")</f>
      </c>
      <c r="B5093" s="8" t="s">
        <v>4850</v>
      </c>
      <c r="C5093" s="9">
        <v>3511</v>
      </c>
      <c r="D5093" s="0">
        <v>6</v>
      </c>
      <c r="E5093" s="10">
        <f>HYPERLINK("http://www.lingerieopt.ru/images/original/5f0be2ef-46c9-48f0-9c18-2e81e4517369.jpg","Фото")</f>
      </c>
    </row>
    <row r="5094">
      <c r="A5094" s="7">
        <f>HYPERLINK("http://www.lingerieopt.ru/item/6147-nezhneishaya-kombinaciya-s-kruzhevnoi-otdelkoi/","6147")</f>
      </c>
      <c r="B5094" s="8" t="s">
        <v>4851</v>
      </c>
      <c r="C5094" s="9">
        <v>3592</v>
      </c>
      <c r="D5094" s="0">
        <v>6</v>
      </c>
      <c r="E5094" s="10">
        <f>HYPERLINK("http://www.lingerieopt.ru/images/original/26d41ee3-d65a-474d-8b4a-808614ec7824.jpg","Фото")</f>
      </c>
    </row>
    <row r="5095">
      <c r="A5095" s="7">
        <f>HYPERLINK("http://www.lingerieopt.ru/item/6155-komplekt-iz-sorochki-bebi-doll-s-kruzhevnjm-lifom/","6155")</f>
      </c>
      <c r="B5095" s="8" t="s">
        <v>4852</v>
      </c>
      <c r="C5095" s="9">
        <v>1487</v>
      </c>
      <c r="D5095" s="0">
        <v>6</v>
      </c>
      <c r="E5095" s="10">
        <f>HYPERLINK("http://www.lingerieopt.ru/images/original/9e0dfeed-2185-422f-8db5-2d3fdcaba2ce.jpg","Фото")</f>
      </c>
    </row>
    <row r="5096">
      <c r="A5096" s="7">
        <f>HYPERLINK("http://www.lingerieopt.ru/item/6157-ocharovatelnji-penyuar-s-krupnjmi-cvetami/","6157")</f>
      </c>
      <c r="B5096" s="8" t="s">
        <v>4853</v>
      </c>
      <c r="C5096" s="9">
        <v>3208</v>
      </c>
      <c r="D5096" s="0">
        <v>6</v>
      </c>
      <c r="E5096" s="10">
        <f>HYPERLINK("http://www.lingerieopt.ru/images/original/24b5ec25-4727-49e5-a0e1-8e29655075de.jpg","Фото")</f>
      </c>
    </row>
    <row r="5097">
      <c r="A5097" s="7">
        <f>HYPERLINK("http://www.lingerieopt.ru/item/6162-bebi-doll-i-trusiki-s-cvetochnjm-risunkom/","6162")</f>
      </c>
      <c r="B5097" s="8" t="s">
        <v>4854</v>
      </c>
      <c r="C5097" s="9">
        <v>1949</v>
      </c>
      <c r="D5097" s="0">
        <v>30</v>
      </c>
      <c r="E5097" s="10">
        <f>HYPERLINK("http://www.lingerieopt.ru/images/original/06a38ff6-5718-4a3d-aec1-374f0c3e1a79.jpg","Фото")</f>
      </c>
    </row>
    <row r="5098">
      <c r="A5098" s="7">
        <f>HYPERLINK("http://www.lingerieopt.ru/item/6288-prelestnaya-sorochka-rose-s-komplekte-s-poyasom-i-trusikami-string/","6288")</f>
      </c>
      <c r="B5098" s="8" t="s">
        <v>4855</v>
      </c>
      <c r="C5098" s="9">
        <v>2075</v>
      </c>
      <c r="D5098" s="0">
        <v>5</v>
      </c>
      <c r="E5098" s="10">
        <f>HYPERLINK("http://www.lingerieopt.ru/images/original/f7a929f6-7069-4c3c-951d-2f397997d117.jpg","Фото")</f>
      </c>
    </row>
    <row r="5099">
      <c r="A5099" s="7">
        <f>HYPERLINK("http://www.lingerieopt.ru/item/6288-prelestnaya-sorochka-rose-s-komplekte-s-poyasom-i-trusikami-string/","6288")</f>
      </c>
      <c r="B5099" s="8" t="s">
        <v>4856</v>
      </c>
      <c r="C5099" s="9">
        <v>2075</v>
      </c>
      <c r="D5099" s="0">
        <v>3</v>
      </c>
      <c r="E5099" s="10">
        <f>HYPERLINK("http://www.lingerieopt.ru/images/original/f7a929f6-7069-4c3c-951d-2f397997d117.jpg","Фото")</f>
      </c>
    </row>
    <row r="5100">
      <c r="A5100" s="7">
        <f>HYPERLINK("http://www.lingerieopt.ru/item/6288-prelestnaya-sorochka-rose-s-komplekte-s-poyasom-i-trusikami-string/","6288")</f>
      </c>
      <c r="B5100" s="8" t="s">
        <v>4857</v>
      </c>
      <c r="C5100" s="9">
        <v>2075</v>
      </c>
      <c r="D5100" s="0">
        <v>12</v>
      </c>
      <c r="E5100" s="10">
        <f>HYPERLINK("http://www.lingerieopt.ru/images/original/f7a929f6-7069-4c3c-951d-2f397997d117.jpg","Фото")</f>
      </c>
    </row>
    <row r="5101">
      <c r="A5101" s="7">
        <f>HYPERLINK("http://www.lingerieopt.ru/item/6288-prelestnaya-sorochka-rose-s-komplekte-s-poyasom-i-trusikami-string/","6288")</f>
      </c>
      <c r="B5101" s="8" t="s">
        <v>4858</v>
      </c>
      <c r="C5101" s="9">
        <v>2075</v>
      </c>
      <c r="D5101" s="0">
        <v>4</v>
      </c>
      <c r="E5101" s="10">
        <f>HYPERLINK("http://www.lingerieopt.ru/images/original/f7a929f6-7069-4c3c-951d-2f397997d117.jpg","Фото")</f>
      </c>
    </row>
    <row r="5102">
      <c r="A5102" s="7">
        <f>HYPERLINK("http://www.lingerieopt.ru/item/6288-prelestnaya-sorochka-rose-s-komplekte-s-poyasom-i-trusikami-string/","6288")</f>
      </c>
      <c r="B5102" s="8" t="s">
        <v>4859</v>
      </c>
      <c r="C5102" s="9">
        <v>2075</v>
      </c>
      <c r="D5102" s="0">
        <v>0</v>
      </c>
      <c r="E5102" s="10">
        <f>HYPERLINK("http://www.lingerieopt.ru/images/original/f7a929f6-7069-4c3c-951d-2f397997d117.jpg","Фото")</f>
      </c>
    </row>
    <row r="5103">
      <c r="A5103" s="7">
        <f>HYPERLINK("http://www.lingerieopt.ru/item/6288-prelestnaya-sorochka-rose-s-komplekte-s-poyasom-i-trusikami-string/","6288")</f>
      </c>
      <c r="B5103" s="8" t="s">
        <v>4860</v>
      </c>
      <c r="C5103" s="9">
        <v>2075</v>
      </c>
      <c r="D5103" s="0">
        <v>3</v>
      </c>
      <c r="E5103" s="10">
        <f>HYPERLINK("http://www.lingerieopt.ru/images/original/f7a929f6-7069-4c3c-951d-2f397997d117.jpg","Фото")</f>
      </c>
    </row>
    <row r="5104">
      <c r="A5104" s="7">
        <f>HYPERLINK("http://www.lingerieopt.ru/item/6306-sorochka-bebi-doll-constance-s-izjskannoi-vjshivkoi/","6306")</f>
      </c>
      <c r="B5104" s="8" t="s">
        <v>4861</v>
      </c>
      <c r="C5104" s="9">
        <v>2367</v>
      </c>
      <c r="D5104" s="0">
        <v>0</v>
      </c>
      <c r="E5104" s="10">
        <f>HYPERLINK("http://www.lingerieopt.ru/images/original/e1290d41-88fc-4b71-8ff4-de406022e79e.jpg","Фото")</f>
      </c>
    </row>
    <row r="5105">
      <c r="A5105" s="7">
        <f>HYPERLINK("http://www.lingerieopt.ru/item/6306-sorochka-bebi-doll-constance-s-izjskannoi-vjshivkoi/","6306")</f>
      </c>
      <c r="B5105" s="8" t="s">
        <v>4862</v>
      </c>
      <c r="C5105" s="9">
        <v>2367</v>
      </c>
      <c r="D5105" s="0">
        <v>4</v>
      </c>
      <c r="E5105" s="10">
        <f>HYPERLINK("http://www.lingerieopt.ru/images/original/e1290d41-88fc-4b71-8ff4-de406022e79e.jpg","Фото")</f>
      </c>
    </row>
    <row r="5106">
      <c r="A5106" s="7">
        <f>HYPERLINK("http://www.lingerieopt.ru/item/6306-sorochka-bebi-doll-constance-s-izjskannoi-vjshivkoi/","6306")</f>
      </c>
      <c r="B5106" s="8" t="s">
        <v>4863</v>
      </c>
      <c r="C5106" s="9">
        <v>2367</v>
      </c>
      <c r="D5106" s="0">
        <v>0</v>
      </c>
      <c r="E5106" s="10">
        <f>HYPERLINK("http://www.lingerieopt.ru/images/original/e1290d41-88fc-4b71-8ff4-de406022e79e.jpg","Фото")</f>
      </c>
    </row>
    <row r="5107">
      <c r="A5107" s="7">
        <f>HYPERLINK("http://www.lingerieopt.ru/item/6306-sorochka-bebi-doll-constance-s-izjskannoi-vjshivkoi/","6306")</f>
      </c>
      <c r="B5107" s="8" t="s">
        <v>4864</v>
      </c>
      <c r="C5107" s="9">
        <v>2367</v>
      </c>
      <c r="D5107" s="0">
        <v>1</v>
      </c>
      <c r="E5107" s="10">
        <f>HYPERLINK("http://www.lingerieopt.ru/images/original/e1290d41-88fc-4b71-8ff4-de406022e79e.jpg","Фото")</f>
      </c>
    </row>
    <row r="5108">
      <c r="A5108" s="7">
        <f>HYPERLINK("http://www.lingerieopt.ru/item/6306-sorochka-bebi-doll-constance-s-izjskannoi-vjshivkoi/","6306")</f>
      </c>
      <c r="B5108" s="8" t="s">
        <v>4865</v>
      </c>
      <c r="C5108" s="9">
        <v>2367</v>
      </c>
      <c r="D5108" s="0">
        <v>0</v>
      </c>
      <c r="E5108" s="10">
        <f>HYPERLINK("http://www.lingerieopt.ru/images/original/e1290d41-88fc-4b71-8ff4-de406022e79e.jpg","Фото")</f>
      </c>
    </row>
    <row r="5109">
      <c r="A5109" s="7">
        <f>HYPERLINK("http://www.lingerieopt.ru/item/6306-sorochka-bebi-doll-constance-s-izjskannoi-vjshivkoi/","6306")</f>
      </c>
      <c r="B5109" s="8" t="s">
        <v>4866</v>
      </c>
      <c r="C5109" s="9">
        <v>2367</v>
      </c>
      <c r="D5109" s="0">
        <v>5</v>
      </c>
      <c r="E5109" s="10">
        <f>HYPERLINK("http://www.lingerieopt.ru/images/original/e1290d41-88fc-4b71-8ff4-de406022e79e.jpg","Фото")</f>
      </c>
    </row>
    <row r="5110">
      <c r="A5110" s="7">
        <f>HYPERLINK("http://www.lingerieopt.ru/item/6307-poluprozrachnaya-sorochka-tamara-s-trusikami-i-podvyazkoi/","6307")</f>
      </c>
      <c r="B5110" s="8" t="s">
        <v>4867</v>
      </c>
      <c r="C5110" s="9">
        <v>1716</v>
      </c>
      <c r="D5110" s="0">
        <v>5</v>
      </c>
      <c r="E5110" s="10">
        <f>HYPERLINK("http://www.lingerieopt.ru/images/original/c8cf29af-d0ed-40b7-b508-ab78ec18207a.jpg","Фото")</f>
      </c>
    </row>
    <row r="5111">
      <c r="A5111" s="7">
        <f>HYPERLINK("http://www.lingerieopt.ru/item/6307-poluprozrachnaya-sorochka-tamara-s-trusikami-i-podvyazkoi/","6307")</f>
      </c>
      <c r="B5111" s="8" t="s">
        <v>4868</v>
      </c>
      <c r="C5111" s="9">
        <v>1716</v>
      </c>
      <c r="D5111" s="0">
        <v>3</v>
      </c>
      <c r="E5111" s="10">
        <f>HYPERLINK("http://www.lingerieopt.ru/images/original/c8cf29af-d0ed-40b7-b508-ab78ec18207a.jpg","Фото")</f>
      </c>
    </row>
    <row r="5112">
      <c r="A5112" s="7">
        <f>HYPERLINK("http://www.lingerieopt.ru/item/6307-poluprozrachnaya-sorochka-tamara-s-trusikami-i-podvyazkoi/","6307")</f>
      </c>
      <c r="B5112" s="8" t="s">
        <v>4869</v>
      </c>
      <c r="C5112" s="9">
        <v>1716</v>
      </c>
      <c r="D5112" s="0">
        <v>1</v>
      </c>
      <c r="E5112" s="10">
        <f>HYPERLINK("http://www.lingerieopt.ru/images/original/c8cf29af-d0ed-40b7-b508-ab78ec18207a.jpg","Фото")</f>
      </c>
    </row>
    <row r="5113">
      <c r="A5113" s="7">
        <f>HYPERLINK("http://www.lingerieopt.ru/item/6321-originalnaya-sorochka-bondy/","6321")</f>
      </c>
      <c r="B5113" s="8" t="s">
        <v>4870</v>
      </c>
      <c r="C5113" s="9">
        <v>1381</v>
      </c>
      <c r="D5113" s="0">
        <v>2</v>
      </c>
      <c r="E5113" s="10">
        <f>HYPERLINK("http://www.lingerieopt.ru/images/original/4bc8494b-8215-4fb6-85e4-7447cab74f41.jpg","Фото")</f>
      </c>
    </row>
    <row r="5114">
      <c r="A5114" s="7">
        <f>HYPERLINK("http://www.lingerieopt.ru/item/6321-originalnaya-sorochka-bondy/","6321")</f>
      </c>
      <c r="B5114" s="8" t="s">
        <v>4871</v>
      </c>
      <c r="C5114" s="9">
        <v>1381</v>
      </c>
      <c r="D5114" s="0">
        <v>6</v>
      </c>
      <c r="E5114" s="10">
        <f>HYPERLINK("http://www.lingerieopt.ru/images/original/4bc8494b-8215-4fb6-85e4-7447cab74f41.jpg","Фото")</f>
      </c>
    </row>
    <row r="5115">
      <c r="A5115" s="7">
        <f>HYPERLINK("http://www.lingerieopt.ru/item/6331-poluprozrachnji-penyuar-s-kruzhevnjmi-rukavchikami/","6331")</f>
      </c>
      <c r="B5115" s="8" t="s">
        <v>4872</v>
      </c>
      <c r="C5115" s="9">
        <v>2307</v>
      </c>
      <c r="D5115" s="0">
        <v>7</v>
      </c>
      <c r="E5115" s="10">
        <f>HYPERLINK("http://www.lingerieopt.ru/images/original/01024690-c7a6-4c60-bf3d-7b2f77e02fda.jpg","Фото")</f>
      </c>
    </row>
    <row r="5116">
      <c r="A5116" s="7">
        <f>HYPERLINK("http://www.lingerieopt.ru/item/6331-poluprozrachnji-penyuar-s-kruzhevnjmi-rukavchikami/","6331")</f>
      </c>
      <c r="B5116" s="8" t="s">
        <v>4873</v>
      </c>
      <c r="C5116" s="9">
        <v>2307</v>
      </c>
      <c r="D5116" s="0">
        <v>1</v>
      </c>
      <c r="E5116" s="10">
        <f>HYPERLINK("http://www.lingerieopt.ru/images/original/01024690-c7a6-4c60-bf3d-7b2f77e02fda.jpg","Фото")</f>
      </c>
    </row>
    <row r="5117">
      <c r="A5117" s="7">
        <f>HYPERLINK("http://www.lingerieopt.ru/item/6398-poluprozrachnji-penyuar-calixte-na-zavyazkah/","6398")</f>
      </c>
      <c r="B5117" s="8" t="s">
        <v>4874</v>
      </c>
      <c r="C5117" s="9">
        <v>2459</v>
      </c>
      <c r="D5117" s="0">
        <v>0</v>
      </c>
      <c r="E5117" s="10">
        <f>HYPERLINK("http://www.lingerieopt.ru/images/original/4aa5055b-5271-4440-b1bb-b8220df9915d.jpg","Фото")</f>
      </c>
    </row>
    <row r="5118">
      <c r="A5118" s="7">
        <f>HYPERLINK("http://www.lingerieopt.ru/item/6398-poluprozrachnji-penyuar-calixte-na-zavyazkah/","6398")</f>
      </c>
      <c r="B5118" s="8" t="s">
        <v>4875</v>
      </c>
      <c r="C5118" s="9">
        <v>2459</v>
      </c>
      <c r="D5118" s="0">
        <v>10</v>
      </c>
      <c r="E5118" s="10">
        <f>HYPERLINK("http://www.lingerieopt.ru/images/original/4aa5055b-5271-4440-b1bb-b8220df9915d.jpg","Фото")</f>
      </c>
    </row>
    <row r="5119">
      <c r="A5119" s="7">
        <f>HYPERLINK("http://www.lingerieopt.ru/item/6398-poluprozrachnji-penyuar-calixte-na-zavyazkah/","6398")</f>
      </c>
      <c r="B5119" s="8" t="s">
        <v>4876</v>
      </c>
      <c r="C5119" s="9">
        <v>2459</v>
      </c>
      <c r="D5119" s="0">
        <v>0</v>
      </c>
      <c r="E5119" s="10">
        <f>HYPERLINK("http://www.lingerieopt.ru/images/original/4aa5055b-5271-4440-b1bb-b8220df9915d.jpg","Фото")</f>
      </c>
    </row>
    <row r="5120">
      <c r="A5120" s="7">
        <f>HYPERLINK("http://www.lingerieopt.ru/item/6412-sorochka-arietta-s-poluprozrachnjmi-vstavkami/","6412")</f>
      </c>
      <c r="B5120" s="8" t="s">
        <v>4877</v>
      </c>
      <c r="C5120" s="9">
        <v>1313</v>
      </c>
      <c r="D5120" s="0">
        <v>0</v>
      </c>
      <c r="E5120" s="10">
        <f>HYPERLINK("http://www.lingerieopt.ru/images/original/33e8ca2d-a0df-4af5-8f58-50ec36b2799f.jpg","Фото")</f>
      </c>
    </row>
    <row r="5121">
      <c r="A5121" s="7">
        <f>HYPERLINK("http://www.lingerieopt.ru/item/6412-sorochka-arietta-s-poluprozrachnjmi-vstavkami/","6412")</f>
      </c>
      <c r="B5121" s="8" t="s">
        <v>4878</v>
      </c>
      <c r="C5121" s="9">
        <v>1313</v>
      </c>
      <c r="D5121" s="0">
        <v>2</v>
      </c>
      <c r="E5121" s="10">
        <f>HYPERLINK("http://www.lingerieopt.ru/images/original/33e8ca2d-a0df-4af5-8f58-50ec36b2799f.jpg","Фото")</f>
      </c>
    </row>
    <row r="5122">
      <c r="A5122" s="7">
        <f>HYPERLINK("http://www.lingerieopt.ru/item/6414-sorochka-karmina-s-yarkoi-vstavkoi-speredi-i-vjrezom-na-pope/","6414")</f>
      </c>
      <c r="B5122" s="8" t="s">
        <v>4879</v>
      </c>
      <c r="C5122" s="9">
        <v>1590</v>
      </c>
      <c r="D5122" s="0">
        <v>6</v>
      </c>
      <c r="E5122" s="10">
        <f>HYPERLINK("http://www.lingerieopt.ru/images/original/eb8350bd-6ad8-4964-99fb-1f2734be023f.jpg","Фото")</f>
      </c>
    </row>
    <row r="5123">
      <c r="A5123" s="7">
        <f>HYPERLINK("http://www.lingerieopt.ru/item/6414-sorochka-karmina-s-yarkoi-vstavkoi-speredi-i-vjrezom-na-pope/","6414")</f>
      </c>
      <c r="B5123" s="8" t="s">
        <v>4880</v>
      </c>
      <c r="C5123" s="9">
        <v>1590</v>
      </c>
      <c r="D5123" s="0">
        <v>4</v>
      </c>
      <c r="E5123" s="10">
        <f>HYPERLINK("http://www.lingerieopt.ru/images/original/eb8350bd-6ad8-4964-99fb-1f2734be023f.jpg","Фото")</f>
      </c>
    </row>
    <row r="5124">
      <c r="A5124" s="7">
        <f>HYPERLINK("http://www.lingerieopt.ru/item/6418-oblegayuschaya-sorochka-irma-s-kruzhevnjmi-vstavkami-na-life-i-podole/","6418")</f>
      </c>
      <c r="B5124" s="8" t="s">
        <v>4881</v>
      </c>
      <c r="C5124" s="9">
        <v>2340</v>
      </c>
      <c r="D5124" s="0">
        <v>0</v>
      </c>
      <c r="E5124" s="10">
        <f>HYPERLINK("http://www.lingerieopt.ru/images/original/e32ff52c-62f5-431f-a3ff-90bbc0807163.jpg","Фото")</f>
      </c>
    </row>
    <row r="5125">
      <c r="A5125" s="7">
        <f>HYPERLINK("http://www.lingerieopt.ru/item/6418-oblegayuschaya-sorochka-irma-s-kruzhevnjmi-vstavkami-na-life-i-podole/","6418")</f>
      </c>
      <c r="B5125" s="8" t="s">
        <v>4882</v>
      </c>
      <c r="C5125" s="9">
        <v>2340</v>
      </c>
      <c r="D5125" s="0">
        <v>4</v>
      </c>
      <c r="E5125" s="10">
        <f>HYPERLINK("http://www.lingerieopt.ru/images/original/e32ff52c-62f5-431f-a3ff-90bbc0807163.jpg","Фото")</f>
      </c>
    </row>
    <row r="5126">
      <c r="A5126" s="7">
        <f>HYPERLINK("http://www.lingerieopt.ru/item/6419-sorochka-oradea-s-kruzhevnjmi-vstavkami-po-bokam-i-sverkayuschimi-strazikami/","6419")</f>
      </c>
      <c r="B5126" s="8" t="s">
        <v>4883</v>
      </c>
      <c r="C5126" s="9">
        <v>2163</v>
      </c>
      <c r="D5126" s="0">
        <v>3</v>
      </c>
      <c r="E5126" s="10">
        <f>HYPERLINK("http://www.lingerieopt.ru/images/original/766a9ce0-f9c1-4ce9-887b-16a0db51b11b.jpg","Фото")</f>
      </c>
    </row>
    <row r="5127">
      <c r="A5127" s="7">
        <f>HYPERLINK("http://www.lingerieopt.ru/item/6419-sorochka-oradea-s-kruzhevnjmi-vstavkami-po-bokam-i-sverkayuschimi-strazikami/","6419")</f>
      </c>
      <c r="B5127" s="8" t="s">
        <v>4884</v>
      </c>
      <c r="C5127" s="9">
        <v>2163</v>
      </c>
      <c r="D5127" s="0">
        <v>0</v>
      </c>
      <c r="E5127" s="10">
        <f>HYPERLINK("http://www.lingerieopt.ru/images/original/766a9ce0-f9c1-4ce9-887b-16a0db51b11b.jpg","Фото")</f>
      </c>
    </row>
    <row r="5128">
      <c r="A5128" s="7">
        <f>HYPERLINK("http://www.lingerieopt.ru/item/6420-dvuhsloinaya-struyaschayasya-sorochka-greylita/","6420")</f>
      </c>
      <c r="B5128" s="8" t="s">
        <v>4885</v>
      </c>
      <c r="C5128" s="9">
        <v>2376</v>
      </c>
      <c r="D5128" s="0">
        <v>0</v>
      </c>
      <c r="E5128" s="10">
        <f>HYPERLINK("http://www.lingerieopt.ru/images/original/32dcd2a3-6b51-463b-a0bf-931a8103c242.jpg","Фото")</f>
      </c>
    </row>
    <row r="5129">
      <c r="A5129" s="7">
        <f>HYPERLINK("http://www.lingerieopt.ru/item/6420-dvuhsloinaya-struyaschayasya-sorochka-greylita/","6420")</f>
      </c>
      <c r="B5129" s="8" t="s">
        <v>4886</v>
      </c>
      <c r="C5129" s="9">
        <v>2376</v>
      </c>
      <c r="D5129" s="0">
        <v>14</v>
      </c>
      <c r="E5129" s="10">
        <f>HYPERLINK("http://www.lingerieopt.ru/images/original/32dcd2a3-6b51-463b-a0bf-931a8103c242.jpg","Фото")</f>
      </c>
    </row>
    <row r="5130">
      <c r="A5130" s="7">
        <f>HYPERLINK("http://www.lingerieopt.ru/item/6440-nezhnji-bebi-doll-eden-s-kruzhevami/","6440")</f>
      </c>
      <c r="B5130" s="8" t="s">
        <v>4887</v>
      </c>
      <c r="C5130" s="9">
        <v>1613</v>
      </c>
      <c r="D5130" s="0">
        <v>2</v>
      </c>
      <c r="E5130" s="10">
        <f>HYPERLINK("http://www.lingerieopt.ru/images/original/90a35248-dc46-4176-827c-ef3a4dd383ea.jpg","Фото")</f>
      </c>
    </row>
    <row r="5131">
      <c r="A5131" s="7">
        <f>HYPERLINK("http://www.lingerieopt.ru/item/6457-nezhnaya-sorochka-muna-plus-size-s-azhurnjm-lifom/","6457")</f>
      </c>
      <c r="B5131" s="8" t="s">
        <v>4888</v>
      </c>
      <c r="C5131" s="9">
        <v>2095</v>
      </c>
      <c r="D5131" s="0">
        <v>15</v>
      </c>
      <c r="E5131" s="10">
        <f>HYPERLINK("http://www.lingerieopt.ru/images/original/70921073-75da-4e11-9752-373e20c8d44d.jpg","Фото")</f>
      </c>
    </row>
    <row r="5132">
      <c r="A5132" s="7">
        <f>HYPERLINK("http://www.lingerieopt.ru/item/6479-chernaya-sorochka-iz-kruzhev-s-obnazhennoi-spinoi/","6479")</f>
      </c>
      <c r="B5132" s="8" t="s">
        <v>4889</v>
      </c>
      <c r="C5132" s="9">
        <v>1507</v>
      </c>
      <c r="D5132" s="0">
        <v>30</v>
      </c>
      <c r="E5132" s="10">
        <f>HYPERLINK("http://www.lingerieopt.ru/images/original/756fcb99-6366-4d1d-912c-5b70b359ba11.jpg","Фото")</f>
      </c>
    </row>
    <row r="5133">
      <c r="A5133" s="7">
        <f>HYPERLINK("http://www.lingerieopt.ru/item/6585-penyuar-camelie-s-rukavami-3-4/","6585")</f>
      </c>
      <c r="B5133" s="8" t="s">
        <v>4890</v>
      </c>
      <c r="C5133" s="9">
        <v>1902</v>
      </c>
      <c r="D5133" s="0">
        <v>4</v>
      </c>
      <c r="E5133" s="10">
        <f>HYPERLINK("http://www.lingerieopt.ru/images/original/261f1786-09f1-40dc-89ab-fce0d0e449e9.jpg","Фото")</f>
      </c>
    </row>
    <row r="5134">
      <c r="A5134" s="7">
        <f>HYPERLINK("http://www.lingerieopt.ru/item/6585-penyuar-camelie-s-rukavami-3-4/","6585")</f>
      </c>
      <c r="B5134" s="8" t="s">
        <v>4891</v>
      </c>
      <c r="C5134" s="9">
        <v>1902</v>
      </c>
      <c r="D5134" s="0">
        <v>5</v>
      </c>
      <c r="E5134" s="10">
        <f>HYPERLINK("http://www.lingerieopt.ru/images/original/261f1786-09f1-40dc-89ab-fce0d0e449e9.jpg","Фото")</f>
      </c>
    </row>
    <row r="5135">
      <c r="A5135" s="7">
        <f>HYPERLINK("http://www.lingerieopt.ru/item/6585-penyuar-camelie-s-rukavami-3-4/","6585")</f>
      </c>
      <c r="B5135" s="8" t="s">
        <v>4892</v>
      </c>
      <c r="C5135" s="9">
        <v>1902</v>
      </c>
      <c r="D5135" s="0">
        <v>3</v>
      </c>
      <c r="E5135" s="10">
        <f>HYPERLINK("http://www.lingerieopt.ru/images/original/261f1786-09f1-40dc-89ab-fce0d0e449e9.jpg","Фото")</f>
      </c>
    </row>
    <row r="5136">
      <c r="A5136" s="7">
        <f>HYPERLINK("http://www.lingerieopt.ru/item/6585-penyuar-camelie-s-rukavami-3-4/","6585")</f>
      </c>
      <c r="B5136" s="8" t="s">
        <v>4893</v>
      </c>
      <c r="C5136" s="9">
        <v>1902</v>
      </c>
      <c r="D5136" s="0">
        <v>2</v>
      </c>
      <c r="E5136" s="10">
        <f>HYPERLINK("http://www.lingerieopt.ru/images/original/261f1786-09f1-40dc-89ab-fce0d0e449e9.jpg","Фото")</f>
      </c>
    </row>
    <row r="5137">
      <c r="A5137" s="7">
        <f>HYPERLINK("http://www.lingerieopt.ru/item/6694-ocharovatelnji-bebi-doll-striptease-star/","6694")</f>
      </c>
      <c r="B5137" s="8" t="s">
        <v>4894</v>
      </c>
      <c r="C5137" s="9">
        <v>2225</v>
      </c>
      <c r="D5137" s="0">
        <v>0</v>
      </c>
      <c r="E5137" s="10">
        <f>HYPERLINK("http://www.lingerieopt.ru/images/original/7841edca-ee3f-453e-bd4f-0cb014691819.jpg","Фото")</f>
      </c>
    </row>
    <row r="5138">
      <c r="A5138" s="7">
        <f>HYPERLINK("http://www.lingerieopt.ru/item/6694-ocharovatelnji-bebi-doll-striptease-star/","6694")</f>
      </c>
      <c r="B5138" s="8" t="s">
        <v>4895</v>
      </c>
      <c r="C5138" s="9">
        <v>2225</v>
      </c>
      <c r="D5138" s="0">
        <v>1</v>
      </c>
      <c r="E5138" s="10">
        <f>HYPERLINK("http://www.lingerieopt.ru/images/original/7841edca-ee3f-453e-bd4f-0cb014691819.jpg","Фото")</f>
      </c>
    </row>
    <row r="5139">
      <c r="A5139" s="7">
        <f>HYPERLINK("http://www.lingerieopt.ru/item/6734-sorochka-klara-s-kruzhevnjm-lifom-i-razrezom-na-spine/","6734")</f>
      </c>
      <c r="B5139" s="8" t="s">
        <v>4896</v>
      </c>
      <c r="C5139" s="9">
        <v>2790</v>
      </c>
      <c r="D5139" s="0">
        <v>9</v>
      </c>
      <c r="E5139" s="10">
        <f>HYPERLINK("http://www.lingerieopt.ru/images/original/bdfaa00b-89c3-4fac-9bd3-47902053d769.jpg","Фото")</f>
      </c>
    </row>
    <row r="5140">
      <c r="A5140" s="7">
        <f>HYPERLINK("http://www.lingerieopt.ru/item/6830-nezhnaya-sorochka-swanita-s-x-obraznjm-lifom/","6830")</f>
      </c>
      <c r="B5140" s="8" t="s">
        <v>4897</v>
      </c>
      <c r="C5140" s="9">
        <v>1280</v>
      </c>
      <c r="D5140" s="0">
        <v>0</v>
      </c>
      <c r="E5140" s="10">
        <f>HYPERLINK("http://www.lingerieopt.ru/images/original/eb53981d-9f01-4c57-9908-3e1ef8dee2ed.jpg","Фото")</f>
      </c>
    </row>
    <row r="5141">
      <c r="A5141" s="7">
        <f>HYPERLINK("http://www.lingerieopt.ru/item/6830-nezhnaya-sorochka-swanita-s-x-obraznjm-lifom/","6830")</f>
      </c>
      <c r="B5141" s="8" t="s">
        <v>4898</v>
      </c>
      <c r="C5141" s="9">
        <v>1280</v>
      </c>
      <c r="D5141" s="0">
        <v>0</v>
      </c>
      <c r="E5141" s="10">
        <f>HYPERLINK("http://www.lingerieopt.ru/images/original/eb53981d-9f01-4c57-9908-3e1ef8dee2ed.jpg","Фото")</f>
      </c>
    </row>
    <row r="5142">
      <c r="A5142" s="7">
        <f>HYPERLINK("http://www.lingerieopt.ru/item/6830-nezhnaya-sorochka-swanita-s-x-obraznjm-lifom/","6830")</f>
      </c>
      <c r="B5142" s="8" t="s">
        <v>4899</v>
      </c>
      <c r="C5142" s="9">
        <v>1280</v>
      </c>
      <c r="D5142" s="0">
        <v>1</v>
      </c>
      <c r="E5142" s="10">
        <f>HYPERLINK("http://www.lingerieopt.ru/images/original/eb53981d-9f01-4c57-9908-3e1ef8dee2ed.jpg","Фото")</f>
      </c>
    </row>
    <row r="5143">
      <c r="A5143" s="7">
        <f>HYPERLINK("http://www.lingerieopt.ru/item/6830-nezhnaya-sorochka-swanita-s-x-obraznjm-lifom/","6830")</f>
      </c>
      <c r="B5143" s="8" t="s">
        <v>4900</v>
      </c>
      <c r="C5143" s="9">
        <v>1280</v>
      </c>
      <c r="D5143" s="0">
        <v>0</v>
      </c>
      <c r="E5143" s="10">
        <f>HYPERLINK("http://www.lingerieopt.ru/images/original/eb53981d-9f01-4c57-9908-3e1ef8dee2ed.jpg","Фото")</f>
      </c>
    </row>
    <row r="5144">
      <c r="A5144" s="7">
        <f>HYPERLINK("http://www.lingerieopt.ru/item/6855-penyuar-swanita-s-poyaskom-i-verhnei-azhurnoi-chastyu/","6855")</f>
      </c>
      <c r="B5144" s="8" t="s">
        <v>4901</v>
      </c>
      <c r="C5144" s="9">
        <v>2203</v>
      </c>
      <c r="D5144" s="0">
        <v>10</v>
      </c>
      <c r="E5144" s="10">
        <f>HYPERLINK("http://www.lingerieopt.ru/images/original/23bf5ba4-0317-4c70-802b-2c3e99f96409.jpg","Фото")</f>
      </c>
    </row>
    <row r="5145">
      <c r="A5145" s="7">
        <f>HYPERLINK("http://www.lingerieopt.ru/item/6855-penyuar-swanita-s-poyaskom-i-verhnei-azhurnoi-chastyu/","6855")</f>
      </c>
      <c r="B5145" s="8" t="s">
        <v>4902</v>
      </c>
      <c r="C5145" s="9">
        <v>2203</v>
      </c>
      <c r="D5145" s="0">
        <v>0</v>
      </c>
      <c r="E5145" s="10">
        <f>HYPERLINK("http://www.lingerieopt.ru/images/original/23bf5ba4-0317-4c70-802b-2c3e99f96409.jpg","Фото")</f>
      </c>
    </row>
    <row r="5146">
      <c r="A5146" s="7">
        <f>HYPERLINK("http://www.lingerieopt.ru/item/6855-penyuar-swanita-s-poyaskom-i-verhnei-azhurnoi-chastyu/","6855")</f>
      </c>
      <c r="B5146" s="8" t="s">
        <v>4903</v>
      </c>
      <c r="C5146" s="9">
        <v>2203</v>
      </c>
      <c r="D5146" s="0">
        <v>0</v>
      </c>
      <c r="E5146" s="10">
        <f>HYPERLINK("http://www.lingerieopt.ru/images/original/23bf5ba4-0317-4c70-802b-2c3e99f96409.jpg","Фото")</f>
      </c>
    </row>
    <row r="5147">
      <c r="A5147" s="7">
        <f>HYPERLINK("http://www.lingerieopt.ru/item/6855-penyuar-swanita-s-poyaskom-i-verhnei-azhurnoi-chastyu/","6855")</f>
      </c>
      <c r="B5147" s="8" t="s">
        <v>4904</v>
      </c>
      <c r="C5147" s="9">
        <v>2203</v>
      </c>
      <c r="D5147" s="0">
        <v>2</v>
      </c>
      <c r="E5147" s="10">
        <f>HYPERLINK("http://www.lingerieopt.ru/images/original/23bf5ba4-0317-4c70-802b-2c3e99f96409.jpg","Фото")</f>
      </c>
    </row>
    <row r="5148">
      <c r="A5148" s="7">
        <f>HYPERLINK("http://www.lingerieopt.ru/item/6872-shelkovistaya-sorochka-satinia-na-tonkih-bretelyah/","6872")</f>
      </c>
      <c r="B5148" s="8" t="s">
        <v>4905</v>
      </c>
      <c r="C5148" s="9">
        <v>1791</v>
      </c>
      <c r="D5148" s="0">
        <v>1</v>
      </c>
      <c r="E5148" s="10">
        <f>HYPERLINK("http://www.lingerieopt.ru/images/original/78ef6379-bb1d-4210-9b7b-38854619b591.jpg","Фото")</f>
      </c>
    </row>
    <row r="5149">
      <c r="A5149" s="7">
        <f>HYPERLINK("http://www.lingerieopt.ru/item/6872-shelkovistaya-sorochka-satinia-na-tonkih-bretelyah/","6872")</f>
      </c>
      <c r="B5149" s="8" t="s">
        <v>4906</v>
      </c>
      <c r="C5149" s="9">
        <v>1791</v>
      </c>
      <c r="D5149" s="0">
        <v>1</v>
      </c>
      <c r="E5149" s="10">
        <f>HYPERLINK("http://www.lingerieopt.ru/images/original/78ef6379-bb1d-4210-9b7b-38854619b591.jpg","Фото")</f>
      </c>
    </row>
    <row r="5150">
      <c r="A5150" s="7">
        <f>HYPERLINK("http://www.lingerieopt.ru/item/6872-shelkovistaya-sorochka-satinia-na-tonkih-bretelyah/","6872")</f>
      </c>
      <c r="B5150" s="8" t="s">
        <v>4907</v>
      </c>
      <c r="C5150" s="9">
        <v>1791</v>
      </c>
      <c r="D5150" s="0">
        <v>5</v>
      </c>
      <c r="E5150" s="10">
        <f>HYPERLINK("http://www.lingerieopt.ru/images/original/78ef6379-bb1d-4210-9b7b-38854619b591.jpg","Фото")</f>
      </c>
    </row>
    <row r="5151">
      <c r="A5151" s="7">
        <f>HYPERLINK("http://www.lingerieopt.ru/item/6872-shelkovistaya-sorochka-satinia-na-tonkih-bretelyah/","6872")</f>
      </c>
      <c r="B5151" s="8" t="s">
        <v>4908</v>
      </c>
      <c r="C5151" s="9">
        <v>1791</v>
      </c>
      <c r="D5151" s="0">
        <v>3</v>
      </c>
      <c r="E5151" s="10">
        <f>HYPERLINK("http://www.lingerieopt.ru/images/original/78ef6379-bb1d-4210-9b7b-38854619b591.jpg","Фото")</f>
      </c>
    </row>
    <row r="5152">
      <c r="A5152" s="7">
        <f>HYPERLINK("http://www.lingerieopt.ru/item/6872-shelkovistaya-sorochka-satinia-na-tonkih-bretelyah/","6872")</f>
      </c>
      <c r="B5152" s="8" t="s">
        <v>4909</v>
      </c>
      <c r="C5152" s="9">
        <v>1791</v>
      </c>
      <c r="D5152" s="0">
        <v>0</v>
      </c>
      <c r="E5152" s="10">
        <f>HYPERLINK("http://www.lingerieopt.ru/images/original/78ef6379-bb1d-4210-9b7b-38854619b591.jpg","Фото")</f>
      </c>
    </row>
    <row r="5153">
      <c r="A5153" s="7">
        <f>HYPERLINK("http://www.lingerieopt.ru/item/6872-shelkovistaya-sorochka-satinia-na-tonkih-bretelyah/","6872")</f>
      </c>
      <c r="B5153" s="8" t="s">
        <v>4910</v>
      </c>
      <c r="C5153" s="9">
        <v>1791</v>
      </c>
      <c r="D5153" s="0">
        <v>0</v>
      </c>
      <c r="E5153" s="10">
        <f>HYPERLINK("http://www.lingerieopt.ru/images/original/78ef6379-bb1d-4210-9b7b-38854619b591.jpg","Фото")</f>
      </c>
    </row>
    <row r="5154">
      <c r="A5154" s="7">
        <f>HYPERLINK("http://www.lingerieopt.ru/item/6872-shelkovistaya-sorochka-satinia-na-tonkih-bretelyah/","6872")</f>
      </c>
      <c r="B5154" s="8" t="s">
        <v>4911</v>
      </c>
      <c r="C5154" s="9">
        <v>1791</v>
      </c>
      <c r="D5154" s="0">
        <v>2</v>
      </c>
      <c r="E5154" s="10">
        <f>HYPERLINK("http://www.lingerieopt.ru/images/original/78ef6379-bb1d-4210-9b7b-38854619b591.jpg","Фото")</f>
      </c>
    </row>
    <row r="5155">
      <c r="A5155" s="7">
        <f>HYPERLINK("http://www.lingerieopt.ru/item/6872-shelkovistaya-sorochka-satinia-na-tonkih-bretelyah/","6872")</f>
      </c>
      <c r="B5155" s="8" t="s">
        <v>4912</v>
      </c>
      <c r="C5155" s="9">
        <v>1791</v>
      </c>
      <c r="D5155" s="0">
        <v>3</v>
      </c>
      <c r="E5155" s="10">
        <f>HYPERLINK("http://www.lingerieopt.ru/images/original/78ef6379-bb1d-4210-9b7b-38854619b591.jpg","Фото")</f>
      </c>
    </row>
    <row r="5156">
      <c r="A5156" s="7">
        <f>HYPERLINK("http://www.lingerieopt.ru/item/6874-igrivji-bebi-doll-kisselent-s-zavyazkami-na-life/","6874")</f>
      </c>
      <c r="B5156" s="8" t="s">
        <v>4913</v>
      </c>
      <c r="C5156" s="9">
        <v>2239</v>
      </c>
      <c r="D5156" s="0">
        <v>11</v>
      </c>
      <c r="E5156" s="10">
        <f>HYPERLINK("http://www.lingerieopt.ru/images/original/701cd8e7-87a5-40fa-8557-3d8153ed11d6.jpg","Фото")</f>
      </c>
    </row>
    <row r="5157">
      <c r="A5157" s="7">
        <f>HYPERLINK("http://www.lingerieopt.ru/item/6874-igrivji-bebi-doll-kisselent-s-zavyazkami-na-life/","6874")</f>
      </c>
      <c r="B5157" s="8" t="s">
        <v>4914</v>
      </c>
      <c r="C5157" s="9">
        <v>2239</v>
      </c>
      <c r="D5157" s="0">
        <v>4</v>
      </c>
      <c r="E5157" s="10">
        <f>HYPERLINK("http://www.lingerieopt.ru/images/original/701cd8e7-87a5-40fa-8557-3d8153ed11d6.jpg","Фото")</f>
      </c>
    </row>
    <row r="5158">
      <c r="A5158" s="7">
        <f>HYPERLINK("http://www.lingerieopt.ru/item/6892-oblegayuschaya-sorochka-s-cvetochnjm-uzorom/","6892")</f>
      </c>
      <c r="B5158" s="8" t="s">
        <v>4915</v>
      </c>
      <c r="C5158" s="9">
        <v>996</v>
      </c>
      <c r="D5158" s="0">
        <v>2</v>
      </c>
      <c r="E5158" s="10">
        <f>HYPERLINK("http://www.lingerieopt.ru/images/original/743aa1a0-e488-445f-afbc-2de2bc0d92a1.jpg","Фото")</f>
      </c>
    </row>
    <row r="5159">
      <c r="A5159" s="7">
        <f>HYPERLINK("http://www.lingerieopt.ru/item/6895-sorochka-jinglebell-v-novogodnem-stile/","6895")</f>
      </c>
      <c r="B5159" s="8" t="s">
        <v>4916</v>
      </c>
      <c r="C5159" s="9">
        <v>1877</v>
      </c>
      <c r="D5159" s="0">
        <v>3</v>
      </c>
      <c r="E5159" s="10">
        <f>HYPERLINK("http://www.lingerieopt.ru/images/original/800470c5-560e-483a-8937-b624e9559ce7.jpg","Фото")</f>
      </c>
    </row>
    <row r="5160">
      <c r="A5160" s="7">
        <f>HYPERLINK("http://www.lingerieopt.ru/item/6895-sorochka-jinglebell-v-novogodnem-stile/","6895")</f>
      </c>
      <c r="B5160" s="8" t="s">
        <v>4917</v>
      </c>
      <c r="C5160" s="9">
        <v>1877</v>
      </c>
      <c r="D5160" s="0">
        <v>1</v>
      </c>
      <c r="E5160" s="10">
        <f>HYPERLINK("http://www.lingerieopt.ru/images/original/800470c5-560e-483a-8937-b624e9559ce7.jpg","Фото")</f>
      </c>
    </row>
    <row r="5161">
      <c r="A5161" s="7">
        <f>HYPERLINK("http://www.lingerieopt.ru/item/6897-sorochka-flores-iz-cvetochnogo-kruzheva-s-pjshnjmi-oborkami/","6897")</f>
      </c>
      <c r="B5161" s="8" t="s">
        <v>4918</v>
      </c>
      <c r="C5161" s="9">
        <v>1611</v>
      </c>
      <c r="D5161" s="0">
        <v>0</v>
      </c>
      <c r="E5161" s="10">
        <f>HYPERLINK("http://www.lingerieopt.ru/images/original/4399fd82-ad3f-4496-be37-56c4da16c610.jpg","Фото")</f>
      </c>
    </row>
    <row r="5162">
      <c r="A5162" s="7">
        <f>HYPERLINK("http://www.lingerieopt.ru/item/6897-sorochka-flores-iz-cvetochnogo-kruzheva-s-pjshnjmi-oborkami/","6897")</f>
      </c>
      <c r="B5162" s="8" t="s">
        <v>4919</v>
      </c>
      <c r="C5162" s="9">
        <v>1611</v>
      </c>
      <c r="D5162" s="0">
        <v>9</v>
      </c>
      <c r="E5162" s="10">
        <f>HYPERLINK("http://www.lingerieopt.ru/images/original/4399fd82-ad3f-4496-be37-56c4da16c610.jpg","Фото")</f>
      </c>
    </row>
    <row r="5163">
      <c r="A5163" s="7">
        <f>HYPERLINK("http://www.lingerieopt.ru/item/6897-sorochka-flores-iz-cvetochnogo-kruzheva-s-pjshnjmi-oborkami/","6897")</f>
      </c>
      <c r="B5163" s="8" t="s">
        <v>4920</v>
      </c>
      <c r="C5163" s="9">
        <v>1611</v>
      </c>
      <c r="D5163" s="0">
        <v>0</v>
      </c>
      <c r="E5163" s="10">
        <f>HYPERLINK("http://www.lingerieopt.ru/images/original/4399fd82-ad3f-4496-be37-56c4da16c610.jpg","Фото")</f>
      </c>
    </row>
    <row r="5164">
      <c r="A5164" s="7">
        <f>HYPERLINK("http://www.lingerieopt.ru/item/6897-sorochka-flores-iz-cvetochnogo-kruzheva-s-pjshnjmi-oborkami/","6897")</f>
      </c>
      <c r="B5164" s="8" t="s">
        <v>4921</v>
      </c>
      <c r="C5164" s="9">
        <v>1611</v>
      </c>
      <c r="D5164" s="0">
        <v>10</v>
      </c>
      <c r="E5164" s="10">
        <f>HYPERLINK("http://www.lingerieopt.ru/images/original/4399fd82-ad3f-4496-be37-56c4da16c610.jpg","Фото")</f>
      </c>
    </row>
    <row r="5165">
      <c r="A5165" s="7">
        <f>HYPERLINK("http://www.lingerieopt.ru/item/6905-sorochka-miamor-s-razrezami-po-bokam/","6905")</f>
      </c>
      <c r="B5165" s="8" t="s">
        <v>4922</v>
      </c>
      <c r="C5165" s="9">
        <v>1912</v>
      </c>
      <c r="D5165" s="0">
        <v>4</v>
      </c>
      <c r="E5165" s="10">
        <f>HYPERLINK("http://www.lingerieopt.ru/images/original/5ef11344-d8bd-40d0-98bb-6643d60911af.jpg","Фото")</f>
      </c>
    </row>
    <row r="5166">
      <c r="A5166" s="7">
        <f>HYPERLINK("http://www.lingerieopt.ru/item/6905-sorochka-miamor-s-razrezami-po-bokam/","6905")</f>
      </c>
      <c r="B5166" s="8" t="s">
        <v>4923</v>
      </c>
      <c r="C5166" s="9">
        <v>1912</v>
      </c>
      <c r="D5166" s="0">
        <v>8</v>
      </c>
      <c r="E5166" s="10">
        <f>HYPERLINK("http://www.lingerieopt.ru/images/original/5ef11344-d8bd-40d0-98bb-6643d60911af.jpg","Фото")</f>
      </c>
    </row>
    <row r="5167">
      <c r="A5167" s="7">
        <f>HYPERLINK("http://www.lingerieopt.ru/item/6963-poluprozrachnaya-sorochka-nicole-s-poluotkrjtoi-spinkoi/","6963")</f>
      </c>
      <c r="B5167" s="8" t="s">
        <v>4924</v>
      </c>
      <c r="C5167" s="9">
        <v>2001</v>
      </c>
      <c r="D5167" s="0">
        <v>2</v>
      </c>
      <c r="E5167" s="10">
        <f>HYPERLINK("http://www.lingerieopt.ru/images/original/488c033e-9aa0-4bb1-83ef-1302cf72fd33.jpg","Фото")</f>
      </c>
    </row>
    <row r="5168">
      <c r="A5168" s="7">
        <f>HYPERLINK("http://www.lingerieopt.ru/item/6963-poluprozrachnaya-sorochka-nicole-s-poluotkrjtoi-spinkoi/","6963")</f>
      </c>
      <c r="B5168" s="8" t="s">
        <v>4925</v>
      </c>
      <c r="C5168" s="9">
        <v>2001</v>
      </c>
      <c r="D5168" s="0">
        <v>3</v>
      </c>
      <c r="E5168" s="10">
        <f>HYPERLINK("http://www.lingerieopt.ru/images/original/488c033e-9aa0-4bb1-83ef-1302cf72fd33.jpg","Фото")</f>
      </c>
    </row>
    <row r="5169">
      <c r="A5169" s="7">
        <f>HYPERLINK("http://www.lingerieopt.ru/item/6963-poluprozrachnaya-sorochka-nicole-s-poluotkrjtoi-spinkoi/","6963")</f>
      </c>
      <c r="B5169" s="8" t="s">
        <v>4926</v>
      </c>
      <c r="C5169" s="9">
        <v>2001</v>
      </c>
      <c r="D5169" s="0">
        <v>1</v>
      </c>
      <c r="E5169" s="10">
        <f>HYPERLINK("http://www.lingerieopt.ru/images/original/488c033e-9aa0-4bb1-83ef-1302cf72fd33.jpg","Фото")</f>
      </c>
    </row>
    <row r="5170">
      <c r="A5170" s="7">
        <f>HYPERLINK("http://www.lingerieopt.ru/item/6963-poluprozrachnaya-sorochka-nicole-s-poluotkrjtoi-spinkoi/","6963")</f>
      </c>
      <c r="B5170" s="8" t="s">
        <v>4927</v>
      </c>
      <c r="C5170" s="9">
        <v>2001</v>
      </c>
      <c r="D5170" s="0">
        <v>5</v>
      </c>
      <c r="E5170" s="10">
        <f>HYPERLINK("http://www.lingerieopt.ru/images/original/488c033e-9aa0-4bb1-83ef-1302cf72fd33.jpg","Фото")</f>
      </c>
    </row>
    <row r="5171">
      <c r="A5171" s="7">
        <f>HYPERLINK("http://www.lingerieopt.ru/item/6963-poluprozrachnaya-sorochka-nicole-s-poluotkrjtoi-spinkoi/","6963")</f>
      </c>
      <c r="B5171" s="8" t="s">
        <v>4928</v>
      </c>
      <c r="C5171" s="9">
        <v>2001</v>
      </c>
      <c r="D5171" s="0">
        <v>2</v>
      </c>
      <c r="E5171" s="10">
        <f>HYPERLINK("http://www.lingerieopt.ru/images/original/488c033e-9aa0-4bb1-83ef-1302cf72fd33.jpg","Фото")</f>
      </c>
    </row>
    <row r="5172">
      <c r="A5172" s="7">
        <f>HYPERLINK("http://www.lingerieopt.ru/item/6963-poluprozrachnaya-sorochka-nicole-s-poluotkrjtoi-spinkoi/","6963")</f>
      </c>
      <c r="B5172" s="8" t="s">
        <v>4929</v>
      </c>
      <c r="C5172" s="9">
        <v>2001</v>
      </c>
      <c r="D5172" s="0">
        <v>2</v>
      </c>
      <c r="E5172" s="10">
        <f>HYPERLINK("http://www.lingerieopt.ru/images/original/488c033e-9aa0-4bb1-83ef-1302cf72fd33.jpg","Фото")</f>
      </c>
    </row>
    <row r="5173">
      <c r="A5173" s="7">
        <f>HYPERLINK("http://www.lingerieopt.ru/item/6981-fioletovaya-poluprozrachnaya-sorochka-suella-s-nezhnjm-kruzhevom-i-ukrasheniem-na-life/","6981")</f>
      </c>
      <c r="B5173" s="8" t="s">
        <v>4930</v>
      </c>
      <c r="C5173" s="9">
        <v>1439</v>
      </c>
      <c r="D5173" s="0">
        <v>1</v>
      </c>
      <c r="E5173" s="10">
        <f>HYPERLINK("http://www.lingerieopt.ru/images/original/1e3c9cef-a814-428b-be2d-cc5b384c0180.jpg","Фото")</f>
      </c>
    </row>
    <row r="5174">
      <c r="A5174" s="7">
        <f>HYPERLINK("http://www.lingerieopt.ru/item/6981-fioletovaya-poluprozrachnaya-sorochka-suella-s-nezhnjm-kruzhevom-i-ukrasheniem-na-life/","6981")</f>
      </c>
      <c r="B5174" s="8" t="s">
        <v>4931</v>
      </c>
      <c r="C5174" s="9">
        <v>1439</v>
      </c>
      <c r="D5174" s="0">
        <v>3</v>
      </c>
      <c r="E5174" s="10">
        <f>HYPERLINK("http://www.lingerieopt.ru/images/original/1e3c9cef-a814-428b-be2d-cc5b384c0180.jpg","Фото")</f>
      </c>
    </row>
    <row r="5175">
      <c r="A5175" s="7">
        <f>HYPERLINK("http://www.lingerieopt.ru/item/7007-dvuhsloinaya-sorochka-v-pol-feelia/","7007")</f>
      </c>
      <c r="B5175" s="8" t="s">
        <v>4932</v>
      </c>
      <c r="C5175" s="9">
        <v>1650</v>
      </c>
      <c r="D5175" s="0">
        <v>0</v>
      </c>
      <c r="E5175" s="10">
        <f>HYPERLINK("http://www.lingerieopt.ru/images/original/5cf0ec5d-0f27-4d8a-b9d0-cc9c4bedef16.jpg","Фото")</f>
      </c>
    </row>
    <row r="5176">
      <c r="A5176" s="7">
        <f>HYPERLINK("http://www.lingerieopt.ru/item/7007-dvuhsloinaya-sorochka-v-pol-feelia/","7007")</f>
      </c>
      <c r="B5176" s="8" t="s">
        <v>4933</v>
      </c>
      <c r="C5176" s="9">
        <v>1650</v>
      </c>
      <c r="D5176" s="0">
        <v>2</v>
      </c>
      <c r="E5176" s="10">
        <f>HYPERLINK("http://www.lingerieopt.ru/images/original/5cf0ec5d-0f27-4d8a-b9d0-cc9c4bedef16.jpg","Фото")</f>
      </c>
    </row>
    <row r="5177">
      <c r="A5177" s="7">
        <f>HYPERLINK("http://www.lingerieopt.ru/item/7031-nezhnji-bebi-doll-s-chashechkami-push-ap-i-trusiki/","7031")</f>
      </c>
      <c r="B5177" s="8" t="s">
        <v>4934</v>
      </c>
      <c r="C5177" s="9">
        <v>2024</v>
      </c>
      <c r="D5177" s="0">
        <v>6</v>
      </c>
      <c r="E5177" s="10">
        <f>HYPERLINK("http://www.lingerieopt.ru/images/original/9b11a680-33bb-4a37-adc3-6d9073d1677c.jpg","Фото")</f>
      </c>
    </row>
    <row r="5178">
      <c r="A5178" s="7">
        <f>HYPERLINK("http://www.lingerieopt.ru/item/7031-nezhnji-bebi-doll-s-chashechkami-push-ap-i-trusiki/","7031")</f>
      </c>
      <c r="B5178" s="8" t="s">
        <v>4935</v>
      </c>
      <c r="C5178" s="9">
        <v>2024</v>
      </c>
      <c r="D5178" s="0">
        <v>6</v>
      </c>
      <c r="E5178" s="10">
        <f>HYPERLINK("http://www.lingerieopt.ru/images/original/9b11a680-33bb-4a37-adc3-6d9073d1677c.jpg","Фото")</f>
      </c>
    </row>
    <row r="5179">
      <c r="A5179" s="7">
        <f>HYPERLINK("http://www.lingerieopt.ru/item/7031-nezhnji-bebi-doll-s-chashechkami-push-ap-i-trusiki/","7031")</f>
      </c>
      <c r="B5179" s="8" t="s">
        <v>4936</v>
      </c>
      <c r="C5179" s="9">
        <v>2024</v>
      </c>
      <c r="D5179" s="0">
        <v>6</v>
      </c>
      <c r="E5179" s="10">
        <f>HYPERLINK("http://www.lingerieopt.ru/images/original/9b11a680-33bb-4a37-adc3-6d9073d1677c.jpg","Фото")</f>
      </c>
    </row>
    <row r="5180">
      <c r="A5180" s="7">
        <f>HYPERLINK("http://www.lingerieopt.ru/item/7031-nezhnji-bebi-doll-s-chashechkami-push-ap-i-trusiki/","7031")</f>
      </c>
      <c r="B5180" s="8" t="s">
        <v>4937</v>
      </c>
      <c r="C5180" s="9">
        <v>2024</v>
      </c>
      <c r="D5180" s="0">
        <v>30</v>
      </c>
      <c r="E5180" s="10">
        <f>HYPERLINK("http://www.lingerieopt.ru/images/original/9b11a680-33bb-4a37-adc3-6d9073d1677c.jpg","Фото")</f>
      </c>
    </row>
    <row r="5181">
      <c r="A5181" s="7">
        <f>HYPERLINK("http://www.lingerieopt.ru/item/7032-bebi-doll-s-kruzhevnjm-lifom-i-trusikami/","7032")</f>
      </c>
      <c r="B5181" s="8" t="s">
        <v>4938</v>
      </c>
      <c r="C5181" s="9">
        <v>2024</v>
      </c>
      <c r="D5181" s="0">
        <v>6</v>
      </c>
      <c r="E5181" s="10">
        <f>HYPERLINK("http://www.lingerieopt.ru/images/original/52b5a1a8-b1f8-4ae3-9b95-61274ef4ef57.jpg","Фото")</f>
      </c>
    </row>
    <row r="5182">
      <c r="A5182" s="7">
        <f>HYPERLINK("http://www.lingerieopt.ru/item/7032-bebi-doll-s-kruzhevnjm-lifom-i-trusikami/","7032")</f>
      </c>
      <c r="B5182" s="8" t="s">
        <v>4939</v>
      </c>
      <c r="C5182" s="9">
        <v>2024</v>
      </c>
      <c r="D5182" s="0">
        <v>0</v>
      </c>
      <c r="E5182" s="10">
        <f>HYPERLINK("http://www.lingerieopt.ru/images/original/52b5a1a8-b1f8-4ae3-9b95-61274ef4ef57.jpg","Фото")</f>
      </c>
    </row>
    <row r="5183">
      <c r="A5183" s="7">
        <f>HYPERLINK("http://www.lingerieopt.ru/item/7032-bebi-doll-s-kruzhevnjm-lifom-i-trusikami/","7032")</f>
      </c>
      <c r="B5183" s="8" t="s">
        <v>4940</v>
      </c>
      <c r="C5183" s="9">
        <v>2024</v>
      </c>
      <c r="D5183" s="0">
        <v>6</v>
      </c>
      <c r="E5183" s="10">
        <f>HYPERLINK("http://www.lingerieopt.ru/images/original/52b5a1a8-b1f8-4ae3-9b95-61274ef4ef57.jpg","Фото")</f>
      </c>
    </row>
    <row r="5184">
      <c r="A5184" s="7">
        <f>HYPERLINK("http://www.lingerieopt.ru/item/7032-bebi-doll-s-kruzhevnjm-lifom-i-trusikami/","7032")</f>
      </c>
      <c r="B5184" s="8" t="s">
        <v>4941</v>
      </c>
      <c r="C5184" s="9">
        <v>2024</v>
      </c>
      <c r="D5184" s="0">
        <v>1</v>
      </c>
      <c r="E5184" s="10">
        <f>HYPERLINK("http://www.lingerieopt.ru/images/original/52b5a1a8-b1f8-4ae3-9b95-61274ef4ef57.jpg","Фото")</f>
      </c>
    </row>
    <row r="5185">
      <c r="A5185" s="7">
        <f>HYPERLINK("http://www.lingerieopt.ru/item/7033-sorochka-s-formovannoi-chashkoi/","7033")</f>
      </c>
      <c r="B5185" s="8" t="s">
        <v>4942</v>
      </c>
      <c r="C5185" s="9">
        <v>2024</v>
      </c>
      <c r="D5185" s="0">
        <v>6</v>
      </c>
      <c r="E5185" s="10">
        <f>HYPERLINK("http://www.lingerieopt.ru/images/original/73a32cd7-5465-4680-8c0c-6bcbd563a921.jpg","Фото")</f>
      </c>
    </row>
    <row r="5186">
      <c r="A5186" s="7">
        <f>HYPERLINK("http://www.lingerieopt.ru/item/7033-sorochka-s-formovannoi-chashkoi/","7033")</f>
      </c>
      <c r="B5186" s="8" t="s">
        <v>4943</v>
      </c>
      <c r="C5186" s="9">
        <v>2024</v>
      </c>
      <c r="D5186" s="0">
        <v>3</v>
      </c>
      <c r="E5186" s="10">
        <f>HYPERLINK("http://www.lingerieopt.ru/images/original/73a32cd7-5465-4680-8c0c-6bcbd563a921.jpg","Фото")</f>
      </c>
    </row>
    <row r="5187">
      <c r="A5187" s="7">
        <f>HYPERLINK("http://www.lingerieopt.ru/item/7033-sorochka-s-formovannoi-chashkoi/","7033")</f>
      </c>
      <c r="B5187" s="8" t="s">
        <v>4944</v>
      </c>
      <c r="C5187" s="9">
        <v>2024</v>
      </c>
      <c r="D5187" s="0">
        <v>0</v>
      </c>
      <c r="E5187" s="10">
        <f>HYPERLINK("http://www.lingerieopt.ru/images/original/73a32cd7-5465-4680-8c0c-6bcbd563a921.jpg","Фото")</f>
      </c>
    </row>
    <row r="5188">
      <c r="A5188" s="7">
        <f>HYPERLINK("http://www.lingerieopt.ru/item/7033-sorochka-s-formovannoi-chashkoi/","7033")</f>
      </c>
      <c r="B5188" s="8" t="s">
        <v>4945</v>
      </c>
      <c r="C5188" s="9">
        <v>2024</v>
      </c>
      <c r="D5188" s="0">
        <v>6</v>
      </c>
      <c r="E5188" s="10">
        <f>HYPERLINK("http://www.lingerieopt.ru/images/original/73a32cd7-5465-4680-8c0c-6bcbd563a921.jpg","Фото")</f>
      </c>
    </row>
    <row r="5189">
      <c r="A5189" s="7">
        <f>HYPERLINK("http://www.lingerieopt.ru/item/7034-oblegayuschaya-sorochka-s-igrivjm-ryushem/","7034")</f>
      </c>
      <c r="B5189" s="8" t="s">
        <v>4946</v>
      </c>
      <c r="C5189" s="9">
        <v>2024</v>
      </c>
      <c r="D5189" s="0">
        <v>6</v>
      </c>
      <c r="E5189" s="10">
        <f>HYPERLINK("http://www.lingerieopt.ru/images/original/53e82686-9326-4333-8120-5d3b1f1c00a2.jpg","Фото")</f>
      </c>
    </row>
    <row r="5190">
      <c r="A5190" s="7">
        <f>HYPERLINK("http://www.lingerieopt.ru/item/7034-oblegayuschaya-sorochka-s-igrivjm-ryushem/","7034")</f>
      </c>
      <c r="B5190" s="8" t="s">
        <v>4947</v>
      </c>
      <c r="C5190" s="9">
        <v>2024</v>
      </c>
      <c r="D5190" s="0">
        <v>6</v>
      </c>
      <c r="E5190" s="10">
        <f>HYPERLINK("http://www.lingerieopt.ru/images/original/53e82686-9326-4333-8120-5d3b1f1c00a2.jpg","Фото")</f>
      </c>
    </row>
    <row r="5191">
      <c r="A5191" s="7">
        <f>HYPERLINK("http://www.lingerieopt.ru/item/7034-oblegayuschaya-sorochka-s-igrivjm-ryushem/","7034")</f>
      </c>
      <c r="B5191" s="8" t="s">
        <v>4948</v>
      </c>
      <c r="C5191" s="9">
        <v>2024</v>
      </c>
      <c r="D5191" s="0">
        <v>0</v>
      </c>
      <c r="E5191" s="10">
        <f>HYPERLINK("http://www.lingerieopt.ru/images/original/53e82686-9326-4333-8120-5d3b1f1c00a2.jpg","Фото")</f>
      </c>
    </row>
    <row r="5192">
      <c r="A5192" s="7">
        <f>HYPERLINK("http://www.lingerieopt.ru/item/7034-oblegayuschaya-sorochka-s-igrivjm-ryushem/","7034")</f>
      </c>
      <c r="B5192" s="8" t="s">
        <v>4949</v>
      </c>
      <c r="C5192" s="9">
        <v>2024</v>
      </c>
      <c r="D5192" s="0">
        <v>6</v>
      </c>
      <c r="E5192" s="10">
        <f>HYPERLINK("http://www.lingerieopt.ru/images/original/53e82686-9326-4333-8120-5d3b1f1c00a2.jpg","Фото")</f>
      </c>
    </row>
    <row r="5193">
      <c r="A5193" s="7">
        <f>HYPERLINK("http://www.lingerieopt.ru/item/7036-simpatichnaya-sorochka-v-retro-stile/","7036")</f>
      </c>
      <c r="B5193" s="8" t="s">
        <v>4950</v>
      </c>
      <c r="C5193" s="9">
        <v>2024</v>
      </c>
      <c r="D5193" s="0">
        <v>0</v>
      </c>
      <c r="E5193" s="10">
        <f>HYPERLINK("http://www.lingerieopt.ru/images/original/147e0e2d-2f50-44bc-99f0-1dd6f45b1329.jpg","Фото")</f>
      </c>
    </row>
    <row r="5194">
      <c r="A5194" s="7">
        <f>HYPERLINK("http://www.lingerieopt.ru/item/7036-simpatichnaya-sorochka-v-retro-stile/","7036")</f>
      </c>
      <c r="B5194" s="8" t="s">
        <v>4951</v>
      </c>
      <c r="C5194" s="9">
        <v>2024</v>
      </c>
      <c r="D5194" s="0">
        <v>6</v>
      </c>
      <c r="E5194" s="10">
        <f>HYPERLINK("http://www.lingerieopt.ru/images/original/147e0e2d-2f50-44bc-99f0-1dd6f45b1329.jpg","Фото")</f>
      </c>
    </row>
    <row r="5195">
      <c r="A5195" s="7">
        <f>HYPERLINK("http://www.lingerieopt.ru/item/7036-simpatichnaya-sorochka-v-retro-stile/","7036")</f>
      </c>
      <c r="B5195" s="8" t="s">
        <v>4952</v>
      </c>
      <c r="C5195" s="9">
        <v>2024</v>
      </c>
      <c r="D5195" s="0">
        <v>0</v>
      </c>
      <c r="E5195" s="10">
        <f>HYPERLINK("http://www.lingerieopt.ru/images/original/147e0e2d-2f50-44bc-99f0-1dd6f45b1329.jpg","Фото")</f>
      </c>
    </row>
    <row r="5196">
      <c r="A5196" s="7">
        <f>HYPERLINK("http://www.lingerieopt.ru/item/7036-simpatichnaya-sorochka-v-retro-stile/","7036")</f>
      </c>
      <c r="B5196" s="8" t="s">
        <v>4953</v>
      </c>
      <c r="C5196" s="9">
        <v>2024</v>
      </c>
      <c r="D5196" s="0">
        <v>0</v>
      </c>
      <c r="E5196" s="10">
        <f>HYPERLINK("http://www.lingerieopt.ru/images/original/147e0e2d-2f50-44bc-99f0-1dd6f45b1329.jpg","Фото")</f>
      </c>
    </row>
    <row r="5197">
      <c r="A5197" s="7">
        <f>HYPERLINK("http://www.lingerieopt.ru/item/7037-struyaschiisya-bebi-doll-s-zastezhkoi-speredi/","7037")</f>
      </c>
      <c r="B5197" s="8" t="s">
        <v>4954</v>
      </c>
      <c r="C5197" s="9">
        <v>2024</v>
      </c>
      <c r="D5197" s="0">
        <v>30</v>
      </c>
      <c r="E5197" s="10">
        <f>HYPERLINK("http://www.lingerieopt.ru/images/original/6bfe6959-0c71-4fb2-8aae-c3e753a02fba.jpg","Фото")</f>
      </c>
    </row>
    <row r="5198">
      <c r="A5198" s="7">
        <f>HYPERLINK("http://www.lingerieopt.ru/item/7037-struyaschiisya-bebi-doll-s-zastezhkoi-speredi/","7037")</f>
      </c>
      <c r="B5198" s="8" t="s">
        <v>4955</v>
      </c>
      <c r="C5198" s="9">
        <v>2024</v>
      </c>
      <c r="D5198" s="0">
        <v>30</v>
      </c>
      <c r="E5198" s="10">
        <f>HYPERLINK("http://www.lingerieopt.ru/images/original/6bfe6959-0c71-4fb2-8aae-c3e753a02fba.jpg","Фото")</f>
      </c>
    </row>
    <row r="5199">
      <c r="A5199" s="7">
        <f>HYPERLINK("http://www.lingerieopt.ru/item/7037-struyaschiisya-bebi-doll-s-zastezhkoi-speredi/","7037")</f>
      </c>
      <c r="B5199" s="8" t="s">
        <v>4956</v>
      </c>
      <c r="C5199" s="9">
        <v>2024</v>
      </c>
      <c r="D5199" s="0">
        <v>6</v>
      </c>
      <c r="E5199" s="10">
        <f>HYPERLINK("http://www.lingerieopt.ru/images/original/6bfe6959-0c71-4fb2-8aae-c3e753a02fba.jpg","Фото")</f>
      </c>
    </row>
    <row r="5200">
      <c r="A5200" s="7">
        <f>HYPERLINK("http://www.lingerieopt.ru/item/7037-struyaschiisya-bebi-doll-s-zastezhkoi-speredi/","7037")</f>
      </c>
      <c r="B5200" s="8" t="s">
        <v>4957</v>
      </c>
      <c r="C5200" s="9">
        <v>2024</v>
      </c>
      <c r="D5200" s="0">
        <v>7</v>
      </c>
      <c r="E5200" s="10">
        <f>HYPERLINK("http://www.lingerieopt.ru/images/original/6bfe6959-0c71-4fb2-8aae-c3e753a02fba.jpg","Фото")</f>
      </c>
    </row>
    <row r="5201">
      <c r="A5201" s="7">
        <f>HYPERLINK("http://www.lingerieopt.ru/item/7047-penyuar-s-trusikami-piccorosa/","7047")</f>
      </c>
      <c r="B5201" s="8" t="s">
        <v>4958</v>
      </c>
      <c r="C5201" s="9">
        <v>3543</v>
      </c>
      <c r="D5201" s="0">
        <v>1</v>
      </c>
      <c r="E5201" s="10">
        <f>HYPERLINK("http://www.lingerieopt.ru/images/original/f04b8c19-d142-4883-b911-b291435fb865.jpg","Фото")</f>
      </c>
    </row>
    <row r="5202">
      <c r="A5202" s="7">
        <f>HYPERLINK("http://www.lingerieopt.ru/item/7047-penyuar-s-trusikami-piccorosa/","7047")</f>
      </c>
      <c r="B5202" s="8" t="s">
        <v>4959</v>
      </c>
      <c r="C5202" s="9">
        <v>3543</v>
      </c>
      <c r="D5202" s="0">
        <v>0</v>
      </c>
      <c r="E5202" s="10">
        <f>HYPERLINK("http://www.lingerieopt.ru/images/original/f04b8c19-d142-4883-b911-b291435fb865.jpg","Фото")</f>
      </c>
    </row>
    <row r="5203">
      <c r="A5203" s="7">
        <f>HYPERLINK("http://www.lingerieopt.ru/item/7142-igrivaya-sorochka-naomi-na-shnurovke/","7142")</f>
      </c>
      <c r="B5203" s="8" t="s">
        <v>4960</v>
      </c>
      <c r="C5203" s="9">
        <v>1590</v>
      </c>
      <c r="D5203" s="0">
        <v>4</v>
      </c>
      <c r="E5203" s="10">
        <f>HYPERLINK("http://www.lingerieopt.ru/images/original/5142e96a-6bb1-46d7-a784-169a07fac5d2.jpg","Фото")</f>
      </c>
    </row>
    <row r="5204">
      <c r="A5204" s="7">
        <f>HYPERLINK("http://www.lingerieopt.ru/item/7142-igrivaya-sorochka-naomi-na-shnurovke/","7142")</f>
      </c>
      <c r="B5204" s="8" t="s">
        <v>4961</v>
      </c>
      <c r="C5204" s="9">
        <v>1590</v>
      </c>
      <c r="D5204" s="0">
        <v>2</v>
      </c>
      <c r="E5204" s="10">
        <f>HYPERLINK("http://www.lingerieopt.ru/images/original/5142e96a-6bb1-46d7-a784-169a07fac5d2.jpg","Фото")</f>
      </c>
    </row>
    <row r="5205">
      <c r="A5205" s="7">
        <f>HYPERLINK("http://www.lingerieopt.ru/item/7142-igrivaya-sorochka-naomi-na-shnurovke/","7142")</f>
      </c>
      <c r="B5205" s="8" t="s">
        <v>4962</v>
      </c>
      <c r="C5205" s="9">
        <v>1590</v>
      </c>
      <c r="D5205" s="0">
        <v>2</v>
      </c>
      <c r="E5205" s="10">
        <f>HYPERLINK("http://www.lingerieopt.ru/images/original/5142e96a-6bb1-46d7-a784-169a07fac5d2.jpg","Фото")</f>
      </c>
    </row>
    <row r="5206">
      <c r="A5206" s="7">
        <f>HYPERLINK("http://www.lingerieopt.ru/item/7142-igrivaya-sorochka-naomi-na-shnurovke/","7142")</f>
      </c>
      <c r="B5206" s="8" t="s">
        <v>4963</v>
      </c>
      <c r="C5206" s="9">
        <v>1590</v>
      </c>
      <c r="D5206" s="0">
        <v>1</v>
      </c>
      <c r="E5206" s="10">
        <f>HYPERLINK("http://www.lingerieopt.ru/images/original/5142e96a-6bb1-46d7-a784-169a07fac5d2.jpg","Фото")</f>
      </c>
    </row>
    <row r="5207">
      <c r="A5207" s="7">
        <f>HYPERLINK("http://www.lingerieopt.ru/item/7142-igrivaya-sorochka-naomi-na-shnurovke/","7142")</f>
      </c>
      <c r="B5207" s="8" t="s">
        <v>4964</v>
      </c>
      <c r="C5207" s="9">
        <v>1590</v>
      </c>
      <c r="D5207" s="0">
        <v>2</v>
      </c>
      <c r="E5207" s="10">
        <f>HYPERLINK("http://www.lingerieopt.ru/images/original/5142e96a-6bb1-46d7-a784-169a07fac5d2.jpg","Фото")</f>
      </c>
    </row>
    <row r="5208">
      <c r="A5208" s="7">
        <f>HYPERLINK("http://www.lingerieopt.ru/item/7142-igrivaya-sorochka-naomi-na-shnurovke/","7142")</f>
      </c>
      <c r="B5208" s="8" t="s">
        <v>4965</v>
      </c>
      <c r="C5208" s="9">
        <v>1590</v>
      </c>
      <c r="D5208" s="0">
        <v>2</v>
      </c>
      <c r="E5208" s="10">
        <f>HYPERLINK("http://www.lingerieopt.ru/images/original/5142e96a-6bb1-46d7-a784-169a07fac5d2.jpg","Фото")</f>
      </c>
    </row>
    <row r="5209">
      <c r="A5209" s="7">
        <f>HYPERLINK("http://www.lingerieopt.ru/item/7142-igrivaya-sorochka-naomi-na-shnurovke/","7142")</f>
      </c>
      <c r="B5209" s="8" t="s">
        <v>4966</v>
      </c>
      <c r="C5209" s="9">
        <v>1590</v>
      </c>
      <c r="D5209" s="0">
        <v>2</v>
      </c>
      <c r="E5209" s="10">
        <f>HYPERLINK("http://www.lingerieopt.ru/images/original/5142e96a-6bb1-46d7-a784-169a07fac5d2.jpg","Фото")</f>
      </c>
    </row>
    <row r="5210">
      <c r="A5210" s="7">
        <f>HYPERLINK("http://www.lingerieopt.ru/item/7142-igrivaya-sorochka-naomi-na-shnurovke/","7142")</f>
      </c>
      <c r="B5210" s="8" t="s">
        <v>4967</v>
      </c>
      <c r="C5210" s="9">
        <v>1590</v>
      </c>
      <c r="D5210" s="0">
        <v>4</v>
      </c>
      <c r="E5210" s="10">
        <f>HYPERLINK("http://www.lingerieopt.ru/images/original/5142e96a-6bb1-46d7-a784-169a07fac5d2.jpg","Фото")</f>
      </c>
    </row>
    <row r="5211">
      <c r="A5211" s="7">
        <f>HYPERLINK("http://www.lingerieopt.ru/item/7143-sorochka-aimee-s-t-obraznoi-kontrastnoi-vstavkoi-i-pazhami/","7143")</f>
      </c>
      <c r="B5211" s="8" t="s">
        <v>4968</v>
      </c>
      <c r="C5211" s="9">
        <v>1417</v>
      </c>
      <c r="D5211" s="0">
        <v>5</v>
      </c>
      <c r="E5211" s="10">
        <f>HYPERLINK("http://www.lingerieopt.ru/images/original/eed348a5-8f24-45bb-a5b8-e193490d9770.jpg","Фото")</f>
      </c>
    </row>
    <row r="5212">
      <c r="A5212" s="7">
        <f>HYPERLINK("http://www.lingerieopt.ru/item/7143-sorochka-aimee-s-t-obraznoi-kontrastnoi-vstavkoi-i-pazhami/","7143")</f>
      </c>
      <c r="B5212" s="8" t="s">
        <v>4969</v>
      </c>
      <c r="C5212" s="9">
        <v>1417</v>
      </c>
      <c r="D5212" s="0">
        <v>2</v>
      </c>
      <c r="E5212" s="10">
        <f>HYPERLINK("http://www.lingerieopt.ru/images/original/eed348a5-8f24-45bb-a5b8-e193490d9770.jpg","Фото")</f>
      </c>
    </row>
    <row r="5213">
      <c r="A5213" s="7">
        <f>HYPERLINK("http://www.lingerieopt.ru/item/7143-sorochka-aimee-s-t-obraznoi-kontrastnoi-vstavkoi-i-pazhami/","7143")</f>
      </c>
      <c r="B5213" s="8" t="s">
        <v>4970</v>
      </c>
      <c r="C5213" s="9">
        <v>1417</v>
      </c>
      <c r="D5213" s="0">
        <v>3</v>
      </c>
      <c r="E5213" s="10">
        <f>HYPERLINK("http://www.lingerieopt.ru/images/original/eed348a5-8f24-45bb-a5b8-e193490d9770.jpg","Фото")</f>
      </c>
    </row>
    <row r="5214">
      <c r="A5214" s="7">
        <f>HYPERLINK("http://www.lingerieopt.ru/item/7143-sorochka-aimee-s-t-obraznoi-kontrastnoi-vstavkoi-i-pazhami/","7143")</f>
      </c>
      <c r="B5214" s="8" t="s">
        <v>4971</v>
      </c>
      <c r="C5214" s="9">
        <v>1417</v>
      </c>
      <c r="D5214" s="0">
        <v>4</v>
      </c>
      <c r="E5214" s="10">
        <f>HYPERLINK("http://www.lingerieopt.ru/images/original/eed348a5-8f24-45bb-a5b8-e193490d9770.jpg","Фото")</f>
      </c>
    </row>
    <row r="5215">
      <c r="A5215" s="7">
        <f>HYPERLINK("http://www.lingerieopt.ru/item/7148-korotenkii-penyuar-lovan-s-udlinennjmi-rukavchikami/","7148")</f>
      </c>
      <c r="B5215" s="8" t="s">
        <v>4972</v>
      </c>
      <c r="C5215" s="9">
        <v>1232</v>
      </c>
      <c r="D5215" s="0">
        <v>7</v>
      </c>
      <c r="E5215" s="10">
        <f>HYPERLINK("http://www.lingerieopt.ru/images/original/f26a1ba4-1319-4d87-a398-42cade74bffb.jpg","Фото")</f>
      </c>
    </row>
    <row r="5216">
      <c r="A5216" s="7">
        <f>HYPERLINK("http://www.lingerieopt.ru/item/7148-korotenkii-penyuar-lovan-s-udlinennjmi-rukavchikami/","7148")</f>
      </c>
      <c r="B5216" s="8" t="s">
        <v>4973</v>
      </c>
      <c r="C5216" s="9">
        <v>1232</v>
      </c>
      <c r="D5216" s="0">
        <v>4</v>
      </c>
      <c r="E5216" s="10">
        <f>HYPERLINK("http://www.lingerieopt.ru/images/original/f26a1ba4-1319-4d87-a398-42cade74bffb.jpg","Фото")</f>
      </c>
    </row>
    <row r="5217">
      <c r="A5217" s="7">
        <f>HYPERLINK("http://www.lingerieopt.ru/item/7148-korotenkii-penyuar-lovan-s-udlinennjmi-rukavchikami/","7148")</f>
      </c>
      <c r="B5217" s="8" t="s">
        <v>4974</v>
      </c>
      <c r="C5217" s="9">
        <v>1232</v>
      </c>
      <c r="D5217" s="0">
        <v>3</v>
      </c>
      <c r="E5217" s="10">
        <f>HYPERLINK("http://www.lingerieopt.ru/images/original/f26a1ba4-1319-4d87-a398-42cade74bffb.jpg","Фото")</f>
      </c>
    </row>
    <row r="5218">
      <c r="A5218" s="7">
        <f>HYPERLINK("http://www.lingerieopt.ru/item/7148-korotenkii-penyuar-lovan-s-udlinennjmi-rukavchikami/","7148")</f>
      </c>
      <c r="B5218" s="8" t="s">
        <v>4975</v>
      </c>
      <c r="C5218" s="9">
        <v>1232</v>
      </c>
      <c r="D5218" s="0">
        <v>7</v>
      </c>
      <c r="E5218" s="10">
        <f>HYPERLINK("http://www.lingerieopt.ru/images/original/f26a1ba4-1319-4d87-a398-42cade74bffb.jpg","Фото")</f>
      </c>
    </row>
    <row r="5219">
      <c r="A5219" s="7">
        <f>HYPERLINK("http://www.lingerieopt.ru/item/7150-sorochka-linden-s-ryushechkami/","7150")</f>
      </c>
      <c r="B5219" s="8" t="s">
        <v>4976</v>
      </c>
      <c r="C5219" s="9">
        <v>1232</v>
      </c>
      <c r="D5219" s="0">
        <v>6</v>
      </c>
      <c r="E5219" s="10">
        <f>HYPERLINK("http://www.lingerieopt.ru/images/original/e2d4af7e-0c6f-4c8d-b7c0-3fe6155ad3b1.jpg","Фото")</f>
      </c>
    </row>
    <row r="5220">
      <c r="A5220" s="7">
        <f>HYPERLINK("http://www.lingerieopt.ru/item/7150-sorochka-linden-s-ryushechkami/","7150")</f>
      </c>
      <c r="B5220" s="8" t="s">
        <v>4977</v>
      </c>
      <c r="C5220" s="9">
        <v>1232</v>
      </c>
      <c r="D5220" s="0">
        <v>5</v>
      </c>
      <c r="E5220" s="10">
        <f>HYPERLINK("http://www.lingerieopt.ru/images/original/e2d4af7e-0c6f-4c8d-b7c0-3fe6155ad3b1.jpg","Фото")</f>
      </c>
    </row>
    <row r="5221">
      <c r="A5221" s="7">
        <f>HYPERLINK("http://www.lingerieopt.ru/item/7150-sorochka-linden-s-ryushechkami/","7150")</f>
      </c>
      <c r="B5221" s="8" t="s">
        <v>4978</v>
      </c>
      <c r="C5221" s="9">
        <v>1232</v>
      </c>
      <c r="D5221" s="0">
        <v>8</v>
      </c>
      <c r="E5221" s="10">
        <f>HYPERLINK("http://www.lingerieopt.ru/images/original/e2d4af7e-0c6f-4c8d-b7c0-3fe6155ad3b1.jpg","Фото")</f>
      </c>
    </row>
    <row r="5222">
      <c r="A5222" s="7">
        <f>HYPERLINK("http://www.lingerieopt.ru/item/7151-oblegayuschaya-sorochka-enfia-s-kruzhevnjmi-vstavkami/","7151")</f>
      </c>
      <c r="B5222" s="8" t="s">
        <v>4979</v>
      </c>
      <c r="C5222" s="9">
        <v>2072</v>
      </c>
      <c r="D5222" s="0">
        <v>6</v>
      </c>
      <c r="E5222" s="10">
        <f>HYPERLINK("http://www.lingerieopt.ru/images/original/1fbe3bb6-20b0-419e-852e-06b45921b7d3.jpg","Фото")</f>
      </c>
    </row>
    <row r="5223">
      <c r="A5223" s="7">
        <f>HYPERLINK("http://www.lingerieopt.ru/item/7151-oblegayuschaya-sorochka-enfia-s-kruzhevnjmi-vstavkami/","7151")</f>
      </c>
      <c r="B5223" s="8" t="s">
        <v>4980</v>
      </c>
      <c r="C5223" s="9">
        <v>2072</v>
      </c>
      <c r="D5223" s="0">
        <v>8</v>
      </c>
      <c r="E5223" s="10">
        <f>HYPERLINK("http://www.lingerieopt.ru/images/original/1fbe3bb6-20b0-419e-852e-06b45921b7d3.jpg","Фото")</f>
      </c>
    </row>
    <row r="5224">
      <c r="A5224" s="7">
        <f>HYPERLINK("http://www.lingerieopt.ru/item/7151-oblegayuschaya-sorochka-enfia-s-kruzhevnjmi-vstavkami/","7151")</f>
      </c>
      <c r="B5224" s="8" t="s">
        <v>4981</v>
      </c>
      <c r="C5224" s="9">
        <v>2072</v>
      </c>
      <c r="D5224" s="0">
        <v>5</v>
      </c>
      <c r="E5224" s="10">
        <f>HYPERLINK("http://www.lingerieopt.ru/images/original/1fbe3bb6-20b0-419e-852e-06b45921b7d3.jpg","Фото")</f>
      </c>
    </row>
    <row r="5225">
      <c r="A5225" s="7">
        <f>HYPERLINK("http://www.lingerieopt.ru/item/7152-sorochka-foli-s-izjskannoi-vjshivkoi-na-life-i-trusikah/","7152")</f>
      </c>
      <c r="B5225" s="8" t="s">
        <v>4982</v>
      </c>
      <c r="C5225" s="9">
        <v>2983</v>
      </c>
      <c r="D5225" s="0">
        <v>11</v>
      </c>
      <c r="E5225" s="10">
        <f>HYPERLINK("http://www.lingerieopt.ru/images/original/9ece7d89-2a91-4783-93f8-347526656db6.jpg","Фото")</f>
      </c>
    </row>
    <row r="5226">
      <c r="A5226" s="7">
        <f>HYPERLINK("http://www.lingerieopt.ru/item/7152-sorochka-foli-s-izjskannoi-vjshivkoi-na-life-i-trusikah/","7152")</f>
      </c>
      <c r="B5226" s="8" t="s">
        <v>4983</v>
      </c>
      <c r="C5226" s="9">
        <v>2983</v>
      </c>
      <c r="D5226" s="0">
        <v>9</v>
      </c>
      <c r="E5226" s="10">
        <f>HYPERLINK("http://www.lingerieopt.ru/images/original/9ece7d89-2a91-4783-93f8-347526656db6.jpg","Фото")</f>
      </c>
    </row>
    <row r="5227">
      <c r="A5227" s="7">
        <f>HYPERLINK("http://www.lingerieopt.ru/item/7152-sorochka-foli-s-izjskannoi-vjshivkoi-na-life-i-trusikah/","7152")</f>
      </c>
      <c r="B5227" s="8" t="s">
        <v>4984</v>
      </c>
      <c r="C5227" s="9">
        <v>2983</v>
      </c>
      <c r="D5227" s="0">
        <v>4</v>
      </c>
      <c r="E5227" s="10">
        <f>HYPERLINK("http://www.lingerieopt.ru/images/original/9ece7d89-2a91-4783-93f8-347526656db6.jpg","Фото")</f>
      </c>
    </row>
    <row r="5228">
      <c r="A5228" s="7">
        <f>HYPERLINK("http://www.lingerieopt.ru/item/7174-penyuar-izis-iz-poluprozrachnogo-materiala-i-stringi/","7174")</f>
      </c>
      <c r="B5228" s="8" t="s">
        <v>4985</v>
      </c>
      <c r="C5228" s="9">
        <v>2234</v>
      </c>
      <c r="D5228" s="0">
        <v>10</v>
      </c>
      <c r="E5228" s="10">
        <f>HYPERLINK("http://www.lingerieopt.ru/images/original/0ff61d42-6cdb-4bee-b32a-3c095b80463f.jpg","Фото")</f>
      </c>
    </row>
    <row r="5229">
      <c r="A5229" s="7">
        <f>HYPERLINK("http://www.lingerieopt.ru/item/7174-penyuar-izis-iz-poluprozrachnogo-materiala-i-stringi/","7174")</f>
      </c>
      <c r="B5229" s="8" t="s">
        <v>4986</v>
      </c>
      <c r="C5229" s="9">
        <v>2234</v>
      </c>
      <c r="D5229" s="0">
        <v>5</v>
      </c>
      <c r="E5229" s="10">
        <f>HYPERLINK("http://www.lingerieopt.ru/images/original/0ff61d42-6cdb-4bee-b32a-3c095b80463f.jpg","Фото")</f>
      </c>
    </row>
    <row r="5230">
      <c r="A5230" s="7">
        <f>HYPERLINK("http://www.lingerieopt.ru/item/7174-penyuar-izis-iz-poluprozrachnogo-materiala-i-stringi/","7174")</f>
      </c>
      <c r="B5230" s="8" t="s">
        <v>4987</v>
      </c>
      <c r="C5230" s="9">
        <v>2234</v>
      </c>
      <c r="D5230" s="0">
        <v>4</v>
      </c>
      <c r="E5230" s="10">
        <f>HYPERLINK("http://www.lingerieopt.ru/images/original/0ff61d42-6cdb-4bee-b32a-3c095b80463f.jpg","Фото")</f>
      </c>
    </row>
    <row r="5231">
      <c r="A5231" s="7">
        <f>HYPERLINK("http://www.lingerieopt.ru/item/7175-nochnaya-sorochka-cornel-s-bantom/","7175")</f>
      </c>
      <c r="B5231" s="8" t="s">
        <v>4988</v>
      </c>
      <c r="C5231" s="9">
        <v>1958</v>
      </c>
      <c r="D5231" s="0">
        <v>2</v>
      </c>
      <c r="E5231" s="10">
        <f>HYPERLINK("http://www.lingerieopt.ru/images/original/d0565334-60db-4344-84c2-bafc79bf84ff.jpg","Фото")</f>
      </c>
    </row>
    <row r="5232">
      <c r="A5232" s="7">
        <f>HYPERLINK("http://www.lingerieopt.ru/item/7175-nochnaya-sorochka-cornel-s-bantom/","7175")</f>
      </c>
      <c r="B5232" s="8" t="s">
        <v>4989</v>
      </c>
      <c r="C5232" s="9">
        <v>1958</v>
      </c>
      <c r="D5232" s="0">
        <v>0</v>
      </c>
      <c r="E5232" s="10">
        <f>HYPERLINK("http://www.lingerieopt.ru/images/original/d0565334-60db-4344-84c2-bafc79bf84ff.jpg","Фото")</f>
      </c>
    </row>
    <row r="5233">
      <c r="A5233" s="7">
        <f>HYPERLINK("http://www.lingerieopt.ru/item/7175-nochnaya-sorochka-cornel-s-bantom/","7175")</f>
      </c>
      <c r="B5233" s="8" t="s">
        <v>4990</v>
      </c>
      <c r="C5233" s="9">
        <v>1958</v>
      </c>
      <c r="D5233" s="0">
        <v>0</v>
      </c>
      <c r="E5233" s="10">
        <f>HYPERLINK("http://www.lingerieopt.ru/images/original/d0565334-60db-4344-84c2-bafc79bf84ff.jpg","Фото")</f>
      </c>
    </row>
    <row r="5234">
      <c r="A5234" s="7">
        <f>HYPERLINK("http://www.lingerieopt.ru/item/7175-nochnaya-sorochka-cornel-s-bantom/","7175")</f>
      </c>
      <c r="B5234" s="8" t="s">
        <v>4991</v>
      </c>
      <c r="C5234" s="9">
        <v>1958</v>
      </c>
      <c r="D5234" s="0">
        <v>2</v>
      </c>
      <c r="E5234" s="10">
        <f>HYPERLINK("http://www.lingerieopt.ru/images/original/d0565334-60db-4344-84c2-bafc79bf84ff.jpg","Фото")</f>
      </c>
    </row>
    <row r="5235">
      <c r="A5235" s="7">
        <f>HYPERLINK("http://www.lingerieopt.ru/item/7175-nochnaya-sorochka-cornel-s-bantom/","7175")</f>
      </c>
      <c r="B5235" s="8" t="s">
        <v>4992</v>
      </c>
      <c r="C5235" s="9">
        <v>1958</v>
      </c>
      <c r="D5235" s="0">
        <v>3</v>
      </c>
      <c r="E5235" s="10">
        <f>HYPERLINK("http://www.lingerieopt.ru/images/original/d0565334-60db-4344-84c2-bafc79bf84ff.jpg","Фото")</f>
      </c>
    </row>
    <row r="5236">
      <c r="A5236" s="7">
        <f>HYPERLINK("http://www.lingerieopt.ru/item/7176-kruzhevnaya-sorochka-cloe/","7176")</f>
      </c>
      <c r="B5236" s="8" t="s">
        <v>4993</v>
      </c>
      <c r="C5236" s="9">
        <v>1870</v>
      </c>
      <c r="D5236" s="0">
        <v>0</v>
      </c>
      <c r="E5236" s="10">
        <f>HYPERLINK("http://www.lingerieopt.ru/images/original/6ff45c20-269f-49f7-95b0-f8601e703476.jpg","Фото")</f>
      </c>
    </row>
    <row r="5237">
      <c r="A5237" s="7">
        <f>HYPERLINK("http://www.lingerieopt.ru/item/7176-kruzhevnaya-sorochka-cloe/","7176")</f>
      </c>
      <c r="B5237" s="8" t="s">
        <v>4994</v>
      </c>
      <c r="C5237" s="9">
        <v>1870</v>
      </c>
      <c r="D5237" s="0">
        <v>0</v>
      </c>
      <c r="E5237" s="10">
        <f>HYPERLINK("http://www.lingerieopt.ru/images/original/6ff45c20-269f-49f7-95b0-f8601e703476.jpg","Фото")</f>
      </c>
    </row>
    <row r="5238">
      <c r="A5238" s="7">
        <f>HYPERLINK("http://www.lingerieopt.ru/item/7176-kruzhevnaya-sorochka-cloe/","7176")</f>
      </c>
      <c r="B5238" s="8" t="s">
        <v>4995</v>
      </c>
      <c r="C5238" s="9">
        <v>1870</v>
      </c>
      <c r="D5238" s="0">
        <v>10</v>
      </c>
      <c r="E5238" s="10">
        <f>HYPERLINK("http://www.lingerieopt.ru/images/original/6ff45c20-269f-49f7-95b0-f8601e703476.jpg","Фото")</f>
      </c>
    </row>
    <row r="5239">
      <c r="A5239" s="7">
        <f>HYPERLINK("http://www.lingerieopt.ru/item/7176-kruzhevnaya-sorochka-cloe/","7176")</f>
      </c>
      <c r="B5239" s="8" t="s">
        <v>4996</v>
      </c>
      <c r="C5239" s="9">
        <v>1870</v>
      </c>
      <c r="D5239" s="0">
        <v>4</v>
      </c>
      <c r="E5239" s="10">
        <f>HYPERLINK("http://www.lingerieopt.ru/images/original/6ff45c20-269f-49f7-95b0-f8601e703476.jpg","Фото")</f>
      </c>
    </row>
    <row r="5240">
      <c r="A5240" s="7">
        <f>HYPERLINK("http://www.lingerieopt.ru/item/7176-kruzhevnaya-sorochka-cloe/","7176")</f>
      </c>
      <c r="B5240" s="8" t="s">
        <v>4997</v>
      </c>
      <c r="C5240" s="9">
        <v>1870</v>
      </c>
      <c r="D5240" s="0">
        <v>0</v>
      </c>
      <c r="E5240" s="10">
        <f>HYPERLINK("http://www.lingerieopt.ru/images/original/6ff45c20-269f-49f7-95b0-f8601e703476.jpg","Фото")</f>
      </c>
    </row>
    <row r="5241">
      <c r="A5241" s="7">
        <f>HYPERLINK("http://www.lingerieopt.ru/item/7178-nochnaya-sorochka-laura-s-kruzhevnjmi-vstavkami/","7178")</f>
      </c>
      <c r="B5241" s="8" t="s">
        <v>4998</v>
      </c>
      <c r="C5241" s="9">
        <v>2354</v>
      </c>
      <c r="D5241" s="0">
        <v>3</v>
      </c>
      <c r="E5241" s="10">
        <f>HYPERLINK("http://www.lingerieopt.ru/images/original/baab6d20-e5ec-4649-8624-fef9795eeeea.jpg","Фото")</f>
      </c>
    </row>
    <row r="5242">
      <c r="A5242" s="7">
        <f>HYPERLINK("http://www.lingerieopt.ru/item/7178-nochnaya-sorochka-laura-s-kruzhevnjmi-vstavkami/","7178")</f>
      </c>
      <c r="B5242" s="8" t="s">
        <v>4999</v>
      </c>
      <c r="C5242" s="9">
        <v>2354</v>
      </c>
      <c r="D5242" s="0">
        <v>4</v>
      </c>
      <c r="E5242" s="10">
        <f>HYPERLINK("http://www.lingerieopt.ru/images/original/baab6d20-e5ec-4649-8624-fef9795eeeea.jpg","Фото")</f>
      </c>
    </row>
    <row r="5243">
      <c r="A5243" s="7">
        <f>HYPERLINK("http://www.lingerieopt.ru/item/7178-nochnaya-sorochka-laura-s-kruzhevnjmi-vstavkami/","7178")</f>
      </c>
      <c r="B5243" s="8" t="s">
        <v>5000</v>
      </c>
      <c r="C5243" s="9">
        <v>2354</v>
      </c>
      <c r="D5243" s="0">
        <v>5</v>
      </c>
      <c r="E5243" s="10">
        <f>HYPERLINK("http://www.lingerieopt.ru/images/original/baab6d20-e5ec-4649-8624-fef9795eeeea.jpg","Фото")</f>
      </c>
    </row>
    <row r="5244">
      <c r="A5244" s="7">
        <f>HYPERLINK("http://www.lingerieopt.ru/item/7178-nochnaya-sorochka-laura-s-kruzhevnjmi-vstavkami/","7178")</f>
      </c>
      <c r="B5244" s="8" t="s">
        <v>5001</v>
      </c>
      <c r="C5244" s="9">
        <v>2354</v>
      </c>
      <c r="D5244" s="0">
        <v>3</v>
      </c>
      <c r="E5244" s="10">
        <f>HYPERLINK("http://www.lingerieopt.ru/images/original/baab6d20-e5ec-4649-8624-fef9795eeeea.jpg","Фото")</f>
      </c>
    </row>
    <row r="5245">
      <c r="A5245" s="7">
        <f>HYPERLINK("http://www.lingerieopt.ru/item/7178-nochnaya-sorochka-laura-s-kruzhevnjmi-vstavkami/","7178")</f>
      </c>
      <c r="B5245" s="8" t="s">
        <v>5002</v>
      </c>
      <c r="C5245" s="9">
        <v>2354</v>
      </c>
      <c r="D5245" s="0">
        <v>2</v>
      </c>
      <c r="E5245" s="10">
        <f>HYPERLINK("http://www.lingerieopt.ru/images/original/baab6d20-e5ec-4649-8624-fef9795eeeea.jpg","Фото")</f>
      </c>
    </row>
    <row r="5246">
      <c r="A5246" s="7">
        <f>HYPERLINK("http://www.lingerieopt.ru/item/7178-nochnaya-sorochka-laura-s-kruzhevnjmi-vstavkami/","7178")</f>
      </c>
      <c r="B5246" s="8" t="s">
        <v>5003</v>
      </c>
      <c r="C5246" s="9">
        <v>2354</v>
      </c>
      <c r="D5246" s="0">
        <v>5</v>
      </c>
      <c r="E5246" s="10">
        <f>HYPERLINK("http://www.lingerieopt.ru/images/original/baab6d20-e5ec-4649-8624-fef9795eeeea.jpg","Фото")</f>
      </c>
    </row>
    <row r="5247">
      <c r="A5247" s="7">
        <f>HYPERLINK("http://www.lingerieopt.ru/item/7178-nochnaya-sorochka-laura-s-kruzhevnjmi-vstavkami/","7178")</f>
      </c>
      <c r="B5247" s="8" t="s">
        <v>5004</v>
      </c>
      <c r="C5247" s="9">
        <v>2354</v>
      </c>
      <c r="D5247" s="0">
        <v>2</v>
      </c>
      <c r="E5247" s="10">
        <f>HYPERLINK("http://www.lingerieopt.ru/images/original/baab6d20-e5ec-4649-8624-fef9795eeeea.jpg","Фото")</f>
      </c>
    </row>
    <row r="5248">
      <c r="A5248" s="7">
        <f>HYPERLINK("http://www.lingerieopt.ru/item/7178-nochnaya-sorochka-laura-s-kruzhevnjmi-vstavkami/","7178")</f>
      </c>
      <c r="B5248" s="8" t="s">
        <v>5005</v>
      </c>
      <c r="C5248" s="9">
        <v>2354</v>
      </c>
      <c r="D5248" s="0">
        <v>2</v>
      </c>
      <c r="E5248" s="10">
        <f>HYPERLINK("http://www.lingerieopt.ru/images/original/baab6d20-e5ec-4649-8624-fef9795eeeea.jpg","Фото")</f>
      </c>
    </row>
    <row r="5249">
      <c r="A5249" s="7">
        <f>HYPERLINK("http://www.lingerieopt.ru/item/7178-nochnaya-sorochka-laura-s-kruzhevnjmi-vstavkami/","7178")</f>
      </c>
      <c r="B5249" s="8" t="s">
        <v>5006</v>
      </c>
      <c r="C5249" s="9">
        <v>2354</v>
      </c>
      <c r="D5249" s="0">
        <v>0</v>
      </c>
      <c r="E5249" s="10">
        <f>HYPERLINK("http://www.lingerieopt.ru/images/original/baab6d20-e5ec-4649-8624-fef9795eeeea.jpg","Фото")</f>
      </c>
    </row>
    <row r="5250">
      <c r="A5250" s="7">
        <f>HYPERLINK("http://www.lingerieopt.ru/item/7178-nochnaya-sorochka-laura-s-kruzhevnjmi-vstavkami/","7178")</f>
      </c>
      <c r="B5250" s="8" t="s">
        <v>5007</v>
      </c>
      <c r="C5250" s="9">
        <v>2354</v>
      </c>
      <c r="D5250" s="0">
        <v>2</v>
      </c>
      <c r="E5250" s="10">
        <f>HYPERLINK("http://www.lingerieopt.ru/images/original/baab6d20-e5ec-4649-8624-fef9795eeeea.jpg","Фото")</f>
      </c>
    </row>
    <row r="5251">
      <c r="A5251" s="7">
        <f>HYPERLINK("http://www.lingerieopt.ru/item/7179-poluprozrachnji-penyuar-na-zavyazka-pola/","7179")</f>
      </c>
      <c r="B5251" s="8" t="s">
        <v>5008</v>
      </c>
      <c r="C5251" s="9">
        <v>2108</v>
      </c>
      <c r="D5251" s="0">
        <v>2</v>
      </c>
      <c r="E5251" s="10">
        <f>HYPERLINK("http://www.lingerieopt.ru/images/original/ec0cc19d-e0ce-4029-ac3b-6cab0475e27e.jpg","Фото")</f>
      </c>
    </row>
    <row r="5252">
      <c r="A5252" s="7">
        <f>HYPERLINK("http://www.lingerieopt.ru/item/7179-poluprozrachnji-penyuar-na-zavyazka-pola/","7179")</f>
      </c>
      <c r="B5252" s="8" t="s">
        <v>5009</v>
      </c>
      <c r="C5252" s="9">
        <v>2108</v>
      </c>
      <c r="D5252" s="0">
        <v>4</v>
      </c>
      <c r="E5252" s="10">
        <f>HYPERLINK("http://www.lingerieopt.ru/images/original/ec0cc19d-e0ce-4029-ac3b-6cab0475e27e.jpg","Фото")</f>
      </c>
    </row>
    <row r="5253">
      <c r="A5253" s="7">
        <f>HYPERLINK("http://www.lingerieopt.ru/item/7179-poluprozrachnji-penyuar-na-zavyazka-pola/","7179")</f>
      </c>
      <c r="B5253" s="8" t="s">
        <v>5010</v>
      </c>
      <c r="C5253" s="9">
        <v>2108</v>
      </c>
      <c r="D5253" s="0">
        <v>6</v>
      </c>
      <c r="E5253" s="10">
        <f>HYPERLINK("http://www.lingerieopt.ru/images/original/ec0cc19d-e0ce-4029-ac3b-6cab0475e27e.jpg","Фото")</f>
      </c>
    </row>
    <row r="5254">
      <c r="A5254" s="7">
        <f>HYPERLINK("http://www.lingerieopt.ru/item/7179-poluprozrachnji-penyuar-na-zavyazka-pola/","7179")</f>
      </c>
      <c r="B5254" s="8" t="s">
        <v>5011</v>
      </c>
      <c r="C5254" s="9">
        <v>2108</v>
      </c>
      <c r="D5254" s="0">
        <v>5</v>
      </c>
      <c r="E5254" s="10">
        <f>HYPERLINK("http://www.lingerieopt.ru/images/original/ec0cc19d-e0ce-4029-ac3b-6cab0475e27e.jpg","Фото")</f>
      </c>
    </row>
    <row r="5255">
      <c r="A5255" s="7">
        <f>HYPERLINK("http://www.lingerieopt.ru/item/7179-poluprozrachnji-penyuar-na-zavyazka-pola/","7179")</f>
      </c>
      <c r="B5255" s="8" t="s">
        <v>5012</v>
      </c>
      <c r="C5255" s="9">
        <v>2108</v>
      </c>
      <c r="D5255" s="0">
        <v>2</v>
      </c>
      <c r="E5255" s="10">
        <f>HYPERLINK("http://www.lingerieopt.ru/images/original/ec0cc19d-e0ce-4029-ac3b-6cab0475e27e.jpg","Фото")</f>
      </c>
    </row>
    <row r="5256">
      <c r="A5256" s="7">
        <f>HYPERLINK("http://www.lingerieopt.ru/item/7179-poluprozrachnji-penyuar-na-zavyazka-pola/","7179")</f>
      </c>
      <c r="B5256" s="8" t="s">
        <v>5013</v>
      </c>
      <c r="C5256" s="9">
        <v>2108</v>
      </c>
      <c r="D5256" s="0">
        <v>0</v>
      </c>
      <c r="E5256" s="10">
        <f>HYPERLINK("http://www.lingerieopt.ru/images/original/ec0cc19d-e0ce-4029-ac3b-6cab0475e27e.jpg","Фото")</f>
      </c>
    </row>
    <row r="5257">
      <c r="A5257" s="7">
        <f>HYPERLINK("http://www.lingerieopt.ru/item/7179-poluprozrachnji-penyuar-na-zavyazka-pola/","7179")</f>
      </c>
      <c r="B5257" s="8" t="s">
        <v>5014</v>
      </c>
      <c r="C5257" s="9">
        <v>2108</v>
      </c>
      <c r="D5257" s="0">
        <v>0</v>
      </c>
      <c r="E5257" s="10">
        <f>HYPERLINK("http://www.lingerieopt.ru/images/original/ec0cc19d-e0ce-4029-ac3b-6cab0475e27e.jpg","Фото")</f>
      </c>
    </row>
    <row r="5258">
      <c r="A5258" s="7">
        <f>HYPERLINK("http://www.lingerieopt.ru/item/7179-poluprozrachnji-penyuar-na-zavyazka-pola/","7179")</f>
      </c>
      <c r="B5258" s="8" t="s">
        <v>5015</v>
      </c>
      <c r="C5258" s="9">
        <v>2108</v>
      </c>
      <c r="D5258" s="0">
        <v>4</v>
      </c>
      <c r="E5258" s="10">
        <f>HYPERLINK("http://www.lingerieopt.ru/images/original/ec0cc19d-e0ce-4029-ac3b-6cab0475e27e.jpg","Фото")</f>
      </c>
    </row>
    <row r="5259">
      <c r="A5259" s="7">
        <f>HYPERLINK("http://www.lingerieopt.ru/item/7179-poluprozrachnji-penyuar-na-zavyazka-pola/","7179")</f>
      </c>
      <c r="B5259" s="8" t="s">
        <v>5016</v>
      </c>
      <c r="C5259" s="9">
        <v>2108</v>
      </c>
      <c r="D5259" s="0">
        <v>5</v>
      </c>
      <c r="E5259" s="10">
        <f>HYPERLINK("http://www.lingerieopt.ru/images/original/ec0cc19d-e0ce-4029-ac3b-6cab0475e27e.jpg","Фото")</f>
      </c>
    </row>
    <row r="5260">
      <c r="A5260" s="7">
        <f>HYPERLINK("http://www.lingerieopt.ru/item/7180-sorochka-livia-s-otkrjtoi-grudyu-kruzhevami-i-oborkoi-po-nizu/","7180")</f>
      </c>
      <c r="B5260" s="8" t="s">
        <v>5017</v>
      </c>
      <c r="C5260" s="9">
        <v>1815</v>
      </c>
      <c r="D5260" s="0">
        <v>0</v>
      </c>
      <c r="E5260" s="10">
        <f>HYPERLINK("http://www.lingerieopt.ru/images/original/d0450224-c4d5-458d-acf6-e436cd96153d.jpg","Фото")</f>
      </c>
    </row>
    <row r="5261">
      <c r="A5261" s="7">
        <f>HYPERLINK("http://www.lingerieopt.ru/item/7180-sorochka-livia-s-otkrjtoi-grudyu-kruzhevami-i-oborkoi-po-nizu/","7180")</f>
      </c>
      <c r="B5261" s="8" t="s">
        <v>5018</v>
      </c>
      <c r="C5261" s="9">
        <v>1815</v>
      </c>
      <c r="D5261" s="0">
        <v>7</v>
      </c>
      <c r="E5261" s="10">
        <f>HYPERLINK("http://www.lingerieopt.ru/images/original/d0450224-c4d5-458d-acf6-e436cd96153d.jpg","Фото")</f>
      </c>
    </row>
    <row r="5262">
      <c r="A5262" s="7">
        <f>HYPERLINK("http://www.lingerieopt.ru/item/7180-sorochka-livia-s-otkrjtoi-grudyu-kruzhevami-i-oborkoi-po-nizu/","7180")</f>
      </c>
      <c r="B5262" s="8" t="s">
        <v>5019</v>
      </c>
      <c r="C5262" s="9">
        <v>1815</v>
      </c>
      <c r="D5262" s="0">
        <v>0</v>
      </c>
      <c r="E5262" s="10">
        <f>HYPERLINK("http://www.lingerieopt.ru/images/original/d0450224-c4d5-458d-acf6-e436cd96153d.jpg","Фото")</f>
      </c>
    </row>
    <row r="5263">
      <c r="A5263" s="7">
        <f>HYPERLINK("http://www.lingerieopt.ru/item/7180-sorochka-livia-s-otkrjtoi-grudyu-kruzhevami-i-oborkoi-po-nizu/","7180")</f>
      </c>
      <c r="B5263" s="8" t="s">
        <v>5020</v>
      </c>
      <c r="C5263" s="9">
        <v>1815</v>
      </c>
      <c r="D5263" s="0">
        <v>0</v>
      </c>
      <c r="E5263" s="10">
        <f>HYPERLINK("http://www.lingerieopt.ru/images/original/d0450224-c4d5-458d-acf6-e436cd96153d.jpg","Фото")</f>
      </c>
    </row>
    <row r="5264">
      <c r="A5264" s="7">
        <f>HYPERLINK("http://www.lingerieopt.ru/item/7180-sorochka-livia-s-otkrjtoi-grudyu-kruzhevami-i-oborkoi-po-nizu/","7180")</f>
      </c>
      <c r="B5264" s="8" t="s">
        <v>5021</v>
      </c>
      <c r="C5264" s="9">
        <v>1815</v>
      </c>
      <c r="D5264" s="0">
        <v>0</v>
      </c>
      <c r="E5264" s="10">
        <f>HYPERLINK("http://www.lingerieopt.ru/images/original/d0450224-c4d5-458d-acf6-e436cd96153d.jpg","Фото")</f>
      </c>
    </row>
    <row r="5265">
      <c r="A5265" s="7">
        <f>HYPERLINK("http://www.lingerieopt.ru/item/7180-sorochka-livia-s-otkrjtoi-grudyu-kruzhevami-i-oborkoi-po-nizu/","7180")</f>
      </c>
      <c r="B5265" s="8" t="s">
        <v>5022</v>
      </c>
      <c r="C5265" s="9">
        <v>1815</v>
      </c>
      <c r="D5265" s="0">
        <v>0</v>
      </c>
      <c r="E5265" s="10">
        <f>HYPERLINK("http://www.lingerieopt.ru/images/original/d0450224-c4d5-458d-acf6-e436cd96153d.jpg","Фото")</f>
      </c>
    </row>
    <row r="5266">
      <c r="A5266" s="7">
        <f>HYPERLINK("http://www.lingerieopt.ru/item/7180-sorochka-livia-s-otkrjtoi-grudyu-kruzhevami-i-oborkoi-po-nizu/","7180")</f>
      </c>
      <c r="B5266" s="8" t="s">
        <v>5023</v>
      </c>
      <c r="C5266" s="9">
        <v>1815</v>
      </c>
      <c r="D5266" s="0">
        <v>0</v>
      </c>
      <c r="E5266" s="10">
        <f>HYPERLINK("http://www.lingerieopt.ru/images/original/d0450224-c4d5-458d-acf6-e436cd96153d.jpg","Фото")</f>
      </c>
    </row>
    <row r="5267">
      <c r="A5267" s="7">
        <f>HYPERLINK("http://www.lingerieopt.ru/item/7180-sorochka-livia-s-otkrjtoi-grudyu-kruzhevami-i-oborkoi-po-nizu/","7180")</f>
      </c>
      <c r="B5267" s="8" t="s">
        <v>5024</v>
      </c>
      <c r="C5267" s="9">
        <v>1815</v>
      </c>
      <c r="D5267" s="0">
        <v>0</v>
      </c>
      <c r="E5267" s="10">
        <f>HYPERLINK("http://www.lingerieopt.ru/images/original/d0450224-c4d5-458d-acf6-e436cd96153d.jpg","Фото")</f>
      </c>
    </row>
    <row r="5268">
      <c r="A5268" s="7">
        <f>HYPERLINK("http://www.lingerieopt.ru/item/7180-sorochka-livia-s-otkrjtoi-grudyu-kruzhevami-i-oborkoi-po-nizu/","7180")</f>
      </c>
      <c r="B5268" s="8" t="s">
        <v>5025</v>
      </c>
      <c r="C5268" s="9">
        <v>1815</v>
      </c>
      <c r="D5268" s="0">
        <v>0</v>
      </c>
      <c r="E5268" s="10">
        <f>HYPERLINK("http://www.lingerieopt.ru/images/original/d0450224-c4d5-458d-acf6-e436cd96153d.jpg","Фото")</f>
      </c>
    </row>
    <row r="5269">
      <c r="A5269" s="7">
        <f>HYPERLINK("http://www.lingerieopt.ru/item/7180-sorochka-livia-s-otkrjtoi-grudyu-kruzhevami-i-oborkoi-po-nizu/","7180")</f>
      </c>
      <c r="B5269" s="8" t="s">
        <v>5026</v>
      </c>
      <c r="C5269" s="9">
        <v>1815</v>
      </c>
      <c r="D5269" s="0">
        <v>0</v>
      </c>
      <c r="E5269" s="10">
        <f>HYPERLINK("http://www.lingerieopt.ru/images/original/d0450224-c4d5-458d-acf6-e436cd96153d.jpg","Фото")</f>
      </c>
    </row>
    <row r="5270">
      <c r="A5270" s="7">
        <f>HYPERLINK("http://www.lingerieopt.ru/item/7194-bebi-doll-tsuki-s-otkrjtoi-spinoi-i-verevkami-dlya-svyazjvaniya/","7194")</f>
      </c>
      <c r="B5270" s="8" t="s">
        <v>3651</v>
      </c>
      <c r="C5270" s="9">
        <v>3341</v>
      </c>
      <c r="D5270" s="0">
        <v>5</v>
      </c>
      <c r="E5270" s="10">
        <f>HYPERLINK("http://www.lingerieopt.ru/images/original/d0ea5bec-3adf-4362-9463-94ba6ab054a9.jpg","Фото")</f>
      </c>
    </row>
    <row r="5271">
      <c r="A5271" s="7">
        <f>HYPERLINK("http://www.lingerieopt.ru/item/7199-kruzhevnaya-sorochka-s-otkrjtoi-spinoi/","7199")</f>
      </c>
      <c r="B5271" s="8" t="s">
        <v>5027</v>
      </c>
      <c r="C5271" s="9">
        <v>1748</v>
      </c>
      <c r="D5271" s="0">
        <v>30</v>
      </c>
      <c r="E5271" s="10">
        <f>HYPERLINK("http://www.lingerieopt.ru/images/original/211cee32-88cb-4a7f-9479-4f934c1d7365.jpg","Фото")</f>
      </c>
    </row>
    <row r="5272">
      <c r="A5272" s="7">
        <f>HYPERLINK("http://www.lingerieopt.ru/item/7209-penyuar-marcelle-kruzhevnjmi-vstavkami-na-poyase-i-rukavah/","7209")</f>
      </c>
      <c r="B5272" s="8" t="s">
        <v>5028</v>
      </c>
      <c r="C5272" s="9">
        <v>2416</v>
      </c>
      <c r="D5272" s="0">
        <v>5</v>
      </c>
      <c r="E5272" s="10">
        <f>HYPERLINK("http://www.lingerieopt.ru/images/original/f5c2e521-03f6-4699-b257-be8fe5f63917.jpg","Фото")</f>
      </c>
    </row>
    <row r="5273">
      <c r="A5273" s="7">
        <f>HYPERLINK("http://www.lingerieopt.ru/item/7209-penyuar-marcelle-kruzhevnjmi-vstavkami-na-poyase-i-rukavah/","7209")</f>
      </c>
      <c r="B5273" s="8" t="s">
        <v>5029</v>
      </c>
      <c r="C5273" s="9">
        <v>2416</v>
      </c>
      <c r="D5273" s="0">
        <v>0</v>
      </c>
      <c r="E5273" s="10">
        <f>HYPERLINK("http://www.lingerieopt.ru/images/original/f5c2e521-03f6-4699-b257-be8fe5f63917.jpg","Фото")</f>
      </c>
    </row>
    <row r="5274">
      <c r="A5274" s="7">
        <f>HYPERLINK("http://www.lingerieopt.ru/item/7223-obvorozhitelnaya-sorochka-lustella-s-poyaskom/","7223")</f>
      </c>
      <c r="B5274" s="8" t="s">
        <v>5030</v>
      </c>
      <c r="C5274" s="9">
        <v>1588</v>
      </c>
      <c r="D5274" s="0">
        <v>3</v>
      </c>
      <c r="E5274" s="10">
        <f>HYPERLINK("http://www.lingerieopt.ru/images/original/08ccf7be-3e7d-4315-b274-badfb697a418.jpg","Фото")</f>
      </c>
    </row>
    <row r="5275">
      <c r="A5275" s="7">
        <f>HYPERLINK("http://www.lingerieopt.ru/item/7223-obvorozhitelnaya-sorochka-lustella-s-poyaskom/","7223")</f>
      </c>
      <c r="B5275" s="8" t="s">
        <v>5031</v>
      </c>
      <c r="C5275" s="9">
        <v>1588</v>
      </c>
      <c r="D5275" s="0">
        <v>3</v>
      </c>
      <c r="E5275" s="10">
        <f>HYPERLINK("http://www.lingerieopt.ru/images/original/08ccf7be-3e7d-4315-b274-badfb697a418.jpg","Фото")</f>
      </c>
    </row>
    <row r="5276">
      <c r="A5276" s="7">
        <f>HYPERLINK("http://www.lingerieopt.ru/item/7231-azhurnaya-sorochka-colelle-s-malenkim-bantom-na-life/","7231")</f>
      </c>
      <c r="B5276" s="8" t="s">
        <v>5032</v>
      </c>
      <c r="C5276" s="9">
        <v>1199</v>
      </c>
      <c r="D5276" s="0">
        <v>2</v>
      </c>
      <c r="E5276" s="10">
        <f>HYPERLINK("http://www.lingerieopt.ru/images/original/c156954c-bfe7-4ca8-a483-ddd4c530fc2c.jpg","Фото")</f>
      </c>
    </row>
    <row r="5277">
      <c r="A5277" s="7">
        <f>HYPERLINK("http://www.lingerieopt.ru/item/7231-azhurnaya-sorochka-colelle-s-malenkim-bantom-na-life/","7231")</f>
      </c>
      <c r="B5277" s="8" t="s">
        <v>5033</v>
      </c>
      <c r="C5277" s="9">
        <v>1199</v>
      </c>
      <c r="D5277" s="0">
        <v>10</v>
      </c>
      <c r="E5277" s="10">
        <f>HYPERLINK("http://www.lingerieopt.ru/images/original/c156954c-bfe7-4ca8-a483-ddd4c530fc2c.jpg","Фото")</f>
      </c>
    </row>
    <row r="5278">
      <c r="A5278" s="7">
        <f>HYPERLINK("http://www.lingerieopt.ru/item/7231-azhurnaya-sorochka-colelle-s-malenkim-bantom-na-life/","7231")</f>
      </c>
      <c r="B5278" s="8" t="s">
        <v>5034</v>
      </c>
      <c r="C5278" s="9">
        <v>1199</v>
      </c>
      <c r="D5278" s="0">
        <v>2</v>
      </c>
      <c r="E5278" s="10">
        <f>HYPERLINK("http://www.lingerieopt.ru/images/original/c156954c-bfe7-4ca8-a483-ddd4c530fc2c.jpg","Фото")</f>
      </c>
    </row>
    <row r="5279">
      <c r="A5279" s="7">
        <f>HYPERLINK("http://www.lingerieopt.ru/item/7231-azhurnaya-sorochka-colelle-s-malenkim-bantom-na-life/","7231")</f>
      </c>
      <c r="B5279" s="8" t="s">
        <v>5035</v>
      </c>
      <c r="C5279" s="9">
        <v>1199</v>
      </c>
      <c r="D5279" s="0">
        <v>2</v>
      </c>
      <c r="E5279" s="10">
        <f>HYPERLINK("http://www.lingerieopt.ru/images/original/c156954c-bfe7-4ca8-a483-ddd4c530fc2c.jpg","Фото")</f>
      </c>
    </row>
    <row r="5280">
      <c r="A5280" s="7">
        <f>HYPERLINK("http://www.lingerieopt.ru/item/7231-azhurnaya-sorochka-colelle-s-malenkim-bantom-na-life/","7231")</f>
      </c>
      <c r="B5280" s="8" t="s">
        <v>5036</v>
      </c>
      <c r="C5280" s="9">
        <v>1199</v>
      </c>
      <c r="D5280" s="0">
        <v>4</v>
      </c>
      <c r="E5280" s="10">
        <f>HYPERLINK("http://www.lingerieopt.ru/images/original/c156954c-bfe7-4ca8-a483-ddd4c530fc2c.jpg","Фото")</f>
      </c>
    </row>
    <row r="5281">
      <c r="A5281" s="7">
        <f>HYPERLINK("http://www.lingerieopt.ru/item/7231-azhurnaya-sorochka-colelle-s-malenkim-bantom-na-life/","7231")</f>
      </c>
      <c r="B5281" s="8" t="s">
        <v>5037</v>
      </c>
      <c r="C5281" s="9">
        <v>1199</v>
      </c>
      <c r="D5281" s="0">
        <v>6</v>
      </c>
      <c r="E5281" s="10">
        <f>HYPERLINK("http://www.lingerieopt.ru/images/original/c156954c-bfe7-4ca8-a483-ddd4c530fc2c.jpg","Фото")</f>
      </c>
    </row>
    <row r="5282">
      <c r="A5282" s="7">
        <f>HYPERLINK("http://www.lingerieopt.ru/item/7232-kombinaciya-julia-na-tonkih-bretelyah-i-s-azhurnjm-lifom/","7232")</f>
      </c>
      <c r="B5282" s="8" t="s">
        <v>5038</v>
      </c>
      <c r="C5282" s="9">
        <v>1063</v>
      </c>
      <c r="D5282" s="0">
        <v>4</v>
      </c>
      <c r="E5282" s="10">
        <f>HYPERLINK("http://www.lingerieopt.ru/images/original/591c581c-b4a6-4be4-b7df-29f625f0936a.jpg","Фото")</f>
      </c>
    </row>
    <row r="5283">
      <c r="A5283" s="7">
        <f>HYPERLINK("http://www.lingerieopt.ru/item/7232-kombinaciya-julia-na-tonkih-bretelyah-i-s-azhurnjm-lifom/","7232")</f>
      </c>
      <c r="B5283" s="8" t="s">
        <v>5039</v>
      </c>
      <c r="C5283" s="9">
        <v>1063</v>
      </c>
      <c r="D5283" s="0">
        <v>4</v>
      </c>
      <c r="E5283" s="10">
        <f>HYPERLINK("http://www.lingerieopt.ru/images/original/591c581c-b4a6-4be4-b7df-29f625f0936a.jpg","Фото")</f>
      </c>
    </row>
    <row r="5284">
      <c r="A5284" s="7">
        <f>HYPERLINK("http://www.lingerieopt.ru/item/7232-kombinaciya-julia-na-tonkih-bretelyah-i-s-azhurnjm-lifom/","7232")</f>
      </c>
      <c r="B5284" s="8" t="s">
        <v>5040</v>
      </c>
      <c r="C5284" s="9">
        <v>1063</v>
      </c>
      <c r="D5284" s="0">
        <v>6</v>
      </c>
      <c r="E5284" s="10">
        <f>HYPERLINK("http://www.lingerieopt.ru/images/original/591c581c-b4a6-4be4-b7df-29f625f0936a.jpg","Фото")</f>
      </c>
    </row>
    <row r="5285">
      <c r="A5285" s="7">
        <f>HYPERLINK("http://www.lingerieopt.ru/item/7232-kombinaciya-julia-na-tonkih-bretelyah-i-s-azhurnjm-lifom/","7232")</f>
      </c>
      <c r="B5285" s="8" t="s">
        <v>5041</v>
      </c>
      <c r="C5285" s="9">
        <v>1063</v>
      </c>
      <c r="D5285" s="0">
        <v>2</v>
      </c>
      <c r="E5285" s="10">
        <f>HYPERLINK("http://www.lingerieopt.ru/images/original/591c581c-b4a6-4be4-b7df-29f625f0936a.jpg","Фото")</f>
      </c>
    </row>
    <row r="5286">
      <c r="A5286" s="7">
        <f>HYPERLINK("http://www.lingerieopt.ru/item/7232-kombinaciya-julia-na-tonkih-bretelyah-i-s-azhurnjm-lifom/","7232")</f>
      </c>
      <c r="B5286" s="8" t="s">
        <v>5042</v>
      </c>
      <c r="C5286" s="9">
        <v>1063</v>
      </c>
      <c r="D5286" s="0">
        <v>0</v>
      </c>
      <c r="E5286" s="10">
        <f>HYPERLINK("http://www.lingerieopt.ru/images/original/591c581c-b4a6-4be4-b7df-29f625f0936a.jpg","Фото")</f>
      </c>
    </row>
    <row r="5287">
      <c r="A5287" s="7">
        <f>HYPERLINK("http://www.lingerieopt.ru/item/7232-kombinaciya-julia-na-tonkih-bretelyah-i-s-azhurnjm-lifom/","7232")</f>
      </c>
      <c r="B5287" s="8" t="s">
        <v>5043</v>
      </c>
      <c r="C5287" s="9">
        <v>1063</v>
      </c>
      <c r="D5287" s="0">
        <v>3</v>
      </c>
      <c r="E5287" s="10">
        <f>HYPERLINK("http://www.lingerieopt.ru/images/original/591c581c-b4a6-4be4-b7df-29f625f0936a.jpg","Фото")</f>
      </c>
    </row>
    <row r="5288">
      <c r="A5288" s="7">
        <f>HYPERLINK("http://www.lingerieopt.ru/item/7247-effektnaya-sorochka-merossa-s-shirokimi-kruzhevnjmi-bretelyami-i-prozrachnjm-podolom/","7247")</f>
      </c>
      <c r="B5288" s="8" t="s">
        <v>5044</v>
      </c>
      <c r="C5288" s="9">
        <v>2247</v>
      </c>
      <c r="D5288" s="0">
        <v>1</v>
      </c>
      <c r="E5288" s="10">
        <f>HYPERLINK("http://www.lingerieopt.ru/images/original/7edc3c74-e8e1-49c3-9f6b-8806d7da703b.jpg","Фото")</f>
      </c>
    </row>
    <row r="5289">
      <c r="A5289" s="7">
        <f>HYPERLINK("http://www.lingerieopt.ru/item/7247-effektnaya-sorochka-merossa-s-shirokimi-kruzhevnjmi-bretelyami-i-prozrachnjm-podolom/","7247")</f>
      </c>
      <c r="B5289" s="8" t="s">
        <v>5045</v>
      </c>
      <c r="C5289" s="9">
        <v>2247</v>
      </c>
      <c r="D5289" s="0">
        <v>1</v>
      </c>
      <c r="E5289" s="10">
        <f>HYPERLINK("http://www.lingerieopt.ru/images/original/7edc3c74-e8e1-49c3-9f6b-8806d7da703b.jpg","Фото")</f>
      </c>
    </row>
    <row r="5290">
      <c r="A5290" s="7">
        <f>HYPERLINK("http://www.lingerieopt.ru/item/7250-poluprozrachnji-korotenkii-penyuar-s-poyaskom-i-kruzhevnjmi-rukavchikami/","7250")</f>
      </c>
      <c r="B5290" s="8" t="s">
        <v>5046</v>
      </c>
      <c r="C5290" s="9">
        <v>1726</v>
      </c>
      <c r="D5290" s="0">
        <v>1</v>
      </c>
      <c r="E5290" s="10">
        <f>HYPERLINK("http://www.lingerieopt.ru/images/original/eddbc61c-7ffd-48ec-be7e-3c08d3c9a0b5.jpg","Фото")</f>
      </c>
    </row>
    <row r="5291">
      <c r="A5291" s="7">
        <f>HYPERLINK("http://www.lingerieopt.ru/item/7250-poluprozrachnji-korotenkii-penyuar-s-poyaskom-i-kruzhevnjmi-rukavchikami/","7250")</f>
      </c>
      <c r="B5291" s="8" t="s">
        <v>5047</v>
      </c>
      <c r="C5291" s="9">
        <v>1726</v>
      </c>
      <c r="D5291" s="0">
        <v>9</v>
      </c>
      <c r="E5291" s="10">
        <f>HYPERLINK("http://www.lingerieopt.ru/images/original/eddbc61c-7ffd-48ec-be7e-3c08d3c9a0b5.jpg","Фото")</f>
      </c>
    </row>
    <row r="5292">
      <c r="A5292" s="7">
        <f>HYPERLINK("http://www.lingerieopt.ru/item/7272-oblegayuschaya-sorochka-lovica-s-izjskannjm-cvetochnjm-uzorom-kruzheva/","7272")</f>
      </c>
      <c r="B5292" s="8" t="s">
        <v>5048</v>
      </c>
      <c r="C5292" s="9">
        <v>1994</v>
      </c>
      <c r="D5292" s="0">
        <v>3</v>
      </c>
      <c r="E5292" s="10">
        <f>HYPERLINK("http://www.lingerieopt.ru/images/original/7b47f0f2-911d-40a8-8f14-f12c523e9487.jpg","Фото")</f>
      </c>
    </row>
    <row r="5293">
      <c r="A5293" s="7">
        <f>HYPERLINK("http://www.lingerieopt.ru/item/7272-oblegayuschaya-sorochka-lovica-s-izjskannjm-cvetochnjm-uzorom-kruzheva/","7272")</f>
      </c>
      <c r="B5293" s="8" t="s">
        <v>5049</v>
      </c>
      <c r="C5293" s="9">
        <v>1994</v>
      </c>
      <c r="D5293" s="0">
        <v>1</v>
      </c>
      <c r="E5293" s="10">
        <f>HYPERLINK("http://www.lingerieopt.ru/images/original/7b47f0f2-911d-40a8-8f14-f12c523e9487.jpg","Фото")</f>
      </c>
    </row>
    <row r="5294">
      <c r="A5294" s="7">
        <f>HYPERLINK("http://www.lingerieopt.ru/item/7310-igrivaya-sorochka-acre-s-bantikami-i-oborkami/","7310")</f>
      </c>
      <c r="B5294" s="8" t="s">
        <v>5050</v>
      </c>
      <c r="C5294" s="9">
        <v>1509</v>
      </c>
      <c r="D5294" s="0">
        <v>4</v>
      </c>
      <c r="E5294" s="10">
        <f>HYPERLINK("http://www.lingerieopt.ru/images/original/f61e6456-efde-41eb-b537-d33d0f932e71.jpg","Фото")</f>
      </c>
    </row>
    <row r="5295">
      <c r="A5295" s="7">
        <f>HYPERLINK("http://www.lingerieopt.ru/item/7310-igrivaya-sorochka-acre-s-bantikami-i-oborkami/","7310")</f>
      </c>
      <c r="B5295" s="8" t="s">
        <v>5051</v>
      </c>
      <c r="C5295" s="9">
        <v>1509</v>
      </c>
      <c r="D5295" s="0">
        <v>7</v>
      </c>
      <c r="E5295" s="10">
        <f>HYPERLINK("http://www.lingerieopt.ru/images/original/f61e6456-efde-41eb-b537-d33d0f932e71.jpg","Фото")</f>
      </c>
    </row>
    <row r="5296">
      <c r="A5296" s="7">
        <f>HYPERLINK("http://www.lingerieopt.ru/item/7310-igrivaya-sorochka-acre-s-bantikami-i-oborkami/","7310")</f>
      </c>
      <c r="B5296" s="8" t="s">
        <v>5052</v>
      </c>
      <c r="C5296" s="9">
        <v>1509</v>
      </c>
      <c r="D5296" s="0">
        <v>4</v>
      </c>
      <c r="E5296" s="10">
        <f>HYPERLINK("http://www.lingerieopt.ru/images/original/f61e6456-efde-41eb-b537-d33d0f932e71.jpg","Фото")</f>
      </c>
    </row>
    <row r="5297">
      <c r="A5297" s="7">
        <f>HYPERLINK("http://www.lingerieopt.ru/item/7311-plenitelnaya-sorochka-charming-s-razrezom-na-spine/","7311")</f>
      </c>
      <c r="B5297" s="8" t="s">
        <v>5053</v>
      </c>
      <c r="C5297" s="9">
        <v>2402</v>
      </c>
      <c r="D5297" s="0">
        <v>5</v>
      </c>
      <c r="E5297" s="10">
        <f>HYPERLINK("http://www.lingerieopt.ru/images/original/1e2446b3-5308-47a9-8ef1-56939400acd4.jpg","Фото")</f>
      </c>
    </row>
    <row r="5298">
      <c r="A5298" s="7">
        <f>HYPERLINK("http://www.lingerieopt.ru/item/7311-plenitelnaya-sorochka-charming-s-razrezom-na-spine/","7311")</f>
      </c>
      <c r="B5298" s="8" t="s">
        <v>5054</v>
      </c>
      <c r="C5298" s="9">
        <v>2402</v>
      </c>
      <c r="D5298" s="0">
        <v>2</v>
      </c>
      <c r="E5298" s="10">
        <f>HYPERLINK("http://www.lingerieopt.ru/images/original/1e2446b3-5308-47a9-8ef1-56939400acd4.jpg","Фото")</f>
      </c>
    </row>
    <row r="5299">
      <c r="A5299" s="7">
        <f>HYPERLINK("http://www.lingerieopt.ru/item/7311-plenitelnaya-sorochka-charming-s-razrezom-na-spine/","7311")</f>
      </c>
      <c r="B5299" s="8" t="s">
        <v>5055</v>
      </c>
      <c r="C5299" s="9">
        <v>2402</v>
      </c>
      <c r="D5299" s="0">
        <v>2</v>
      </c>
      <c r="E5299" s="10">
        <f>HYPERLINK("http://www.lingerieopt.ru/images/original/1e2446b3-5308-47a9-8ef1-56939400acd4.jpg","Фото")</f>
      </c>
    </row>
    <row r="5300">
      <c r="A5300" s="7">
        <f>HYPERLINK("http://www.lingerieopt.ru/item/7311-plenitelnaya-sorochka-charming-s-razrezom-na-spine/","7311")</f>
      </c>
      <c r="B5300" s="8" t="s">
        <v>5056</v>
      </c>
      <c r="C5300" s="9">
        <v>2402</v>
      </c>
      <c r="D5300" s="0">
        <v>3</v>
      </c>
      <c r="E5300" s="10">
        <f>HYPERLINK("http://www.lingerieopt.ru/images/original/1e2446b3-5308-47a9-8ef1-56939400acd4.jpg","Фото")</f>
      </c>
    </row>
    <row r="5301">
      <c r="A5301" s="7">
        <f>HYPERLINK("http://www.lingerieopt.ru/item/7312-effektnaya-sorochka-liu-s-kruzhevnjm-lifom-i-otkrjtoi-spinkoi/","7312")</f>
      </c>
      <c r="B5301" s="8" t="s">
        <v>5057</v>
      </c>
      <c r="C5301" s="9">
        <v>1336</v>
      </c>
      <c r="D5301" s="0">
        <v>3</v>
      </c>
      <c r="E5301" s="10">
        <f>HYPERLINK("http://www.lingerieopt.ru/images/original/9c8104ad-329d-431f-a449-c3033ba5bf3d.jpg","Фото")</f>
      </c>
    </row>
    <row r="5302">
      <c r="A5302" s="7">
        <f>HYPERLINK("http://www.lingerieopt.ru/item/7312-effektnaya-sorochka-liu-s-kruzhevnjm-lifom-i-otkrjtoi-spinkoi/","7312")</f>
      </c>
      <c r="B5302" s="8" t="s">
        <v>5058</v>
      </c>
      <c r="C5302" s="9">
        <v>1336</v>
      </c>
      <c r="D5302" s="0">
        <v>2</v>
      </c>
      <c r="E5302" s="10">
        <f>HYPERLINK("http://www.lingerieopt.ru/images/original/9c8104ad-329d-431f-a449-c3033ba5bf3d.jpg","Фото")</f>
      </c>
    </row>
    <row r="5303">
      <c r="A5303" s="7">
        <f>HYPERLINK("http://www.lingerieopt.ru/item/7312-effektnaya-sorochka-liu-s-kruzhevnjm-lifom-i-otkrjtoi-spinkoi/","7312")</f>
      </c>
      <c r="B5303" s="8" t="s">
        <v>5059</v>
      </c>
      <c r="C5303" s="9">
        <v>1336</v>
      </c>
      <c r="D5303" s="0">
        <v>5</v>
      </c>
      <c r="E5303" s="10">
        <f>HYPERLINK("http://www.lingerieopt.ru/images/original/9c8104ad-329d-431f-a449-c3033ba5bf3d.jpg","Фото")</f>
      </c>
    </row>
    <row r="5304">
      <c r="A5304" s="7">
        <f>HYPERLINK("http://www.lingerieopt.ru/item/7312-effektnaya-sorochka-liu-s-kruzhevnjm-lifom-i-otkrjtoi-spinkoi/","7312")</f>
      </c>
      <c r="B5304" s="8" t="s">
        <v>5060</v>
      </c>
      <c r="C5304" s="9">
        <v>1336</v>
      </c>
      <c r="D5304" s="0">
        <v>6</v>
      </c>
      <c r="E5304" s="10">
        <f>HYPERLINK("http://www.lingerieopt.ru/images/original/9c8104ad-329d-431f-a449-c3033ba5bf3d.jpg","Фото")</f>
      </c>
    </row>
    <row r="5305">
      <c r="A5305" s="7">
        <f>HYPERLINK("http://www.lingerieopt.ru/item/7357-oblegayuschaya-sorochka-wonderia-s-kruzhevom/","7357")</f>
      </c>
      <c r="B5305" s="8" t="s">
        <v>5061</v>
      </c>
      <c r="C5305" s="9">
        <v>1185</v>
      </c>
      <c r="D5305" s="0">
        <v>1</v>
      </c>
      <c r="E5305" s="10">
        <f>HYPERLINK("http://www.lingerieopt.ru/images/original/10c46a88-a242-463a-94b2-38a4b4f28bf8.jpg","Фото")</f>
      </c>
    </row>
    <row r="5306">
      <c r="A5306" s="7">
        <f>HYPERLINK("http://www.lingerieopt.ru/item/7357-oblegayuschaya-sorochka-wonderia-s-kruzhevom/","7357")</f>
      </c>
      <c r="B5306" s="8" t="s">
        <v>5062</v>
      </c>
      <c r="C5306" s="9">
        <v>1185</v>
      </c>
      <c r="D5306" s="0">
        <v>2</v>
      </c>
      <c r="E5306" s="10">
        <f>HYPERLINK("http://www.lingerieopt.ru/images/original/10c46a88-a242-463a-94b2-38a4b4f28bf8.jpg","Фото")</f>
      </c>
    </row>
    <row r="5307">
      <c r="A5307" s="7">
        <f>HYPERLINK("http://www.lingerieopt.ru/item/7380-effektnji-bebi-doll-tsuki-s-otkrjtoi-spinoi/","7380")</f>
      </c>
      <c r="B5307" s="8" t="s">
        <v>5063</v>
      </c>
      <c r="C5307" s="9">
        <v>2642</v>
      </c>
      <c r="D5307" s="0">
        <v>5</v>
      </c>
      <c r="E5307" s="10">
        <f>HYPERLINK("http://www.lingerieopt.ru/images/original/0feb268b-90ff-4f88-8814-adb252d9042b.jpg","Фото")</f>
      </c>
    </row>
    <row r="5308">
      <c r="A5308" s="7">
        <f>HYPERLINK("http://www.lingerieopt.ru/item/7394-korotkaya-poluprozrachnaya-sorochka-valerie/","7394")</f>
      </c>
      <c r="B5308" s="8" t="s">
        <v>5064</v>
      </c>
      <c r="C5308" s="9">
        <v>2215</v>
      </c>
      <c r="D5308" s="0">
        <v>5</v>
      </c>
      <c r="E5308" s="10">
        <f>HYPERLINK("http://www.lingerieopt.ru/images/original/252e3658-a80f-4875-8160-e6875ce7812c.jpg","Фото")</f>
      </c>
    </row>
    <row r="5309">
      <c r="A5309" s="7">
        <f>HYPERLINK("http://www.lingerieopt.ru/item/7394-korotkaya-poluprozrachnaya-sorochka-valerie/","7394")</f>
      </c>
      <c r="B5309" s="8" t="s">
        <v>5065</v>
      </c>
      <c r="C5309" s="9">
        <v>2215</v>
      </c>
      <c r="D5309" s="0">
        <v>2</v>
      </c>
      <c r="E5309" s="10">
        <f>HYPERLINK("http://www.lingerieopt.ru/images/original/252e3658-a80f-4875-8160-e6875ce7812c.jpg","Фото")</f>
      </c>
    </row>
    <row r="5310">
      <c r="A5310" s="7">
        <f>HYPERLINK("http://www.lingerieopt.ru/item/7394-korotkaya-poluprozrachnaya-sorochka-valerie/","7394")</f>
      </c>
      <c r="B5310" s="8" t="s">
        <v>5066</v>
      </c>
      <c r="C5310" s="9">
        <v>2215</v>
      </c>
      <c r="D5310" s="0">
        <v>4</v>
      </c>
      <c r="E5310" s="10">
        <f>HYPERLINK("http://www.lingerieopt.ru/images/original/252e3658-a80f-4875-8160-e6875ce7812c.jpg","Фото")</f>
      </c>
    </row>
    <row r="5311">
      <c r="A5311" s="7">
        <f>HYPERLINK("http://www.lingerieopt.ru/item/7394-korotkaya-poluprozrachnaya-sorochka-valerie/","7394")</f>
      </c>
      <c r="B5311" s="8" t="s">
        <v>5067</v>
      </c>
      <c r="C5311" s="9">
        <v>2215</v>
      </c>
      <c r="D5311" s="0">
        <v>1</v>
      </c>
      <c r="E5311" s="10">
        <f>HYPERLINK("http://www.lingerieopt.ru/images/original/252e3658-a80f-4875-8160-e6875ce7812c.jpg","Фото")</f>
      </c>
    </row>
    <row r="5312">
      <c r="A5312" s="7">
        <f>HYPERLINK("http://www.lingerieopt.ru/item/7394-korotkaya-poluprozrachnaya-sorochka-valerie/","7394")</f>
      </c>
      <c r="B5312" s="8" t="s">
        <v>5068</v>
      </c>
      <c r="C5312" s="9">
        <v>2215</v>
      </c>
      <c r="D5312" s="0">
        <v>6</v>
      </c>
      <c r="E5312" s="10">
        <f>HYPERLINK("http://www.lingerieopt.ru/images/original/252e3658-a80f-4875-8160-e6875ce7812c.jpg","Фото")</f>
      </c>
    </row>
    <row r="5313">
      <c r="A5313" s="7">
        <f>HYPERLINK("http://www.lingerieopt.ru/item/7430-nezhnaya-sorochka-bianca-s-aksessuarami/","7430")</f>
      </c>
      <c r="B5313" s="8" t="s">
        <v>5069</v>
      </c>
      <c r="C5313" s="9">
        <v>1509</v>
      </c>
      <c r="D5313" s="0">
        <v>5</v>
      </c>
      <c r="E5313" s="10">
        <f>HYPERLINK("http://www.lingerieopt.ru/images/original/a01b920c-27a7-4bbd-ab47-6e1890ddf4b4.jpg","Фото")</f>
      </c>
    </row>
    <row r="5314">
      <c r="A5314" s="7">
        <f>HYPERLINK("http://www.lingerieopt.ru/item/7430-nezhnaya-sorochka-bianca-s-aksessuarami/","7430")</f>
      </c>
      <c r="B5314" s="8" t="s">
        <v>5070</v>
      </c>
      <c r="C5314" s="9">
        <v>1509</v>
      </c>
      <c r="D5314" s="0">
        <v>8</v>
      </c>
      <c r="E5314" s="10">
        <f>HYPERLINK("http://www.lingerieopt.ru/images/original/a01b920c-27a7-4bbd-ab47-6e1890ddf4b4.jpg","Фото")</f>
      </c>
    </row>
    <row r="5315">
      <c r="A5315" s="7">
        <f>HYPERLINK("http://www.lingerieopt.ru/item/7631-penyuar-tyrone-s-izjskannoi-vjshivkoi-i-zavyazkami-na-grudi/","7631")</f>
      </c>
      <c r="B5315" s="8" t="s">
        <v>5071</v>
      </c>
      <c r="C5315" s="9">
        <v>2593</v>
      </c>
      <c r="D5315" s="0">
        <v>0</v>
      </c>
      <c r="E5315" s="10">
        <f>HYPERLINK("http://www.lingerieopt.ru/images/original/e020d5cb-3193-4cc4-a404-f60a3222e142.jpg","Фото")</f>
      </c>
    </row>
    <row r="5316">
      <c r="A5316" s="7">
        <f>HYPERLINK("http://www.lingerieopt.ru/item/7631-penyuar-tyrone-s-izjskannoi-vjshivkoi-i-zavyazkami-na-grudi/","7631")</f>
      </c>
      <c r="B5316" s="8" t="s">
        <v>5072</v>
      </c>
      <c r="C5316" s="9">
        <v>2593</v>
      </c>
      <c r="D5316" s="0">
        <v>1</v>
      </c>
      <c r="E5316" s="10">
        <f>HYPERLINK("http://www.lingerieopt.ru/images/original/e020d5cb-3193-4cc4-a404-f60a3222e142.jpg","Фото")</f>
      </c>
    </row>
    <row r="5317">
      <c r="A5317" s="7">
        <f>HYPERLINK("http://www.lingerieopt.ru/item/7651-sorochka-connie-s-h-obraznoi-kruzhevnoi-vstavkoi/","7651")</f>
      </c>
      <c r="B5317" s="8" t="s">
        <v>5073</v>
      </c>
      <c r="C5317" s="9">
        <v>2355</v>
      </c>
      <c r="D5317" s="0">
        <v>6</v>
      </c>
      <c r="E5317" s="10">
        <f>HYPERLINK("http://www.lingerieopt.ru/images/original/12b0e42d-4d2e-46b3-a414-5a9ffb2f7287.jpg","Фото")</f>
      </c>
    </row>
    <row r="5318">
      <c r="A5318" s="7">
        <f>HYPERLINK("http://www.lingerieopt.ru/item/7651-sorochka-connie-s-h-obraznoi-kruzhevnoi-vstavkoi/","7651")</f>
      </c>
      <c r="B5318" s="8" t="s">
        <v>5074</v>
      </c>
      <c r="C5318" s="9">
        <v>2355</v>
      </c>
      <c r="D5318" s="0">
        <v>0</v>
      </c>
      <c r="E5318" s="10">
        <f>HYPERLINK("http://www.lingerieopt.ru/images/original/12b0e42d-4d2e-46b3-a414-5a9ffb2f7287.jpg","Фото")</f>
      </c>
    </row>
    <row r="5319">
      <c r="A5319" s="7">
        <f>HYPERLINK("http://www.lingerieopt.ru/item/7652-oblegayuschaya-sorochka-dallas-s-lifom-iz-nezhnoi-setochki/","7652")</f>
      </c>
      <c r="B5319" s="8" t="s">
        <v>5075</v>
      </c>
      <c r="C5319" s="9">
        <v>2095</v>
      </c>
      <c r="D5319" s="0">
        <v>8</v>
      </c>
      <c r="E5319" s="10">
        <f>HYPERLINK("http://www.lingerieopt.ru/images/original/c0cfd540-fc5c-4a39-9d7e-02897ba9ce0b.jpg","Фото")</f>
      </c>
    </row>
    <row r="5320">
      <c r="A5320" s="7">
        <f>HYPERLINK("http://www.lingerieopt.ru/item/7653-oblegayuschaya-sorochka-giorgia-s-azhurnjm-lifom/","7653")</f>
      </c>
      <c r="B5320" s="8" t="s">
        <v>5076</v>
      </c>
      <c r="C5320" s="9">
        <v>2433</v>
      </c>
      <c r="D5320" s="0">
        <v>15</v>
      </c>
      <c r="E5320" s="10">
        <f>HYPERLINK("http://www.lingerieopt.ru/images/original/ce109c0a-9f18-4ba5-9c98-e61bd9dadce4.jpg","Фото")</f>
      </c>
    </row>
    <row r="5321">
      <c r="A5321" s="7">
        <f>HYPERLINK("http://www.lingerieopt.ru/item/7654-oblegayuschaya-sorochka-sissey-s-v-obraznoi-poluprozrachnoi-vstavkoi-na-zhivote/","7654")</f>
      </c>
      <c r="B5321" s="8" t="s">
        <v>5077</v>
      </c>
      <c r="C5321" s="9">
        <v>2177</v>
      </c>
      <c r="D5321" s="0">
        <v>0</v>
      </c>
      <c r="E5321" s="10">
        <f>HYPERLINK("http://www.lingerieopt.ru/images/original/06eee390-3666-4c67-a7fa-987e7790fb28.jpg","Фото")</f>
      </c>
    </row>
    <row r="5322">
      <c r="A5322" s="7">
        <f>HYPERLINK("http://www.lingerieopt.ru/item/7654-oblegayuschaya-sorochka-sissey-s-v-obraznoi-poluprozrachnoi-vstavkoi-na-zhivote/","7654")</f>
      </c>
      <c r="B5322" s="8" t="s">
        <v>5078</v>
      </c>
      <c r="C5322" s="9">
        <v>2177</v>
      </c>
      <c r="D5322" s="0">
        <v>5</v>
      </c>
      <c r="E5322" s="10">
        <f>HYPERLINK("http://www.lingerieopt.ru/images/original/06eee390-3666-4c67-a7fa-987e7790fb28.jpg","Фото")</f>
      </c>
    </row>
    <row r="5323">
      <c r="A5323" s="7">
        <f>HYPERLINK("http://www.lingerieopt.ru/item/7675-sorochka-carrie-s-azhurnjm-lifom-i-razrezom-po-centru/","7675")</f>
      </c>
      <c r="B5323" s="8" t="s">
        <v>5079</v>
      </c>
      <c r="C5323" s="9">
        <v>2000</v>
      </c>
      <c r="D5323" s="0">
        <v>2</v>
      </c>
      <c r="E5323" s="10">
        <f>HYPERLINK("http://www.lingerieopt.ru/images/original/ca0edb38-a81f-4f5b-9988-41150061530d.jpg","Фото")</f>
      </c>
    </row>
    <row r="5324">
      <c r="A5324" s="7">
        <f>HYPERLINK("http://www.lingerieopt.ru/item/7675-sorochka-carrie-s-azhurnjm-lifom-i-razrezom-po-centru/","7675")</f>
      </c>
      <c r="B5324" s="8" t="s">
        <v>5080</v>
      </c>
      <c r="C5324" s="9">
        <v>2000</v>
      </c>
      <c r="D5324" s="0">
        <v>6</v>
      </c>
      <c r="E5324" s="10">
        <f>HYPERLINK("http://www.lingerieopt.ru/images/original/ca0edb38-a81f-4f5b-9988-41150061530d.jpg","Фото")</f>
      </c>
    </row>
    <row r="5325">
      <c r="A5325" s="7">
        <f>HYPERLINK("http://www.lingerieopt.ru/item/7678-sorochka-estes-s-otkrjtoi-grudyu/","7678")</f>
      </c>
      <c r="B5325" s="8" t="s">
        <v>5081</v>
      </c>
      <c r="C5325" s="9">
        <v>2191</v>
      </c>
      <c r="D5325" s="0">
        <v>2</v>
      </c>
      <c r="E5325" s="10">
        <f>HYPERLINK("http://www.lingerieopt.ru/images/original/3a76315f-c416-4e82-a0bc-2518dda255cf.jpg","Фото")</f>
      </c>
    </row>
    <row r="5326">
      <c r="A5326" s="7">
        <f>HYPERLINK("http://www.lingerieopt.ru/item/7678-sorochka-estes-s-otkrjtoi-grudyu/","7678")</f>
      </c>
      <c r="B5326" s="8" t="s">
        <v>5082</v>
      </c>
      <c r="C5326" s="9">
        <v>2191</v>
      </c>
      <c r="D5326" s="0">
        <v>0</v>
      </c>
      <c r="E5326" s="10">
        <f>HYPERLINK("http://www.lingerieopt.ru/images/original/3a76315f-c416-4e82-a0bc-2518dda255cf.jpg","Фото")</f>
      </c>
    </row>
    <row r="5327">
      <c r="A5327" s="7">
        <f>HYPERLINK("http://www.lingerieopt.ru/item/7701-originalnaya-poluprozrachnaya-sorochka-merossa-s-kruzhevnjm-lifom-i-odnoi-lyamochkoi/","7701")</f>
      </c>
      <c r="B5327" s="8" t="s">
        <v>5083</v>
      </c>
      <c r="C5327" s="9">
        <v>1433</v>
      </c>
      <c r="D5327" s="0">
        <v>2</v>
      </c>
      <c r="E5327" s="10">
        <f>HYPERLINK("http://www.lingerieopt.ru/images/original/5795b716-cbba-40af-96e1-2924e1d498be.jpg","Фото")</f>
      </c>
    </row>
    <row r="5328">
      <c r="A5328" s="7">
        <f>HYPERLINK("http://www.lingerieopt.ru/item/7701-originalnaya-poluprozrachnaya-sorochka-merossa-s-kruzhevnjm-lifom-i-odnoi-lyamochkoi/","7701")</f>
      </c>
      <c r="B5328" s="8" t="s">
        <v>5084</v>
      </c>
      <c r="C5328" s="9">
        <v>1433</v>
      </c>
      <c r="D5328" s="0">
        <v>1</v>
      </c>
      <c r="E5328" s="10">
        <f>HYPERLINK("http://www.lingerieopt.ru/images/original/5795b716-cbba-40af-96e1-2924e1d498be.jpg","Фото")</f>
      </c>
    </row>
    <row r="5329">
      <c r="A5329" s="7">
        <f>HYPERLINK("http://www.lingerieopt.ru/item/7721-sorochka-punker-fasona-letuchaya-mjsh-iz-nezhnoi-setchatoi-tkani/","7721")</f>
      </c>
      <c r="B5329" s="8" t="s">
        <v>5085</v>
      </c>
      <c r="C5329" s="9">
        <v>1673</v>
      </c>
      <c r="D5329" s="0">
        <v>2</v>
      </c>
      <c r="E5329" s="10">
        <f>HYPERLINK("http://www.lingerieopt.ru/images/original/35d7615a-ee15-4742-862c-f19fb76856f6.jpg","Фото")</f>
      </c>
    </row>
    <row r="5330">
      <c r="A5330" s="7">
        <f>HYPERLINK("http://www.lingerieopt.ru/item/7721-sorochka-punker-fasona-letuchaya-mjsh-iz-nezhnoi-setchatoi-tkani/","7721")</f>
      </c>
      <c r="B5330" s="8" t="s">
        <v>5086</v>
      </c>
      <c r="C5330" s="9">
        <v>1673</v>
      </c>
      <c r="D5330" s="0">
        <v>0</v>
      </c>
      <c r="E5330" s="10">
        <f>HYPERLINK("http://www.lingerieopt.ru/images/original/35d7615a-ee15-4742-862c-f19fb76856f6.jpg","Фото")</f>
      </c>
    </row>
    <row r="5331">
      <c r="A5331" s="7">
        <f>HYPERLINK("http://www.lingerieopt.ru/item/7723-sorochka-moketta-s-azhurnjmi-rukavami/","7723")</f>
      </c>
      <c r="B5331" s="8" t="s">
        <v>5087</v>
      </c>
      <c r="C5331" s="9">
        <v>1841</v>
      </c>
      <c r="D5331" s="0">
        <v>5</v>
      </c>
      <c r="E5331" s="10">
        <f>HYPERLINK("http://www.lingerieopt.ru/images/original/f34b5072-af96-4481-922c-88b79aa39b73.jpg","Фото")</f>
      </c>
    </row>
    <row r="5332">
      <c r="A5332" s="7">
        <f>HYPERLINK("http://www.lingerieopt.ru/item/7723-sorochka-moketta-s-azhurnjmi-rukavami/","7723")</f>
      </c>
      <c r="B5332" s="8" t="s">
        <v>5088</v>
      </c>
      <c r="C5332" s="9">
        <v>1841</v>
      </c>
      <c r="D5332" s="0">
        <v>2</v>
      </c>
      <c r="E5332" s="10">
        <f>HYPERLINK("http://www.lingerieopt.ru/images/original/f34b5072-af96-4481-922c-88b79aa39b73.jpg","Фото")</f>
      </c>
    </row>
    <row r="5333">
      <c r="A5333" s="7">
        <f>HYPERLINK("http://www.lingerieopt.ru/item/7724-sorochka-frivolla-s-kruzhevnjmi-vstavkami/","7724")</f>
      </c>
      <c r="B5333" s="8" t="s">
        <v>5089</v>
      </c>
      <c r="C5333" s="9">
        <v>1404</v>
      </c>
      <c r="D5333" s="0">
        <v>5</v>
      </c>
      <c r="E5333" s="10">
        <f>HYPERLINK("http://www.lingerieopt.ru/images/original/f35dac66-804e-4d25-b4be-6c463dba3f2e.jpg","Фото")</f>
      </c>
    </row>
    <row r="5334">
      <c r="A5334" s="7">
        <f>HYPERLINK("http://www.lingerieopt.ru/item/7724-sorochka-frivolla-s-kruzhevnjmi-vstavkami/","7724")</f>
      </c>
      <c r="B5334" s="8" t="s">
        <v>5090</v>
      </c>
      <c r="C5334" s="9">
        <v>1404</v>
      </c>
      <c r="D5334" s="0">
        <v>3</v>
      </c>
      <c r="E5334" s="10">
        <f>HYPERLINK("http://www.lingerieopt.ru/images/original/f35dac66-804e-4d25-b4be-6c463dba3f2e.jpg","Фото")</f>
      </c>
    </row>
    <row r="5335">
      <c r="A5335" s="7">
        <f>HYPERLINK("http://www.lingerieopt.ru/item/7725-sorochka-mokettina-s-kruzhevom-i-legkim-plisse-po-bokam/","7725")</f>
      </c>
      <c r="B5335" s="8" t="s">
        <v>5091</v>
      </c>
      <c r="C5335" s="9">
        <v>1791</v>
      </c>
      <c r="D5335" s="0">
        <v>6</v>
      </c>
      <c r="E5335" s="10">
        <f>HYPERLINK("http://www.lingerieopt.ru/images/original/ab6bc6ad-9a7c-4239-9cf3-9c0165a3bb0a.jpg","Фото")</f>
      </c>
    </row>
    <row r="5336">
      <c r="A5336" s="7">
        <f>HYPERLINK("http://www.lingerieopt.ru/item/7726-sorochka-gretia-s-dekorativnjmi-metallicheskimi-vstavkami/","7726")</f>
      </c>
      <c r="B5336" s="8" t="s">
        <v>5092</v>
      </c>
      <c r="C5336" s="9">
        <v>1509</v>
      </c>
      <c r="D5336" s="0">
        <v>2</v>
      </c>
      <c r="E5336" s="10">
        <f>HYPERLINK("http://www.lingerieopt.ru/images/original/9daba56d-d18d-43b7-ba25-1fb26711ff8f.jpg","Фото")</f>
      </c>
    </row>
    <row r="5337">
      <c r="A5337" s="7">
        <f>HYPERLINK("http://www.lingerieopt.ru/item/7726-sorochka-gretia-s-dekorativnjmi-metallicheskimi-vstavkami/","7726")</f>
      </c>
      <c r="B5337" s="8" t="s">
        <v>5093</v>
      </c>
      <c r="C5337" s="9">
        <v>1509</v>
      </c>
      <c r="D5337" s="0">
        <v>2</v>
      </c>
      <c r="E5337" s="10">
        <f>HYPERLINK("http://www.lingerieopt.ru/images/original/9daba56d-d18d-43b7-ba25-1fb26711ff8f.jpg","Фото")</f>
      </c>
    </row>
    <row r="5338">
      <c r="A5338" s="7">
        <f>HYPERLINK("http://www.lingerieopt.ru/item/7750-sorochka-v-pol-s-prozrachnjm-podolom/","7750")</f>
      </c>
      <c r="B5338" s="8" t="s">
        <v>5094</v>
      </c>
      <c r="C5338" s="9">
        <v>1472</v>
      </c>
      <c r="D5338" s="0">
        <v>35</v>
      </c>
      <c r="E5338" s="10">
        <f>HYPERLINK("http://www.lingerieopt.ru/images/original/45c72e84-ff8e-43b5-9b7a-30649f82c2e6.jpg","Фото")</f>
      </c>
    </row>
    <row r="5339">
      <c r="A5339" s="7">
        <f>HYPERLINK("http://www.lingerieopt.ru/item/7751-prozrachnji-korotkii-bebidoll/","7751")</f>
      </c>
      <c r="B5339" s="8" t="s">
        <v>5095</v>
      </c>
      <c r="C5339" s="9">
        <v>1153</v>
      </c>
      <c r="D5339" s="0">
        <v>30</v>
      </c>
      <c r="E5339" s="10">
        <f>HYPERLINK("http://www.lingerieopt.ru/images/original/64dfa30f-80ab-4d8c-b40e-00b1c372221d.jpg","Фото")</f>
      </c>
    </row>
    <row r="5340">
      <c r="A5340" s="7">
        <f>HYPERLINK("http://www.lingerieopt.ru/item/7759-korotenkaya-sorochka-s-kruzhevnjmi-detalyami/","7759")</f>
      </c>
      <c r="B5340" s="8" t="s">
        <v>5096</v>
      </c>
      <c r="C5340" s="9">
        <v>1649</v>
      </c>
      <c r="D5340" s="0">
        <v>17</v>
      </c>
      <c r="E5340" s="10">
        <f>HYPERLINK("http://www.lingerieopt.ru/images/original/76bcbbb1-77e8-40d2-9feb-19ab96bc4784.jpg","Фото")</f>
      </c>
    </row>
    <row r="5341">
      <c r="A5341" s="7">
        <f>HYPERLINK("http://www.lingerieopt.ru/item/7769-sorochka-s-malenkoi-shnurovkoi-na-spine/","7769")</f>
      </c>
      <c r="B5341" s="8" t="s">
        <v>5097</v>
      </c>
      <c r="C5341" s="9">
        <v>1940</v>
      </c>
      <c r="D5341" s="0">
        <v>18</v>
      </c>
      <c r="E5341" s="10">
        <f>HYPERLINK("http://www.lingerieopt.ru/images/original/969a2cc4-6cdd-4dc9-aadd-98fa4e9db370.jpg","Фото")</f>
      </c>
    </row>
    <row r="5342">
      <c r="A5342" s="7">
        <f>HYPERLINK("http://www.lingerieopt.ru/item/7769-sorochka-s-malenkoi-shnurovkoi-na-spine/","7769")</f>
      </c>
      <c r="B5342" s="8" t="s">
        <v>5098</v>
      </c>
      <c r="C5342" s="9">
        <v>1940</v>
      </c>
      <c r="D5342" s="0">
        <v>4</v>
      </c>
      <c r="E5342" s="10">
        <f>HYPERLINK("http://www.lingerieopt.ru/images/original/969a2cc4-6cdd-4dc9-aadd-98fa4e9db370.jpg","Фото")</f>
      </c>
    </row>
    <row r="5343">
      <c r="A5343" s="7">
        <f>HYPERLINK("http://www.lingerieopt.ru/item/7778-koketlivaya-sorochka-s-kontrastnjmi-lentami/","7778")</f>
      </c>
      <c r="B5343" s="8" t="s">
        <v>5099</v>
      </c>
      <c r="C5343" s="9">
        <v>1884</v>
      </c>
      <c r="D5343" s="0">
        <v>1</v>
      </c>
      <c r="E5343" s="10">
        <f>HYPERLINK("http://www.lingerieopt.ru/images/original/863f1092-a5d9-46f0-b8b2-b50cb633e54a.jpg","Фото")</f>
      </c>
    </row>
    <row r="5344">
      <c r="A5344" s="7">
        <f>HYPERLINK("http://www.lingerieopt.ru/item/7778-koketlivaya-sorochka-s-kontrastnjmi-lentami/","7778")</f>
      </c>
      <c r="B5344" s="8" t="s">
        <v>5100</v>
      </c>
      <c r="C5344" s="9">
        <v>1884</v>
      </c>
      <c r="D5344" s="0">
        <v>0</v>
      </c>
      <c r="E5344" s="10">
        <f>HYPERLINK("http://www.lingerieopt.ru/images/original/863f1092-a5d9-46f0-b8b2-b50cb633e54a.jpg","Фото")</f>
      </c>
    </row>
    <row r="5345">
      <c r="A5345" s="7">
        <f>HYPERLINK("http://www.lingerieopt.ru/item/7783-pikantnaya-sorochka-s-pazhami-dlya-chulok/","7783")</f>
      </c>
      <c r="B5345" s="8" t="s">
        <v>5101</v>
      </c>
      <c r="C5345" s="9">
        <v>1694</v>
      </c>
      <c r="D5345" s="0">
        <v>9</v>
      </c>
      <c r="E5345" s="10">
        <f>HYPERLINK("http://www.lingerieopt.ru/images/original/be8acb90-10f5-4698-a09d-4fb26cd79dd4.jpg","Фото")</f>
      </c>
    </row>
    <row r="5346">
      <c r="A5346" s="7">
        <f>HYPERLINK("http://www.lingerieopt.ru/item/7784-sorochka-s-pikantnjmi-vjrezami-szadi/","7784")</f>
      </c>
      <c r="B5346" s="8" t="s">
        <v>5102</v>
      </c>
      <c r="C5346" s="9">
        <v>1329</v>
      </c>
      <c r="D5346" s="0">
        <v>6</v>
      </c>
      <c r="E5346" s="10">
        <f>HYPERLINK("http://www.lingerieopt.ru/images/original/e829edba-270b-4d83-8f87-b2c086d2b97d.jpg","Фото")</f>
      </c>
    </row>
    <row r="5347">
      <c r="A5347" s="7">
        <f>HYPERLINK("http://www.lingerieopt.ru/item/7785-elegantnaya-prozrachnaya-sorochka/","7785")</f>
      </c>
      <c r="B5347" s="8" t="s">
        <v>5103</v>
      </c>
      <c r="C5347" s="9">
        <v>1060</v>
      </c>
      <c r="D5347" s="0">
        <v>2</v>
      </c>
      <c r="E5347" s="10">
        <f>HYPERLINK("http://www.lingerieopt.ru/images/original/d217b4ff-0642-443f-a482-662ae8cd55a8.jpg","Фото")</f>
      </c>
    </row>
    <row r="5348">
      <c r="A5348" s="7">
        <f>HYPERLINK("http://www.lingerieopt.ru/item/7786-oblegayuschaya-sorochka-s-dvuhcvetnjm-kruzhevom/","7786")</f>
      </c>
      <c r="B5348" s="8" t="s">
        <v>5104</v>
      </c>
      <c r="C5348" s="9">
        <v>1060</v>
      </c>
      <c r="D5348" s="0">
        <v>5</v>
      </c>
      <c r="E5348" s="10">
        <f>HYPERLINK("http://www.lingerieopt.ru/images/original/0875702e-e7cc-442e-80df-2343326ebef4.jpg","Фото")</f>
      </c>
    </row>
    <row r="5349">
      <c r="A5349" s="7">
        <f>HYPERLINK("http://www.lingerieopt.ru/item/7788-romanticheskaya-poluprozrachnaya-sorochka/","7788")</f>
      </c>
      <c r="B5349" s="8" t="s">
        <v>5105</v>
      </c>
      <c r="C5349" s="9">
        <v>1060</v>
      </c>
      <c r="D5349" s="0">
        <v>6</v>
      </c>
      <c r="E5349" s="10">
        <f>HYPERLINK("http://www.lingerieopt.ru/images/original/2d0dadf4-bc00-473a-9dfd-36b8cfc7ce0c.jpg","Фото")</f>
      </c>
    </row>
    <row r="5350">
      <c r="A5350" s="7">
        <f>HYPERLINK("http://www.lingerieopt.ru/item/7827-dlinnaya-sorochka-koroleva-nochi-iz-materiala-s-bleskom/","7827")</f>
      </c>
      <c r="B5350" s="8" t="s">
        <v>5106</v>
      </c>
      <c r="C5350" s="9">
        <v>1432</v>
      </c>
      <c r="D5350" s="0">
        <v>30</v>
      </c>
      <c r="E5350" s="10">
        <f>HYPERLINK("http://www.lingerieopt.ru/images/original/c234e312-9ea3-4a3a-8b94-5e3313cdc089.jpg","Фото")</f>
      </c>
    </row>
    <row r="5351">
      <c r="A5351" s="7">
        <f>HYPERLINK("http://www.lingerieopt.ru/item/7828-sorochka-s-pazhami-dlya-chulok/","7828")</f>
      </c>
      <c r="B5351" s="8" t="s">
        <v>5107</v>
      </c>
      <c r="C5351" s="9">
        <v>2331</v>
      </c>
      <c r="D5351" s="0">
        <v>0</v>
      </c>
      <c r="E5351" s="10">
        <f>HYPERLINK("http://www.lingerieopt.ru/images/original/cbb34c07-d619-4462-8dd3-6f05c285b870.jpg","Фото")</f>
      </c>
    </row>
    <row r="5352">
      <c r="A5352" s="7">
        <f>HYPERLINK("http://www.lingerieopt.ru/item/7828-sorochka-s-pazhami-dlya-chulok/","7828")</f>
      </c>
      <c r="B5352" s="8" t="s">
        <v>5108</v>
      </c>
      <c r="C5352" s="9">
        <v>2331</v>
      </c>
      <c r="D5352" s="0">
        <v>12</v>
      </c>
      <c r="E5352" s="10">
        <f>HYPERLINK("http://www.lingerieopt.ru/images/original/cbb34c07-d619-4462-8dd3-6f05c285b870.jpg","Фото")</f>
      </c>
    </row>
    <row r="5353">
      <c r="A5353" s="7">
        <f>HYPERLINK("http://www.lingerieopt.ru/item/7829-igrivji-bebi-doll-s-oborkami/","7829")</f>
      </c>
      <c r="B5353" s="8" t="s">
        <v>5109</v>
      </c>
      <c r="C5353" s="9">
        <v>1183</v>
      </c>
      <c r="D5353" s="0">
        <v>5</v>
      </c>
      <c r="E5353" s="10">
        <f>HYPERLINK("http://www.lingerieopt.ru/images/original/ae73dc34-93b3-4838-b358-39eec102993b.jpg","Фото")</f>
      </c>
    </row>
    <row r="5354">
      <c r="A5354" s="7">
        <f>HYPERLINK("http://www.lingerieopt.ru/item/8289-sorochka-carrie-plus-size-s-azhurnjm-lifom-i-pikantnjm-razrezom-po-centru/","8289")</f>
      </c>
      <c r="B5354" s="8" t="s">
        <v>5110</v>
      </c>
      <c r="C5354" s="9">
        <v>2000</v>
      </c>
      <c r="D5354" s="0">
        <v>3</v>
      </c>
      <c r="E5354" s="10">
        <f>HYPERLINK("http://www.lingerieopt.ru/images/original/532bdf05-61a0-44f4-a57b-1b1bb1e24baf.jpg","Фото")</f>
      </c>
    </row>
    <row r="5355">
      <c r="A5355" s="7">
        <f>HYPERLINK("http://www.lingerieopt.ru/item/8369-poluprozrachnaya-sorochka-s-vjrezami/","8369")</f>
      </c>
      <c r="B5355" s="8" t="s">
        <v>5111</v>
      </c>
      <c r="C5355" s="9">
        <v>1761</v>
      </c>
      <c r="D5355" s="0">
        <v>0</v>
      </c>
      <c r="E5355" s="10">
        <f>HYPERLINK("http://www.lingerieopt.ru/images/original/cd12704c-a5a5-40be-88b3-92e487b0a295.jpg","Фото")</f>
      </c>
    </row>
    <row r="5356">
      <c r="A5356" s="7">
        <f>HYPERLINK("http://www.lingerieopt.ru/item/8369-poluprozrachnaya-sorochka-s-vjrezami/","8369")</f>
      </c>
      <c r="B5356" s="8" t="s">
        <v>5112</v>
      </c>
      <c r="C5356" s="9">
        <v>1761</v>
      </c>
      <c r="D5356" s="0">
        <v>11</v>
      </c>
      <c r="E5356" s="10">
        <f>HYPERLINK("http://www.lingerieopt.ru/images/original/cd12704c-a5a5-40be-88b3-92e487b0a295.jpg","Фото")</f>
      </c>
    </row>
    <row r="5357">
      <c r="A5357" s="7">
        <f>HYPERLINK("http://www.lingerieopt.ru/item/8409-elegantnji-bebi-doll-charmea-s-kruzhevami-i-bantikom-na-life/","8409")</f>
      </c>
      <c r="B5357" s="8" t="s">
        <v>5113</v>
      </c>
      <c r="C5357" s="9">
        <v>1791</v>
      </c>
      <c r="D5357" s="0">
        <v>5</v>
      </c>
      <c r="E5357" s="10">
        <f>HYPERLINK("http://www.lingerieopt.ru/images/original/f0a1449f-951e-40ad-8c6c-7dceab6d9bc3.jpg","Фото")</f>
      </c>
    </row>
    <row r="5358">
      <c r="A5358" s="7">
        <f>HYPERLINK("http://www.lingerieopt.ru/item/8409-elegantnji-bebi-doll-charmea-s-kruzhevami-i-bantikom-na-life/","8409")</f>
      </c>
      <c r="B5358" s="8" t="s">
        <v>5114</v>
      </c>
      <c r="C5358" s="9">
        <v>1791</v>
      </c>
      <c r="D5358" s="0">
        <v>0</v>
      </c>
      <c r="E5358" s="10">
        <f>HYPERLINK("http://www.lingerieopt.ru/images/original/f0a1449f-951e-40ad-8c6c-7dceab6d9bc3.jpg","Фото")</f>
      </c>
    </row>
    <row r="5359">
      <c r="A5359" s="7">
        <f>HYPERLINK("http://www.lingerieopt.ru/item/8425-izjskannaya-sorochka-julitta-s-krjljshkami-na-bretelyah/","8425")</f>
      </c>
      <c r="B5359" s="8" t="s">
        <v>5115</v>
      </c>
      <c r="C5359" s="9">
        <v>1577</v>
      </c>
      <c r="D5359" s="0">
        <v>4</v>
      </c>
      <c r="E5359" s="10">
        <f>HYPERLINK("http://www.lingerieopt.ru/images/original/642c25a5-a97f-49cf-94a8-26e9b76b5e0a.jpg","Фото")</f>
      </c>
    </row>
    <row r="5360">
      <c r="A5360" s="7">
        <f>HYPERLINK("http://www.lingerieopt.ru/item/8425-izjskannaya-sorochka-julitta-s-krjljshkami-na-bretelyah/","8425")</f>
      </c>
      <c r="B5360" s="8" t="s">
        <v>5116</v>
      </c>
      <c r="C5360" s="9">
        <v>1577</v>
      </c>
      <c r="D5360" s="0">
        <v>3</v>
      </c>
      <c r="E5360" s="10">
        <f>HYPERLINK("http://www.lingerieopt.ru/images/original/642c25a5-a97f-49cf-94a8-26e9b76b5e0a.jpg","Фото")</f>
      </c>
    </row>
    <row r="5361">
      <c r="A5361" s="7">
        <f>HYPERLINK("http://www.lingerieopt.ru/item/8426-poluprozrachnaya-sorochka-alluria-s-kruzhevami/","8426")</f>
      </c>
      <c r="B5361" s="8" t="s">
        <v>5117</v>
      </c>
      <c r="C5361" s="9">
        <v>1473</v>
      </c>
      <c r="D5361" s="0">
        <v>6</v>
      </c>
      <c r="E5361" s="10">
        <f>HYPERLINK("http://www.lingerieopt.ru/images/original/5fa55b11-c778-4ca2-8c57-39be28a8eef7.jpg","Фото")</f>
      </c>
    </row>
    <row r="5362">
      <c r="A5362" s="7">
        <f>HYPERLINK("http://www.lingerieopt.ru/item/8426-poluprozrachnaya-sorochka-alluria-s-kruzhevami/","8426")</f>
      </c>
      <c r="B5362" s="8" t="s">
        <v>5118</v>
      </c>
      <c r="C5362" s="9">
        <v>1473</v>
      </c>
      <c r="D5362" s="0">
        <v>0</v>
      </c>
      <c r="E5362" s="10">
        <f>HYPERLINK("http://www.lingerieopt.ru/images/original/5fa55b11-c778-4ca2-8c57-39be28a8eef7.jpg","Фото")</f>
      </c>
    </row>
    <row r="5363">
      <c r="A5363" s="7">
        <f>HYPERLINK("http://www.lingerieopt.ru/item/8428-alaya-sorochka-heartina-s-kruzhevami/","8428")</f>
      </c>
      <c r="B5363" s="8" t="s">
        <v>5119</v>
      </c>
      <c r="C5363" s="9">
        <v>1629</v>
      </c>
      <c r="D5363" s="0">
        <v>5</v>
      </c>
      <c r="E5363" s="10">
        <f>HYPERLINK("http://www.lingerieopt.ru/images/original/43a12b99-321a-4639-a779-93acbf65e986.jpg","Фото")</f>
      </c>
    </row>
    <row r="5364">
      <c r="A5364" s="7">
        <f>HYPERLINK("http://www.lingerieopt.ru/item/8428-alaya-sorochka-heartina-s-kruzhevami/","8428")</f>
      </c>
      <c r="B5364" s="8" t="s">
        <v>5120</v>
      </c>
      <c r="C5364" s="9">
        <v>1629</v>
      </c>
      <c r="D5364" s="0">
        <v>0</v>
      </c>
      <c r="E5364" s="10">
        <f>HYPERLINK("http://www.lingerieopt.ru/images/original/43a12b99-321a-4639-a779-93acbf65e986.jpg","Фото")</f>
      </c>
    </row>
    <row r="5365">
      <c r="A5365" s="7">
        <f>HYPERLINK("http://www.lingerieopt.ru/item/8515-poluprozrachnaya-sorochka-maresol/","8515")</f>
      </c>
      <c r="B5365" s="8" t="s">
        <v>5121</v>
      </c>
      <c r="C5365" s="9">
        <v>2458</v>
      </c>
      <c r="D5365" s="0">
        <v>0</v>
      </c>
      <c r="E5365" s="10">
        <f>HYPERLINK("http://www.lingerieopt.ru/images/original/b06b0e0b-bc9f-4ec6-8477-2790efe0b86d.jpg","Фото")</f>
      </c>
    </row>
    <row r="5366">
      <c r="A5366" s="7">
        <f>HYPERLINK("http://www.lingerieopt.ru/item/8515-poluprozrachnaya-sorochka-maresol/","8515")</f>
      </c>
      <c r="B5366" s="8" t="s">
        <v>5122</v>
      </c>
      <c r="C5366" s="9">
        <v>2458</v>
      </c>
      <c r="D5366" s="0">
        <v>2</v>
      </c>
      <c r="E5366" s="10">
        <f>HYPERLINK("http://www.lingerieopt.ru/images/original/b06b0e0b-bc9f-4ec6-8477-2790efe0b86d.jpg","Фото")</f>
      </c>
    </row>
    <row r="5367">
      <c r="A5367" s="7">
        <f>HYPERLINK("http://www.lingerieopt.ru/item/8517-izjskannaya-sorochka-s-otkrjtoi-grudyu/","8517")</f>
      </c>
      <c r="B5367" s="8" t="s">
        <v>5123</v>
      </c>
      <c r="C5367" s="9">
        <v>1146</v>
      </c>
      <c r="D5367" s="0">
        <v>4</v>
      </c>
      <c r="E5367" s="10">
        <f>HYPERLINK("http://www.lingerieopt.ru/images/original/13bfb150-b830-4dbb-81f7-e9e3931519d5.jpg","Фото")</f>
      </c>
    </row>
    <row r="5368">
      <c r="A5368" s="7">
        <f>HYPERLINK("http://www.lingerieopt.ru/item/8517-izjskannaya-sorochka-s-otkrjtoi-grudyu/","8517")</f>
      </c>
      <c r="B5368" s="8" t="s">
        <v>5124</v>
      </c>
      <c r="C5368" s="9">
        <v>1146</v>
      </c>
      <c r="D5368" s="0">
        <v>4</v>
      </c>
      <c r="E5368" s="10">
        <f>HYPERLINK("http://www.lingerieopt.ru/images/original/13bfb150-b830-4dbb-81f7-e9e3931519d5.jpg","Фото")</f>
      </c>
    </row>
    <row r="5369">
      <c r="A5369" s="7">
        <f>HYPERLINK("http://www.lingerieopt.ru/item/8517-izjskannaya-sorochka-s-otkrjtoi-grudyu/","8517")</f>
      </c>
      <c r="B5369" s="8" t="s">
        <v>5125</v>
      </c>
      <c r="C5369" s="9">
        <v>1146</v>
      </c>
      <c r="D5369" s="0">
        <v>0</v>
      </c>
      <c r="E5369" s="10">
        <f>HYPERLINK("http://www.lingerieopt.ru/images/original/13bfb150-b830-4dbb-81f7-e9e3931519d5.jpg","Фото")</f>
      </c>
    </row>
    <row r="5370">
      <c r="A5370" s="7">
        <f>HYPERLINK("http://www.lingerieopt.ru/item/8551-soblaznitelnaya-sorochka-saule/","8551")</f>
      </c>
      <c r="B5370" s="8" t="s">
        <v>5126</v>
      </c>
      <c r="C5370" s="9">
        <v>1324</v>
      </c>
      <c r="D5370" s="0">
        <v>10</v>
      </c>
      <c r="E5370" s="10">
        <f>HYPERLINK("http://www.lingerieopt.ru/images/original/aedf8672-8b09-4101-94bc-33ab58ba6955.jpg","Фото")</f>
      </c>
    </row>
    <row r="5371">
      <c r="A5371" s="7">
        <f>HYPERLINK("http://www.lingerieopt.ru/item/8551-soblaznitelnaya-sorochka-saule/","8551")</f>
      </c>
      <c r="B5371" s="8" t="s">
        <v>5127</v>
      </c>
      <c r="C5371" s="9">
        <v>1324</v>
      </c>
      <c r="D5371" s="0">
        <v>5</v>
      </c>
      <c r="E5371" s="10">
        <f>HYPERLINK("http://www.lingerieopt.ru/images/original/aedf8672-8b09-4101-94bc-33ab58ba6955.jpg","Фото")</f>
      </c>
    </row>
    <row r="5372">
      <c r="A5372" s="7">
        <f>HYPERLINK("http://www.lingerieopt.ru/item/8551-soblaznitelnaya-sorochka-saule/","8551")</f>
      </c>
      <c r="B5372" s="8" t="s">
        <v>5128</v>
      </c>
      <c r="C5372" s="9">
        <v>1324</v>
      </c>
      <c r="D5372" s="0">
        <v>6</v>
      </c>
      <c r="E5372" s="10">
        <f>HYPERLINK("http://www.lingerieopt.ru/images/original/aedf8672-8b09-4101-94bc-33ab58ba6955.jpg","Фото")</f>
      </c>
    </row>
    <row r="5373">
      <c r="A5373" s="7">
        <f>HYPERLINK("http://www.lingerieopt.ru/item/8551-soblaznitelnaya-sorochka-saule/","8551")</f>
      </c>
      <c r="B5373" s="8" t="s">
        <v>5129</v>
      </c>
      <c r="C5373" s="9">
        <v>1324</v>
      </c>
      <c r="D5373" s="0">
        <v>10</v>
      </c>
      <c r="E5373" s="10">
        <f>HYPERLINK("http://www.lingerieopt.ru/images/original/aedf8672-8b09-4101-94bc-33ab58ba6955.jpg","Фото")</f>
      </c>
    </row>
    <row r="5374">
      <c r="A5374" s="7">
        <f>HYPERLINK("http://www.lingerieopt.ru/item/8558-sorochka-omorfi-s-cvetochnjm-kruzhevom/","8558")</f>
      </c>
      <c r="B5374" s="8" t="s">
        <v>5130</v>
      </c>
      <c r="C5374" s="9">
        <v>2266</v>
      </c>
      <c r="D5374" s="0">
        <v>0</v>
      </c>
      <c r="E5374" s="10">
        <f>HYPERLINK("http://www.lingerieopt.ru/images/original/0382a88d-5a09-4db2-b261-902f5f0adbf1.jpg","Фото")</f>
      </c>
    </row>
    <row r="5375">
      <c r="A5375" s="7">
        <f>HYPERLINK("http://www.lingerieopt.ru/item/8558-sorochka-omorfi-s-cvetochnjm-kruzhevom/","8558")</f>
      </c>
      <c r="B5375" s="8" t="s">
        <v>5131</v>
      </c>
      <c r="C5375" s="9">
        <v>2266</v>
      </c>
      <c r="D5375" s="0">
        <v>3</v>
      </c>
      <c r="E5375" s="10">
        <f>HYPERLINK("http://www.lingerieopt.ru/images/original/0382a88d-5a09-4db2-b261-902f5f0adbf1.jpg","Фото")</f>
      </c>
    </row>
    <row r="5376">
      <c r="A5376" s="7">
        <f>HYPERLINK("http://www.lingerieopt.ru/item/8558-sorochka-omorfi-s-cvetochnjm-kruzhevom/","8558")</f>
      </c>
      <c r="B5376" s="8" t="s">
        <v>5132</v>
      </c>
      <c r="C5376" s="9">
        <v>2266</v>
      </c>
      <c r="D5376" s="0">
        <v>2</v>
      </c>
      <c r="E5376" s="10">
        <f>HYPERLINK("http://www.lingerieopt.ru/images/original/0382a88d-5a09-4db2-b261-902f5f0adbf1.jpg","Фото")</f>
      </c>
    </row>
    <row r="5377">
      <c r="A5377" s="7">
        <f>HYPERLINK("http://www.lingerieopt.ru/item/8558-sorochka-omorfi-s-cvetochnjm-kruzhevom/","8558")</f>
      </c>
      <c r="B5377" s="8" t="s">
        <v>5133</v>
      </c>
      <c r="C5377" s="9">
        <v>2266</v>
      </c>
      <c r="D5377" s="0">
        <v>1</v>
      </c>
      <c r="E5377" s="10">
        <f>HYPERLINK("http://www.lingerieopt.ru/images/original/0382a88d-5a09-4db2-b261-902f5f0adbf1.jpg","Фото")</f>
      </c>
    </row>
    <row r="5378">
      <c r="A5378" s="7">
        <f>HYPERLINK("http://www.lingerieopt.ru/item/8570-korotenkii-bebi-doll-s-kruzhevnjm-verhom/","8570")</f>
      </c>
      <c r="B5378" s="8" t="s">
        <v>5134</v>
      </c>
      <c r="C5378" s="9">
        <v>1886</v>
      </c>
      <c r="D5378" s="0">
        <v>10</v>
      </c>
      <c r="E5378" s="10">
        <f>HYPERLINK("http://www.lingerieopt.ru/images/original/caf2c633-baf5-4fc6-81b9-f7593058e9b0.jpg","Фото")</f>
      </c>
    </row>
    <row r="5379">
      <c r="A5379" s="7">
        <f>HYPERLINK("http://www.lingerieopt.ru/item/8570-korotenkii-bebi-doll-s-kruzhevnjm-verhom/","8570")</f>
      </c>
      <c r="B5379" s="8" t="s">
        <v>5135</v>
      </c>
      <c r="C5379" s="9">
        <v>1886</v>
      </c>
      <c r="D5379" s="0">
        <v>10</v>
      </c>
      <c r="E5379" s="10">
        <f>HYPERLINK("http://www.lingerieopt.ru/images/original/caf2c633-baf5-4fc6-81b9-f7593058e9b0.jpg","Фото")</f>
      </c>
    </row>
    <row r="5380">
      <c r="A5380" s="7">
        <f>HYPERLINK("http://www.lingerieopt.ru/item/8570-korotenkii-bebi-doll-s-kruzhevnjm-verhom/","8570")</f>
      </c>
      <c r="B5380" s="8" t="s">
        <v>5136</v>
      </c>
      <c r="C5380" s="9">
        <v>1886</v>
      </c>
      <c r="D5380" s="0">
        <v>1</v>
      </c>
      <c r="E5380" s="10">
        <f>HYPERLINK("http://www.lingerieopt.ru/images/original/caf2c633-baf5-4fc6-81b9-f7593058e9b0.jpg","Фото")</f>
      </c>
    </row>
    <row r="5381">
      <c r="A5381" s="7">
        <f>HYPERLINK("http://www.lingerieopt.ru/item/8570-korotenkii-bebi-doll-s-kruzhevnjm-verhom/","8570")</f>
      </c>
      <c r="B5381" s="8" t="s">
        <v>5137</v>
      </c>
      <c r="C5381" s="9">
        <v>1886</v>
      </c>
      <c r="D5381" s="0">
        <v>10</v>
      </c>
      <c r="E5381" s="10">
        <f>HYPERLINK("http://www.lingerieopt.ru/images/original/caf2c633-baf5-4fc6-81b9-f7593058e9b0.jpg","Фото")</f>
      </c>
    </row>
    <row r="5382">
      <c r="A5382" s="7">
        <f>HYPERLINK("http://www.lingerieopt.ru/item/8571-oblegayuschaya-sorochka-s-kruzhevami-na-life/","8571")</f>
      </c>
      <c r="B5382" s="8" t="s">
        <v>5138</v>
      </c>
      <c r="C5382" s="9">
        <v>1757</v>
      </c>
      <c r="D5382" s="0">
        <v>0</v>
      </c>
      <c r="E5382" s="10">
        <f>HYPERLINK("http://www.lingerieopt.ru/images/original/a3bb19c6-8809-4fa7-a769-2370c67680f7.jpg","Фото")</f>
      </c>
    </row>
    <row r="5383">
      <c r="A5383" s="7">
        <f>HYPERLINK("http://www.lingerieopt.ru/item/8571-oblegayuschaya-sorochka-s-kruzhevami-na-life/","8571")</f>
      </c>
      <c r="B5383" s="8" t="s">
        <v>5139</v>
      </c>
      <c r="C5383" s="9">
        <v>1757</v>
      </c>
      <c r="D5383" s="0">
        <v>0</v>
      </c>
      <c r="E5383" s="10">
        <f>HYPERLINK("http://www.lingerieopt.ru/images/original/a3bb19c6-8809-4fa7-a769-2370c67680f7.jpg","Фото")</f>
      </c>
    </row>
    <row r="5384">
      <c r="A5384" s="7">
        <f>HYPERLINK("http://www.lingerieopt.ru/item/8571-oblegayuschaya-sorochka-s-kruzhevami-na-life/","8571")</f>
      </c>
      <c r="B5384" s="8" t="s">
        <v>5140</v>
      </c>
      <c r="C5384" s="9">
        <v>1757</v>
      </c>
      <c r="D5384" s="0">
        <v>0</v>
      </c>
      <c r="E5384" s="10">
        <f>HYPERLINK("http://www.lingerieopt.ru/images/original/a3bb19c6-8809-4fa7-a769-2370c67680f7.jpg","Фото")</f>
      </c>
    </row>
    <row r="5385">
      <c r="A5385" s="7">
        <f>HYPERLINK("http://www.lingerieopt.ru/item/8571-oblegayuschaya-sorochka-s-kruzhevami-na-life/","8571")</f>
      </c>
      <c r="B5385" s="8" t="s">
        <v>5141</v>
      </c>
      <c r="C5385" s="9">
        <v>1757</v>
      </c>
      <c r="D5385" s="0">
        <v>3</v>
      </c>
      <c r="E5385" s="10">
        <f>HYPERLINK("http://www.lingerieopt.ru/images/original/a3bb19c6-8809-4fa7-a769-2370c67680f7.jpg","Фото")</f>
      </c>
    </row>
    <row r="5386">
      <c r="A5386" s="7">
        <f>HYPERLINK("http://www.lingerieopt.ru/item/8576-atlasnji-bebi-doll-satinia-plus-size/","8576")</f>
      </c>
      <c r="B5386" s="8" t="s">
        <v>5142</v>
      </c>
      <c r="C5386" s="9">
        <v>1673</v>
      </c>
      <c r="D5386" s="0">
        <v>2</v>
      </c>
      <c r="E5386" s="10">
        <f>HYPERLINK("http://www.lingerieopt.ru/images/original/298d02b9-f1c4-41d4-8fe9-0e3e9abf4f8c.jpg","Фото")</f>
      </c>
    </row>
    <row r="5387">
      <c r="A5387" s="7">
        <f>HYPERLINK("http://www.lingerieopt.ru/item/8576-atlasnji-bebi-doll-satinia-plus-size/","8576")</f>
      </c>
      <c r="B5387" s="8" t="s">
        <v>5143</v>
      </c>
      <c r="C5387" s="9">
        <v>1673</v>
      </c>
      <c r="D5387" s="0">
        <v>1</v>
      </c>
      <c r="E5387" s="10">
        <f>HYPERLINK("http://www.lingerieopt.ru/images/original/298d02b9-f1c4-41d4-8fe9-0e3e9abf4f8c.jpg","Фото")</f>
      </c>
    </row>
    <row r="5388">
      <c r="A5388" s="7">
        <f>HYPERLINK("http://www.lingerieopt.ru/item/8576-atlasnji-bebi-doll-satinia-plus-size/","8576")</f>
      </c>
      <c r="B5388" s="8" t="s">
        <v>5144</v>
      </c>
      <c r="C5388" s="9">
        <v>1673</v>
      </c>
      <c r="D5388" s="0">
        <v>2</v>
      </c>
      <c r="E5388" s="10">
        <f>HYPERLINK("http://www.lingerieopt.ru/images/original/298d02b9-f1c4-41d4-8fe9-0e3e9abf4f8c.jpg","Фото")</f>
      </c>
    </row>
    <row r="5389">
      <c r="A5389" s="7">
        <f>HYPERLINK("http://www.lingerieopt.ru/item/8576-atlasnji-bebi-doll-satinia-plus-size/","8576")</f>
      </c>
      <c r="B5389" s="8" t="s">
        <v>5145</v>
      </c>
      <c r="C5389" s="9">
        <v>1673</v>
      </c>
      <c r="D5389" s="0">
        <v>1</v>
      </c>
      <c r="E5389" s="10">
        <f>HYPERLINK("http://www.lingerieopt.ru/images/original/298d02b9-f1c4-41d4-8fe9-0e3e9abf4f8c.jpg","Фото")</f>
      </c>
    </row>
    <row r="5390">
      <c r="A5390" s="7">
        <f>HYPERLINK("http://www.lingerieopt.ru/item/8584-poluprozrachnaya-kruzhevnaya-sorochka-purity/","8584")</f>
      </c>
      <c r="B5390" s="8" t="s">
        <v>5146</v>
      </c>
      <c r="C5390" s="9">
        <v>803</v>
      </c>
      <c r="D5390" s="0">
        <v>3</v>
      </c>
      <c r="E5390" s="10">
        <f>HYPERLINK("http://www.lingerieopt.ru/images/original/8c29aa97-3a9c-470e-b758-9ebfd763cef4.jpg","Фото")</f>
      </c>
    </row>
    <row r="5391">
      <c r="A5391" s="7">
        <f>HYPERLINK("http://www.lingerieopt.ru/item/8584-poluprozrachnaya-kruzhevnaya-sorochka-purity/","8584")</f>
      </c>
      <c r="B5391" s="8" t="s">
        <v>5147</v>
      </c>
      <c r="C5391" s="9">
        <v>803</v>
      </c>
      <c r="D5391" s="0">
        <v>6</v>
      </c>
      <c r="E5391" s="10">
        <f>HYPERLINK("http://www.lingerieopt.ru/images/original/8c29aa97-3a9c-470e-b758-9ebfd763cef4.jpg","Фото")</f>
      </c>
    </row>
    <row r="5392">
      <c r="A5392" s="7">
        <f>HYPERLINK("http://www.lingerieopt.ru/item/8584-poluprozrachnaya-kruzhevnaya-sorochka-purity/","8584")</f>
      </c>
      <c r="B5392" s="8" t="s">
        <v>5148</v>
      </c>
      <c r="C5392" s="9">
        <v>803</v>
      </c>
      <c r="D5392" s="0">
        <v>5</v>
      </c>
      <c r="E5392" s="10">
        <f>HYPERLINK("http://www.lingerieopt.ru/images/original/8c29aa97-3a9c-470e-b758-9ebfd763cef4.jpg","Фото")</f>
      </c>
    </row>
    <row r="5393">
      <c r="A5393" s="7">
        <f>HYPERLINK("http://www.lingerieopt.ru/item/8584-poluprozrachnaya-kruzhevnaya-sorochka-purity/","8584")</f>
      </c>
      <c r="B5393" s="8" t="s">
        <v>5149</v>
      </c>
      <c r="C5393" s="9">
        <v>803</v>
      </c>
      <c r="D5393" s="0">
        <v>8</v>
      </c>
      <c r="E5393" s="10">
        <f>HYPERLINK("http://www.lingerieopt.ru/images/original/8c29aa97-3a9c-470e-b758-9ebfd763cef4.jpg","Фото")</f>
      </c>
    </row>
    <row r="5394">
      <c r="A5394" s="7">
        <f>HYPERLINK("http://www.lingerieopt.ru/item/8596-sorochka-rosita-pryamogo-kroya/","8596")</f>
      </c>
      <c r="B5394" s="8" t="s">
        <v>5150</v>
      </c>
      <c r="C5394" s="9">
        <v>1365</v>
      </c>
      <c r="D5394" s="0">
        <v>5</v>
      </c>
      <c r="E5394" s="10">
        <f>HYPERLINK("http://www.lingerieopt.ru/images/original/4ba13645-acd9-4915-a0bd-cddecf7717d1.jpg","Фото")</f>
      </c>
    </row>
    <row r="5395">
      <c r="A5395" s="7">
        <f>HYPERLINK("http://www.lingerieopt.ru/item/8596-sorochka-rosita-pryamogo-kroya/","8596")</f>
      </c>
      <c r="B5395" s="8" t="s">
        <v>5151</v>
      </c>
      <c r="C5395" s="9">
        <v>1365</v>
      </c>
      <c r="D5395" s="0">
        <v>5</v>
      </c>
      <c r="E5395" s="10">
        <f>HYPERLINK("http://www.lingerieopt.ru/images/original/4ba13645-acd9-4915-a0bd-cddecf7717d1.jpg","Фото")</f>
      </c>
    </row>
    <row r="5396">
      <c r="A5396" s="7">
        <f>HYPERLINK("http://www.lingerieopt.ru/item/8600-soblaznitelnaya-sorochka-mary-anne/","8600")</f>
      </c>
      <c r="B5396" s="8" t="s">
        <v>5152</v>
      </c>
      <c r="C5396" s="9">
        <v>1330</v>
      </c>
      <c r="D5396" s="0">
        <v>8</v>
      </c>
      <c r="E5396" s="10">
        <f>HYPERLINK("http://www.lingerieopt.ru/images/original/c9225535-8c2c-45fa-a6ab-43bf07c1d61d.jpg","Фото")</f>
      </c>
    </row>
    <row r="5397">
      <c r="A5397" s="7">
        <f>HYPERLINK("http://www.lingerieopt.ru/item/8600-soblaznitelnaya-sorochka-mary-anne/","8600")</f>
      </c>
      <c r="B5397" s="8" t="s">
        <v>5153</v>
      </c>
      <c r="C5397" s="9">
        <v>1330</v>
      </c>
      <c r="D5397" s="0">
        <v>10</v>
      </c>
      <c r="E5397" s="10">
        <f>HYPERLINK("http://www.lingerieopt.ru/images/original/c9225535-8c2c-45fa-a6ab-43bf07c1d61d.jpg","Фото")</f>
      </c>
    </row>
    <row r="5398">
      <c r="A5398" s="7">
        <f>HYPERLINK("http://www.lingerieopt.ru/item/8611-corochka-coco-s-pikantnjmi-vjrezami-na-pope/","8611")</f>
      </c>
      <c r="B5398" s="8" t="s">
        <v>5154</v>
      </c>
      <c r="C5398" s="9">
        <v>1869</v>
      </c>
      <c r="D5398" s="0">
        <v>3</v>
      </c>
      <c r="E5398" s="10">
        <f>HYPERLINK("http://www.lingerieopt.ru/images/original/be726cb9-c10f-4e12-aeed-332b4ff055c3.jpg","Фото")</f>
      </c>
    </row>
    <row r="5399">
      <c r="A5399" s="7">
        <f>HYPERLINK("http://www.lingerieopt.ru/item/8611-corochka-coco-s-pikantnjmi-vjrezami-na-pope/","8611")</f>
      </c>
      <c r="B5399" s="8" t="s">
        <v>5155</v>
      </c>
      <c r="C5399" s="9">
        <v>1869</v>
      </c>
      <c r="D5399" s="0">
        <v>4</v>
      </c>
      <c r="E5399" s="10">
        <f>HYPERLINK("http://www.lingerieopt.ru/images/original/be726cb9-c10f-4e12-aeed-332b4ff055c3.jpg","Фото")</f>
      </c>
    </row>
    <row r="5400">
      <c r="A5400" s="7">
        <f>HYPERLINK("http://www.lingerieopt.ru/item/8611-corochka-coco-s-pikantnjmi-vjrezami-na-pope/","8611")</f>
      </c>
      <c r="B5400" s="8" t="s">
        <v>5156</v>
      </c>
      <c r="C5400" s="9">
        <v>1869</v>
      </c>
      <c r="D5400" s="0">
        <v>3</v>
      </c>
      <c r="E5400" s="10">
        <f>HYPERLINK("http://www.lingerieopt.ru/images/original/be726cb9-c10f-4e12-aeed-332b4ff055c3.jpg","Фото")</f>
      </c>
    </row>
    <row r="5401">
      <c r="A5401" s="7">
        <f>HYPERLINK("http://www.lingerieopt.ru/item/8611-corochka-coco-s-pikantnjmi-vjrezami-na-pope/","8611")</f>
      </c>
      <c r="B5401" s="8" t="s">
        <v>5157</v>
      </c>
      <c r="C5401" s="9">
        <v>1869</v>
      </c>
      <c r="D5401" s="0">
        <v>4</v>
      </c>
      <c r="E5401" s="10">
        <f>HYPERLINK("http://www.lingerieopt.ru/images/original/be726cb9-c10f-4e12-aeed-332b4ff055c3.jpg","Фото")</f>
      </c>
    </row>
    <row r="5402">
      <c r="A5402" s="7">
        <f>HYPERLINK("http://www.lingerieopt.ru/item/8626-poluprozrachnji-korotenkii-bebi-doll-jessica/","8626")</f>
      </c>
      <c r="B5402" s="8" t="s">
        <v>5158</v>
      </c>
      <c r="C5402" s="9">
        <v>1728</v>
      </c>
      <c r="D5402" s="0">
        <v>1</v>
      </c>
      <c r="E5402" s="10">
        <f>HYPERLINK("http://www.lingerieopt.ru/images/original/8c4f262b-a6b3-4846-aad4-ee6b3e73c21c.jpg","Фото")</f>
      </c>
    </row>
    <row r="5403">
      <c r="A5403" s="7">
        <f>HYPERLINK("http://www.lingerieopt.ru/item/8626-poluprozrachnji-korotenkii-bebi-doll-jessica/","8626")</f>
      </c>
      <c r="B5403" s="8" t="s">
        <v>5159</v>
      </c>
      <c r="C5403" s="9">
        <v>1728</v>
      </c>
      <c r="D5403" s="0">
        <v>5</v>
      </c>
      <c r="E5403" s="10">
        <f>HYPERLINK("http://www.lingerieopt.ru/images/original/8c4f262b-a6b3-4846-aad4-ee6b3e73c21c.jpg","Фото")</f>
      </c>
    </row>
    <row r="5404">
      <c r="A5404" s="7">
        <f>HYPERLINK("http://www.lingerieopt.ru/item/8626-poluprozrachnji-korotenkii-bebi-doll-jessica/","8626")</f>
      </c>
      <c r="B5404" s="8" t="s">
        <v>5160</v>
      </c>
      <c r="C5404" s="9">
        <v>1728</v>
      </c>
      <c r="D5404" s="0">
        <v>0</v>
      </c>
      <c r="E5404" s="10">
        <f>HYPERLINK("http://www.lingerieopt.ru/images/original/8c4f262b-a6b3-4846-aad4-ee6b3e73c21c.jpg","Фото")</f>
      </c>
    </row>
    <row r="5405">
      <c r="A5405" s="7">
        <f>HYPERLINK("http://www.lingerieopt.ru/item/8629-sorochka-sedusia-s-otkrjtoi-spinkoi/","8629")</f>
      </c>
      <c r="B5405" s="8" t="s">
        <v>5161</v>
      </c>
      <c r="C5405" s="9">
        <v>1124</v>
      </c>
      <c r="D5405" s="0">
        <v>0</v>
      </c>
      <c r="E5405" s="10">
        <f>HYPERLINK("http://www.lingerieopt.ru/images/original/e67e36f8-899d-49fc-a4c7-6a36aeea0a0a.jpg","Фото")</f>
      </c>
    </row>
    <row r="5406">
      <c r="A5406" s="7">
        <f>HYPERLINK("http://www.lingerieopt.ru/item/8629-sorochka-sedusia-s-otkrjtoi-spinkoi/","8629")</f>
      </c>
      <c r="B5406" s="8" t="s">
        <v>5162</v>
      </c>
      <c r="C5406" s="9">
        <v>1124</v>
      </c>
      <c r="D5406" s="0">
        <v>3</v>
      </c>
      <c r="E5406" s="10">
        <f>HYPERLINK("http://www.lingerieopt.ru/images/original/e67e36f8-899d-49fc-a4c7-6a36aeea0a0a.jpg","Фото")</f>
      </c>
    </row>
    <row r="5407">
      <c r="A5407" s="7">
        <f>HYPERLINK("http://www.lingerieopt.ru/item/8635-penyuar-satinia-plus-size-s-rukavami-dekorirovannjmi-vjshivkoi/","8635")</f>
      </c>
      <c r="B5407" s="8" t="s">
        <v>5163</v>
      </c>
      <c r="C5407" s="9">
        <v>2358</v>
      </c>
      <c r="D5407" s="0">
        <v>0</v>
      </c>
      <c r="E5407" s="10">
        <f>HYPERLINK("http://www.lingerieopt.ru/images/original/fca15f9d-1fa8-4a7a-bfb3-c1f0f2fec8d8.jpg","Фото")</f>
      </c>
    </row>
    <row r="5408">
      <c r="A5408" s="7">
        <f>HYPERLINK("http://www.lingerieopt.ru/item/8635-penyuar-satinia-plus-size-s-rukavami-dekorirovannjmi-vjshivkoi/","8635")</f>
      </c>
      <c r="B5408" s="8" t="s">
        <v>5164</v>
      </c>
      <c r="C5408" s="9">
        <v>2358</v>
      </c>
      <c r="D5408" s="0">
        <v>2</v>
      </c>
      <c r="E5408" s="10">
        <f>HYPERLINK("http://www.lingerieopt.ru/images/original/fca15f9d-1fa8-4a7a-bfb3-c1f0f2fec8d8.jpg","Фото")</f>
      </c>
    </row>
    <row r="5409">
      <c r="A5409" s="7">
        <f>HYPERLINK("http://www.lingerieopt.ru/item/8635-penyuar-satinia-plus-size-s-rukavami-dekorirovannjmi-vjshivkoi/","8635")</f>
      </c>
      <c r="B5409" s="8" t="s">
        <v>5165</v>
      </c>
      <c r="C5409" s="9">
        <v>2358</v>
      </c>
      <c r="D5409" s="0">
        <v>0</v>
      </c>
      <c r="E5409" s="10">
        <f>HYPERLINK("http://www.lingerieopt.ru/images/original/fca15f9d-1fa8-4a7a-bfb3-c1f0f2fec8d8.jpg","Фото")</f>
      </c>
    </row>
    <row r="5410">
      <c r="A5410" s="7">
        <f>HYPERLINK("http://www.lingerieopt.ru/item/8635-penyuar-satinia-plus-size-s-rukavami-dekorirovannjmi-vjshivkoi/","8635")</f>
      </c>
      <c r="B5410" s="8" t="s">
        <v>5166</v>
      </c>
      <c r="C5410" s="9">
        <v>2358</v>
      </c>
      <c r="D5410" s="0">
        <v>0</v>
      </c>
      <c r="E5410" s="10">
        <f>HYPERLINK("http://www.lingerieopt.ru/images/original/fca15f9d-1fa8-4a7a-bfb3-c1f0f2fec8d8.jpg","Фото")</f>
      </c>
    </row>
    <row r="5411">
      <c r="A5411" s="7">
        <f>HYPERLINK("http://www.lingerieopt.ru/item/8654-prozrachnaya-sorochka-s-businkami-na-life/","8654")</f>
      </c>
      <c r="B5411" s="8" t="s">
        <v>5167</v>
      </c>
      <c r="C5411" s="9">
        <v>1459</v>
      </c>
      <c r="D5411" s="0">
        <v>6</v>
      </c>
      <c r="E5411" s="10">
        <f>HYPERLINK("http://www.lingerieopt.ru/images/original/a9297cc3-dd03-4872-9986-f8d7f3d3e6a0.jpg","Фото")</f>
      </c>
    </row>
    <row r="5412">
      <c r="A5412" s="7">
        <f>HYPERLINK("http://www.lingerieopt.ru/item/8654-prozrachnaya-sorochka-s-businkami-na-life/","8654")</f>
      </c>
      <c r="B5412" s="8" t="s">
        <v>5168</v>
      </c>
      <c r="C5412" s="9">
        <v>1459</v>
      </c>
      <c r="D5412" s="0">
        <v>4</v>
      </c>
      <c r="E5412" s="10">
        <f>HYPERLINK("http://www.lingerieopt.ru/images/original/a9297cc3-dd03-4872-9986-f8d7f3d3e6a0.jpg","Фото")</f>
      </c>
    </row>
    <row r="5413">
      <c r="A5413" s="7">
        <f>HYPERLINK("http://www.lingerieopt.ru/item/8656-sorochka-moketta-plus-size-s-azhurnjm-verhom/","8656")</f>
      </c>
      <c r="B5413" s="8" t="s">
        <v>5169</v>
      </c>
      <c r="C5413" s="9">
        <v>1841</v>
      </c>
      <c r="D5413" s="0">
        <v>8</v>
      </c>
      <c r="E5413" s="10">
        <f>HYPERLINK("http://www.lingerieopt.ru/images/original/c0ae2308-e13a-47b7-9bb4-3992fd78cd94.jpg","Фото")</f>
      </c>
    </row>
    <row r="5414">
      <c r="A5414" s="7">
        <f>HYPERLINK("http://www.lingerieopt.ru/item/8665-oblegayuschaya-sorochka-yalika/","8665")</f>
      </c>
      <c r="B5414" s="8" t="s">
        <v>5170</v>
      </c>
      <c r="C5414" s="9">
        <v>1728</v>
      </c>
      <c r="D5414" s="0">
        <v>0</v>
      </c>
      <c r="E5414" s="10">
        <f>HYPERLINK("http://www.lingerieopt.ru/images/original/53e15a88-5ec1-4870-993a-eaaf41b649c7.jpg","Фото")</f>
      </c>
    </row>
    <row r="5415">
      <c r="A5415" s="7">
        <f>HYPERLINK("http://www.lingerieopt.ru/item/8665-oblegayuschaya-sorochka-yalika/","8665")</f>
      </c>
      <c r="B5415" s="8" t="s">
        <v>5171</v>
      </c>
      <c r="C5415" s="9">
        <v>1728</v>
      </c>
      <c r="D5415" s="0">
        <v>3</v>
      </c>
      <c r="E5415" s="10">
        <f>HYPERLINK("http://www.lingerieopt.ru/images/original/53e15a88-5ec1-4870-993a-eaaf41b649c7.jpg","Фото")</f>
      </c>
    </row>
    <row r="5416">
      <c r="A5416" s="7">
        <f>HYPERLINK("http://www.lingerieopt.ru/item/8665-oblegayuschaya-sorochka-yalika/","8665")</f>
      </c>
      <c r="B5416" s="8" t="s">
        <v>5172</v>
      </c>
      <c r="C5416" s="9">
        <v>1728</v>
      </c>
      <c r="D5416" s="0">
        <v>0</v>
      </c>
      <c r="E5416" s="10">
        <f>HYPERLINK("http://www.lingerieopt.ru/images/original/53e15a88-5ec1-4870-993a-eaaf41b649c7.jpg","Фото")</f>
      </c>
    </row>
    <row r="5417">
      <c r="A5417" s="7">
        <f>HYPERLINK("http://www.lingerieopt.ru/item/8666-prozrachnaya-sorochka-abisara/","8666")</f>
      </c>
      <c r="B5417" s="8" t="s">
        <v>5173</v>
      </c>
      <c r="C5417" s="9">
        <v>1063</v>
      </c>
      <c r="D5417" s="0">
        <v>5</v>
      </c>
      <c r="E5417" s="10">
        <f>HYPERLINK("http://www.lingerieopt.ru/images/original/58907c0e-0221-4b69-a2f9-97e51c96a84f.jpg","Фото")</f>
      </c>
    </row>
    <row r="5418">
      <c r="A5418" s="7">
        <f>HYPERLINK("http://www.lingerieopt.ru/item/8666-prozrachnaya-sorochka-abisara/","8666")</f>
      </c>
      <c r="B5418" s="8" t="s">
        <v>5174</v>
      </c>
      <c r="C5418" s="9">
        <v>1063</v>
      </c>
      <c r="D5418" s="0">
        <v>5</v>
      </c>
      <c r="E5418" s="10">
        <f>HYPERLINK("http://www.lingerieopt.ru/images/original/58907c0e-0221-4b69-a2f9-97e51c96a84f.jpg","Фото")</f>
      </c>
    </row>
    <row r="5419">
      <c r="A5419" s="7">
        <f>HYPERLINK("http://www.lingerieopt.ru/item/8666-prozrachnaya-sorochka-abisara/","8666")</f>
      </c>
      <c r="B5419" s="8" t="s">
        <v>5175</v>
      </c>
      <c r="C5419" s="9">
        <v>1063</v>
      </c>
      <c r="D5419" s="0">
        <v>4</v>
      </c>
      <c r="E5419" s="10">
        <f>HYPERLINK("http://www.lingerieopt.ru/images/original/58907c0e-0221-4b69-a2f9-97e51c96a84f.jpg","Фото")</f>
      </c>
    </row>
    <row r="5420">
      <c r="A5420" s="7">
        <f>HYPERLINK("http://www.lingerieopt.ru/item/8666-prozrachnaya-sorochka-abisara/","8666")</f>
      </c>
      <c r="B5420" s="8" t="s">
        <v>5176</v>
      </c>
      <c r="C5420" s="9">
        <v>1063</v>
      </c>
      <c r="D5420" s="0">
        <v>4</v>
      </c>
      <c r="E5420" s="10">
        <f>HYPERLINK("http://www.lingerieopt.ru/images/original/58907c0e-0221-4b69-a2f9-97e51c96a84f.jpg","Фото")</f>
      </c>
    </row>
    <row r="5421">
      <c r="A5421" s="7">
        <f>HYPERLINK("http://www.lingerieopt.ru/item/8667-kruzhevnaya-sorochka-aeris-s-kontrastnoi-otdelkoi/","8667")</f>
      </c>
      <c r="B5421" s="8" t="s">
        <v>5177</v>
      </c>
      <c r="C5421" s="9">
        <v>1362</v>
      </c>
      <c r="D5421" s="0">
        <v>1</v>
      </c>
      <c r="E5421" s="10">
        <f>HYPERLINK("http://www.lingerieopt.ru/images/original/b34feb77-70b6-4671-9425-5b763857b131.jpg","Фото")</f>
      </c>
    </row>
    <row r="5422">
      <c r="A5422" s="7">
        <f>HYPERLINK("http://www.lingerieopt.ru/item/8667-kruzhevnaya-sorochka-aeris-s-kontrastnoi-otdelkoi/","8667")</f>
      </c>
      <c r="B5422" s="8" t="s">
        <v>5178</v>
      </c>
      <c r="C5422" s="9">
        <v>1362</v>
      </c>
      <c r="D5422" s="0">
        <v>2</v>
      </c>
      <c r="E5422" s="10">
        <f>HYPERLINK("http://www.lingerieopt.ru/images/original/b34feb77-70b6-4671-9425-5b763857b131.jpg","Фото")</f>
      </c>
    </row>
    <row r="5423">
      <c r="A5423" s="7">
        <f>HYPERLINK("http://www.lingerieopt.ru/item/8667-kruzhevnaya-sorochka-aeris-s-kontrastnoi-otdelkoi/","8667")</f>
      </c>
      <c r="B5423" s="8" t="s">
        <v>5179</v>
      </c>
      <c r="C5423" s="9">
        <v>1362</v>
      </c>
      <c r="D5423" s="0">
        <v>5</v>
      </c>
      <c r="E5423" s="10">
        <f>HYPERLINK("http://www.lingerieopt.ru/images/original/b34feb77-70b6-4671-9425-5b763857b131.jpg","Фото")</f>
      </c>
    </row>
    <row r="5424">
      <c r="A5424" s="7">
        <f>HYPERLINK("http://www.lingerieopt.ru/item/8667-kruzhevnaya-sorochka-aeris-s-kontrastnoi-otdelkoi/","8667")</f>
      </c>
      <c r="B5424" s="8" t="s">
        <v>5180</v>
      </c>
      <c r="C5424" s="9">
        <v>1362</v>
      </c>
      <c r="D5424" s="0">
        <v>2</v>
      </c>
      <c r="E5424" s="10">
        <f>HYPERLINK("http://www.lingerieopt.ru/images/original/b34feb77-70b6-4671-9425-5b763857b131.jpg","Фото")</f>
      </c>
    </row>
    <row r="5425">
      <c r="A5425" s="7">
        <f>HYPERLINK("http://www.lingerieopt.ru/item/8674-poluprozrachnaya-sorochka-alma-s-kruzhevnoi-otorochkoi/","8674")</f>
      </c>
      <c r="B5425" s="8" t="s">
        <v>5181</v>
      </c>
      <c r="C5425" s="9">
        <v>1232</v>
      </c>
      <c r="D5425" s="0">
        <v>0</v>
      </c>
      <c r="E5425" s="10">
        <f>HYPERLINK("http://www.lingerieopt.ru/images/original/f8092b8a-fa12-465a-b481-788b5728fb45.jpg","Фото")</f>
      </c>
    </row>
    <row r="5426">
      <c r="A5426" s="7">
        <f>HYPERLINK("http://www.lingerieopt.ru/item/8674-poluprozrachnaya-sorochka-alma-s-kruzhevnoi-otorochkoi/","8674")</f>
      </c>
      <c r="B5426" s="8" t="s">
        <v>5182</v>
      </c>
      <c r="C5426" s="9">
        <v>1232</v>
      </c>
      <c r="D5426" s="0">
        <v>3</v>
      </c>
      <c r="E5426" s="10">
        <f>HYPERLINK("http://www.lingerieopt.ru/images/original/f8092b8a-fa12-465a-b481-788b5728fb45.jpg","Фото")</f>
      </c>
    </row>
    <row r="5427">
      <c r="A5427" s="7">
        <f>HYPERLINK("http://www.lingerieopt.ru/item/8674-poluprozrachnaya-sorochka-alma-s-kruzhevnoi-otorochkoi/","8674")</f>
      </c>
      <c r="B5427" s="8" t="s">
        <v>5183</v>
      </c>
      <c r="C5427" s="9">
        <v>1232</v>
      </c>
      <c r="D5427" s="0">
        <v>4</v>
      </c>
      <c r="E5427" s="10">
        <f>HYPERLINK("http://www.lingerieopt.ru/images/original/f8092b8a-fa12-465a-b481-788b5728fb45.jpg","Фото")</f>
      </c>
    </row>
    <row r="5428">
      <c r="A5428" s="7">
        <f>HYPERLINK("http://www.lingerieopt.ru/item/8674-poluprozrachnaya-sorochka-alma-s-kruzhevnoi-otorochkoi/","8674")</f>
      </c>
      <c r="B5428" s="8" t="s">
        <v>5184</v>
      </c>
      <c r="C5428" s="9">
        <v>1232</v>
      </c>
      <c r="D5428" s="0">
        <v>2</v>
      </c>
      <c r="E5428" s="10">
        <f>HYPERLINK("http://www.lingerieopt.ru/images/original/f8092b8a-fa12-465a-b481-788b5728fb45.jpg","Фото")</f>
      </c>
    </row>
    <row r="5429">
      <c r="A5429" s="7">
        <f>HYPERLINK("http://www.lingerieopt.ru/item/8681-penyuar-miamor-plus-size-s-korotkimi-rukavami/","8681")</f>
      </c>
      <c r="B5429" s="8" t="s">
        <v>5185</v>
      </c>
      <c r="C5429" s="9">
        <v>2407</v>
      </c>
      <c r="D5429" s="0">
        <v>2</v>
      </c>
      <c r="E5429" s="10">
        <f>HYPERLINK("http://www.lingerieopt.ru/images/original/07d967bc-86dc-4816-8a61-620a236faac8.jpg","Фото")</f>
      </c>
    </row>
    <row r="5430">
      <c r="A5430" s="7">
        <f>HYPERLINK("http://www.lingerieopt.ru/item/8688-penyuar-lovan-plus-size-s-udlinennjmi-rukavchikami/","8688")</f>
      </c>
      <c r="B5430" s="8" t="s">
        <v>5186</v>
      </c>
      <c r="C5430" s="9">
        <v>1232</v>
      </c>
      <c r="D5430" s="0">
        <v>4</v>
      </c>
      <c r="E5430" s="10">
        <f>HYPERLINK("http://www.lingerieopt.ru/images/original/d775e2d4-22fd-4b9c-9589-8e274f393ba9.jpg","Фото")</f>
      </c>
    </row>
    <row r="5431">
      <c r="A5431" s="7">
        <f>HYPERLINK("http://www.lingerieopt.ru/item/8688-penyuar-lovan-plus-size-s-udlinennjmi-rukavchikami/","8688")</f>
      </c>
      <c r="B5431" s="8" t="s">
        <v>5187</v>
      </c>
      <c r="C5431" s="9">
        <v>1232</v>
      </c>
      <c r="D5431" s="0">
        <v>4</v>
      </c>
      <c r="E5431" s="10">
        <f>HYPERLINK("http://www.lingerieopt.ru/images/original/d775e2d4-22fd-4b9c-9589-8e274f393ba9.jpg","Фото")</f>
      </c>
    </row>
    <row r="5432">
      <c r="A5432" s="7">
        <f>HYPERLINK("http://www.lingerieopt.ru/item/8690-bebi-doll-akena-s-ryushami/","8690")</f>
      </c>
      <c r="B5432" s="8" t="s">
        <v>5188</v>
      </c>
      <c r="C5432" s="9">
        <v>1313</v>
      </c>
      <c r="D5432" s="0">
        <v>2</v>
      </c>
      <c r="E5432" s="10">
        <f>HYPERLINK("http://www.lingerieopt.ru/images/original/0f395ff1-55b1-4668-9440-f25745385662.jpg","Фото")</f>
      </c>
    </row>
    <row r="5433">
      <c r="A5433" s="7">
        <f>HYPERLINK("http://www.lingerieopt.ru/item/8690-bebi-doll-akena-s-ryushami/","8690")</f>
      </c>
      <c r="B5433" s="8" t="s">
        <v>5189</v>
      </c>
      <c r="C5433" s="9">
        <v>1313</v>
      </c>
      <c r="D5433" s="0">
        <v>3</v>
      </c>
      <c r="E5433" s="10">
        <f>HYPERLINK("http://www.lingerieopt.ru/images/original/0f395ff1-55b1-4668-9440-f25745385662.jpg","Фото")</f>
      </c>
    </row>
    <row r="5434">
      <c r="A5434" s="7">
        <f>HYPERLINK("http://www.lingerieopt.ru/item/8690-bebi-doll-akena-s-ryushami/","8690")</f>
      </c>
      <c r="B5434" s="8" t="s">
        <v>5190</v>
      </c>
      <c r="C5434" s="9">
        <v>1313</v>
      </c>
      <c r="D5434" s="0">
        <v>3</v>
      </c>
      <c r="E5434" s="10">
        <f>HYPERLINK("http://www.lingerieopt.ru/images/original/0f395ff1-55b1-4668-9440-f25745385662.jpg","Фото")</f>
      </c>
    </row>
    <row r="5435">
      <c r="A5435" s="7">
        <f>HYPERLINK("http://www.lingerieopt.ru/item/8690-bebi-doll-akena-s-ryushami/","8690")</f>
      </c>
      <c r="B5435" s="8" t="s">
        <v>5191</v>
      </c>
      <c r="C5435" s="9">
        <v>1313</v>
      </c>
      <c r="D5435" s="0">
        <v>4</v>
      </c>
      <c r="E5435" s="10">
        <f>HYPERLINK("http://www.lingerieopt.ru/images/original/0f395ff1-55b1-4668-9440-f25745385662.jpg","Фото")</f>
      </c>
    </row>
    <row r="5436">
      <c r="A5436" s="7">
        <f>HYPERLINK("http://www.lingerieopt.ru/item/8695-prozrachnaya-sorochka-bondy-plus-size-s-cepochkami/","8695")</f>
      </c>
      <c r="B5436" s="8" t="s">
        <v>5192</v>
      </c>
      <c r="C5436" s="9">
        <v>1368</v>
      </c>
      <c r="D5436" s="0">
        <v>5</v>
      </c>
      <c r="E5436" s="10">
        <f>HYPERLINK("http://www.lingerieopt.ru/images/original/2a147dc1-a0fb-47b0-a8fe-3177944a7033.jpg","Фото")</f>
      </c>
    </row>
    <row r="5437">
      <c r="A5437" s="7">
        <f>HYPERLINK("http://www.lingerieopt.ru/item/8729-penyuar-brida-s-poluprozrachnoi-cvetochnoi-vstavkoi-na-spinke/","8729")</f>
      </c>
      <c r="B5437" s="8" t="s">
        <v>5193</v>
      </c>
      <c r="C5437" s="9">
        <v>2518</v>
      </c>
      <c r="D5437" s="0">
        <v>5</v>
      </c>
      <c r="E5437" s="10">
        <f>HYPERLINK("http://www.lingerieopt.ru/images/original/6f0f0ecc-38c6-4d73-841d-422e4952b9be.jpg","Фото")</f>
      </c>
    </row>
    <row r="5438">
      <c r="A5438" s="7">
        <f>HYPERLINK("http://www.lingerieopt.ru/item/8729-penyuar-brida-s-poluprozrachnoi-cvetochnoi-vstavkoi-na-spinke/","8729")</f>
      </c>
      <c r="B5438" s="8" t="s">
        <v>5194</v>
      </c>
      <c r="C5438" s="9">
        <v>2518</v>
      </c>
      <c r="D5438" s="0">
        <v>7</v>
      </c>
      <c r="E5438" s="10">
        <f>HYPERLINK("http://www.lingerieopt.ru/images/original/6f0f0ecc-38c6-4d73-841d-422e4952b9be.jpg","Фото")</f>
      </c>
    </row>
    <row r="5439">
      <c r="A5439" s="7">
        <f>HYPERLINK("http://www.lingerieopt.ru/item/8730-penyuar-brida-plus-size-s-poluprozrachnoi-vstavkoi-na-spinke/","8730")</f>
      </c>
      <c r="B5439" s="8" t="s">
        <v>5195</v>
      </c>
      <c r="C5439" s="9">
        <v>2518</v>
      </c>
      <c r="D5439" s="0">
        <v>2</v>
      </c>
      <c r="E5439" s="10">
        <f>HYPERLINK("http://www.lingerieopt.ru/images/original/fbb61f21-151c-482d-a53f-76384d0d9d9e.jpg","Фото")</f>
      </c>
    </row>
    <row r="5440">
      <c r="A5440" s="7">
        <f>HYPERLINK("http://www.lingerieopt.ru/item/8736-soblaznitelnji-penyuar-lotus/","8736")</f>
      </c>
      <c r="B5440" s="8" t="s">
        <v>5196</v>
      </c>
      <c r="C5440" s="9">
        <v>2610</v>
      </c>
      <c r="D5440" s="0">
        <v>6</v>
      </c>
      <c r="E5440" s="10">
        <f>HYPERLINK("http://www.lingerieopt.ru/images/original/cb42564f-8ca1-4c9f-bc7b-eee55b6ec711.jpg","Фото")</f>
      </c>
    </row>
    <row r="5441">
      <c r="A5441" s="7">
        <f>HYPERLINK("http://www.lingerieopt.ru/item/8736-soblaznitelnji-penyuar-lotus/","8736")</f>
      </c>
      <c r="B5441" s="8" t="s">
        <v>5197</v>
      </c>
      <c r="C5441" s="9">
        <v>2610</v>
      </c>
      <c r="D5441" s="0">
        <v>9</v>
      </c>
      <c r="E5441" s="10">
        <f>HYPERLINK("http://www.lingerieopt.ru/images/original/cb42564f-8ca1-4c9f-bc7b-eee55b6ec711.jpg","Фото")</f>
      </c>
    </row>
    <row r="5442">
      <c r="A5442" s="7">
        <f>HYPERLINK("http://www.lingerieopt.ru/item/8777-nezhnaya-nochnaya-sorochka/","8777")</f>
      </c>
      <c r="B5442" s="8" t="s">
        <v>5198</v>
      </c>
      <c r="C5442" s="9">
        <v>1520</v>
      </c>
      <c r="D5442" s="0">
        <v>0</v>
      </c>
      <c r="E5442" s="10">
        <f>HYPERLINK("http://www.lingerieopt.ru/images/original/fc82a919-749c-4a42-8381-8eced6268606.jpg","Фото")</f>
      </c>
    </row>
    <row r="5443">
      <c r="A5443" s="7">
        <f>HYPERLINK("http://www.lingerieopt.ru/item/8777-nezhnaya-nochnaya-sorochka/","8777")</f>
      </c>
      <c r="B5443" s="8" t="s">
        <v>5199</v>
      </c>
      <c r="C5443" s="9">
        <v>1520</v>
      </c>
      <c r="D5443" s="0">
        <v>0</v>
      </c>
      <c r="E5443" s="10">
        <f>HYPERLINK("http://www.lingerieopt.ru/images/original/fc82a919-749c-4a42-8381-8eced6268606.jpg","Фото")</f>
      </c>
    </row>
    <row r="5444">
      <c r="A5444" s="7">
        <f>HYPERLINK("http://www.lingerieopt.ru/item/8777-nezhnaya-nochnaya-sorochka/","8777")</f>
      </c>
      <c r="B5444" s="8" t="s">
        <v>5200</v>
      </c>
      <c r="C5444" s="9">
        <v>1520</v>
      </c>
      <c r="D5444" s="0">
        <v>1</v>
      </c>
      <c r="E5444" s="10">
        <f>HYPERLINK("http://www.lingerieopt.ru/images/original/fc82a919-749c-4a42-8381-8eced6268606.jpg","Фото")</f>
      </c>
    </row>
    <row r="5445">
      <c r="A5445" s="7">
        <f>HYPERLINK("http://www.lingerieopt.ru/item/8777-nezhnaya-nochnaya-sorochka/","8777")</f>
      </c>
      <c r="B5445" s="8" t="s">
        <v>5201</v>
      </c>
      <c r="C5445" s="9">
        <v>1520</v>
      </c>
      <c r="D5445" s="0">
        <v>2</v>
      </c>
      <c r="E5445" s="10">
        <f>HYPERLINK("http://www.lingerieopt.ru/images/original/fc82a919-749c-4a42-8381-8eced6268606.jpg","Фото")</f>
      </c>
    </row>
    <row r="5446">
      <c r="A5446" s="7">
        <f>HYPERLINK("http://www.lingerieopt.ru/item/8778-sorochka-montana-s-setchatjmi-vstavkami/","8778")</f>
      </c>
      <c r="B5446" s="8" t="s">
        <v>5202</v>
      </c>
      <c r="C5446" s="9">
        <v>1978</v>
      </c>
      <c r="D5446" s="0">
        <v>4</v>
      </c>
      <c r="E5446" s="10">
        <f>HYPERLINK("http://www.lingerieopt.ru/images/original/7cc2bcad-7fdd-4818-b651-46a79ce7dc85.jpg","Фото")</f>
      </c>
    </row>
    <row r="5447">
      <c r="A5447" s="7">
        <f>HYPERLINK("http://www.lingerieopt.ru/item/8778-sorochka-montana-s-setchatjmi-vstavkami/","8778")</f>
      </c>
      <c r="B5447" s="8" t="s">
        <v>5203</v>
      </c>
      <c r="C5447" s="9">
        <v>1978</v>
      </c>
      <c r="D5447" s="0">
        <v>5</v>
      </c>
      <c r="E5447" s="10">
        <f>HYPERLINK("http://www.lingerieopt.ru/images/original/7cc2bcad-7fdd-4818-b651-46a79ce7dc85.jpg","Фото")</f>
      </c>
    </row>
    <row r="5448">
      <c r="A5448" s="7">
        <f>HYPERLINK("http://www.lingerieopt.ru/item/8787-bebi-doll-adolla-s-otkrjtoi-spinkoi/","8787")</f>
      </c>
      <c r="B5448" s="8" t="s">
        <v>5204</v>
      </c>
      <c r="C5448" s="9">
        <v>992</v>
      </c>
      <c r="D5448" s="0">
        <v>4</v>
      </c>
      <c r="E5448" s="10">
        <f>HYPERLINK("http://www.lingerieopt.ru/images/original/5c4232fd-747d-4245-90d2-3598d3f5f757.jpg","Фото")</f>
      </c>
    </row>
    <row r="5449">
      <c r="A5449" s="7">
        <f>HYPERLINK("http://www.lingerieopt.ru/item/8787-bebi-doll-adolla-s-otkrjtoi-spinkoi/","8787")</f>
      </c>
      <c r="B5449" s="8" t="s">
        <v>5205</v>
      </c>
      <c r="C5449" s="9">
        <v>992</v>
      </c>
      <c r="D5449" s="0">
        <v>1</v>
      </c>
      <c r="E5449" s="10">
        <f>HYPERLINK("http://www.lingerieopt.ru/images/original/5c4232fd-747d-4245-90d2-3598d3f5f757.jpg","Фото")</f>
      </c>
    </row>
    <row r="5450">
      <c r="A5450" s="7">
        <f>HYPERLINK("http://www.lingerieopt.ru/item/8787-bebi-doll-adolla-s-otkrjtoi-spinkoi/","8787")</f>
      </c>
      <c r="B5450" s="8" t="s">
        <v>5206</v>
      </c>
      <c r="C5450" s="9">
        <v>992</v>
      </c>
      <c r="D5450" s="0">
        <v>2</v>
      </c>
      <c r="E5450" s="10">
        <f>HYPERLINK("http://www.lingerieopt.ru/images/original/5c4232fd-747d-4245-90d2-3598d3f5f757.jpg","Фото")</f>
      </c>
    </row>
    <row r="5451">
      <c r="A5451" s="7">
        <f>HYPERLINK("http://www.lingerieopt.ru/item/8790-sorochka-suelo-s-kontrastnoi-kruzhevnoi-otdelkoi/","8790")</f>
      </c>
      <c r="B5451" s="8" t="s">
        <v>5207</v>
      </c>
      <c r="C5451" s="9">
        <v>2058</v>
      </c>
      <c r="D5451" s="0">
        <v>1</v>
      </c>
      <c r="E5451" s="10">
        <f>HYPERLINK("http://www.lingerieopt.ru/images/original/72ac832f-58e9-4df3-8c8f-6448653bfd1e.jpg","Фото")</f>
      </c>
    </row>
    <row r="5452">
      <c r="A5452" s="7">
        <f>HYPERLINK("http://www.lingerieopt.ru/item/8790-sorochka-suelo-s-kontrastnoi-kruzhevnoi-otdelkoi/","8790")</f>
      </c>
      <c r="B5452" s="8" t="s">
        <v>5208</v>
      </c>
      <c r="C5452" s="9">
        <v>2058</v>
      </c>
      <c r="D5452" s="0">
        <v>2</v>
      </c>
      <c r="E5452" s="10">
        <f>HYPERLINK("http://www.lingerieopt.ru/images/original/72ac832f-58e9-4df3-8c8f-6448653bfd1e.jpg","Фото")</f>
      </c>
    </row>
    <row r="5453">
      <c r="A5453" s="7">
        <f>HYPERLINK("http://www.lingerieopt.ru/item/8791-sorochka-suelo-plus-size-s-kontrastnoi-azhurnoi-otdelkoi/","8791")</f>
      </c>
      <c r="B5453" s="8" t="s">
        <v>5209</v>
      </c>
      <c r="C5453" s="9">
        <v>2058</v>
      </c>
      <c r="D5453" s="0">
        <v>2</v>
      </c>
      <c r="E5453" s="10">
        <f>HYPERLINK("http://www.lingerieopt.ru/images/original/71f96438-f515-4165-8059-24b4ba5c7b4f.jpg","Фото")</f>
      </c>
    </row>
    <row r="5454">
      <c r="A5454" s="7">
        <f>HYPERLINK("http://www.lingerieopt.ru/item/8797-prozrachnji-bebi-doll-nadya/","8797")</f>
      </c>
      <c r="B5454" s="8" t="s">
        <v>5210</v>
      </c>
      <c r="C5454" s="9">
        <v>1299</v>
      </c>
      <c r="D5454" s="0">
        <v>5</v>
      </c>
      <c r="E5454" s="10">
        <f>HYPERLINK("http://www.lingerieopt.ru/images/original/c85ff88d-e7b1-4036-a439-6ecddf3662b2.jpg","Фото")</f>
      </c>
    </row>
    <row r="5455">
      <c r="A5455" s="7">
        <f>HYPERLINK("http://www.lingerieopt.ru/item/8797-prozrachnji-bebi-doll-nadya/","8797")</f>
      </c>
      <c r="B5455" s="8" t="s">
        <v>5211</v>
      </c>
      <c r="C5455" s="9">
        <v>1299</v>
      </c>
      <c r="D5455" s="0">
        <v>5</v>
      </c>
      <c r="E5455" s="10">
        <f>HYPERLINK("http://www.lingerieopt.ru/images/original/c85ff88d-e7b1-4036-a439-6ecddf3662b2.jpg","Фото")</f>
      </c>
    </row>
    <row r="5456">
      <c r="A5456" s="7">
        <f>HYPERLINK("http://www.lingerieopt.ru/item/8800-kruzhevnaya-sorochka-sinopa-s-krasivjm-dekolte/","8800")</f>
      </c>
      <c r="B5456" s="8" t="s">
        <v>5212</v>
      </c>
      <c r="C5456" s="9">
        <v>1267</v>
      </c>
      <c r="D5456" s="0">
        <v>10</v>
      </c>
      <c r="E5456" s="10">
        <f>HYPERLINK("http://www.lingerieopt.ru/images/original/aac2c9f1-211f-4730-8d89-6017394fbb6c.jpg","Фото")</f>
      </c>
    </row>
    <row r="5457">
      <c r="A5457" s="7">
        <f>HYPERLINK("http://www.lingerieopt.ru/item/8800-kruzhevnaya-sorochka-sinopa-s-krasivjm-dekolte/","8800")</f>
      </c>
      <c r="B5457" s="8" t="s">
        <v>5213</v>
      </c>
      <c r="C5457" s="9">
        <v>1267</v>
      </c>
      <c r="D5457" s="0">
        <v>15</v>
      </c>
      <c r="E5457" s="10">
        <f>HYPERLINK("http://www.lingerieopt.ru/images/original/aac2c9f1-211f-4730-8d89-6017394fbb6c.jpg","Фото")</f>
      </c>
    </row>
    <row r="5458">
      <c r="A5458" s="7">
        <f>HYPERLINK("http://www.lingerieopt.ru/item/8800-kruzhevnaya-sorochka-sinopa-s-krasivjm-dekolte/","8800")</f>
      </c>
      <c r="B5458" s="8" t="s">
        <v>5214</v>
      </c>
      <c r="C5458" s="9">
        <v>1267</v>
      </c>
      <c r="D5458" s="0">
        <v>9</v>
      </c>
      <c r="E5458" s="10">
        <f>HYPERLINK("http://www.lingerieopt.ru/images/original/aac2c9f1-211f-4730-8d89-6017394fbb6c.jpg","Фото")</f>
      </c>
    </row>
    <row r="5459">
      <c r="A5459" s="7">
        <f>HYPERLINK("http://www.lingerieopt.ru/item/8801-oblegayuschaya-poluprozrachnaya-sorochka-tanise-s-otkrjtoi-spinoi/","8801")</f>
      </c>
      <c r="B5459" s="8" t="s">
        <v>5215</v>
      </c>
      <c r="C5459" s="9">
        <v>2095</v>
      </c>
      <c r="D5459" s="0">
        <v>9</v>
      </c>
      <c r="E5459" s="10">
        <f>HYPERLINK("http://www.lingerieopt.ru/images/original/e94c0fbe-ee2f-4d44-a423-8a9112428bf3.jpg","Фото")</f>
      </c>
    </row>
    <row r="5460">
      <c r="A5460" s="7">
        <f>HYPERLINK("http://www.lingerieopt.ru/item/8801-oblegayuschaya-poluprozrachnaya-sorochka-tanise-s-otkrjtoi-spinoi/","8801")</f>
      </c>
      <c r="B5460" s="8" t="s">
        <v>5216</v>
      </c>
      <c r="C5460" s="9">
        <v>2095</v>
      </c>
      <c r="D5460" s="0">
        <v>11</v>
      </c>
      <c r="E5460" s="10">
        <f>HYPERLINK("http://www.lingerieopt.ru/images/original/e94c0fbe-ee2f-4d44-a423-8a9112428bf3.jpg","Фото")</f>
      </c>
    </row>
    <row r="5461">
      <c r="A5461" s="7">
        <f>HYPERLINK("http://www.lingerieopt.ru/item/8801-oblegayuschaya-poluprozrachnaya-sorochka-tanise-s-otkrjtoi-spinoi/","8801")</f>
      </c>
      <c r="B5461" s="8" t="s">
        <v>5217</v>
      </c>
      <c r="C5461" s="9">
        <v>2095</v>
      </c>
      <c r="D5461" s="0">
        <v>11</v>
      </c>
      <c r="E5461" s="10">
        <f>HYPERLINK("http://www.lingerieopt.ru/images/original/e94c0fbe-ee2f-4d44-a423-8a9112428bf3.jpg","Фото")</f>
      </c>
    </row>
    <row r="5462">
      <c r="A5462" s="7">
        <f>HYPERLINK("http://www.lingerieopt.ru/item/8802-nochnaya-sorochka-v-rubchik-s-cvetochnjm-uzorom/","8802")</f>
      </c>
      <c r="B5462" s="8" t="s">
        <v>5218</v>
      </c>
      <c r="C5462" s="9">
        <v>1169</v>
      </c>
      <c r="D5462" s="0">
        <v>2</v>
      </c>
      <c r="E5462" s="10">
        <f>HYPERLINK("http://www.lingerieopt.ru/images/original/7f03d8c2-23a6-4db1-a90d-18517354f7e2.jpg","Фото")</f>
      </c>
    </row>
    <row r="5463">
      <c r="A5463" s="7">
        <f>HYPERLINK("http://www.lingerieopt.ru/item/8804-nezhnaya-melanzhevaya-nochnaya-sorochka/","8804")</f>
      </c>
      <c r="B5463" s="8" t="s">
        <v>5219</v>
      </c>
      <c r="C5463" s="9">
        <v>1308</v>
      </c>
      <c r="D5463" s="0">
        <v>1</v>
      </c>
      <c r="E5463" s="10">
        <f>HYPERLINK("http://www.lingerieopt.ru/images/original/bd9f786e-3268-42a0-857d-4a230575c157.jpg","Фото")</f>
      </c>
    </row>
    <row r="5464">
      <c r="A5464" s="7">
        <f>HYPERLINK("http://www.lingerieopt.ru/item/8810-oblegayuschaya-sorochka-pauline/","8810")</f>
      </c>
      <c r="B5464" s="8" t="s">
        <v>5220</v>
      </c>
      <c r="C5464" s="9">
        <v>1299</v>
      </c>
      <c r="D5464" s="0">
        <v>8</v>
      </c>
      <c r="E5464" s="10">
        <f>HYPERLINK("http://www.lingerieopt.ru/images/original/ddac099f-85aa-44f2-9006-ce542b88927d.jpg","Фото")</f>
      </c>
    </row>
    <row r="5465">
      <c r="A5465" s="7">
        <f>HYPERLINK("http://www.lingerieopt.ru/item/8810-oblegayuschaya-sorochka-pauline/","8810")</f>
      </c>
      <c r="B5465" s="8" t="s">
        <v>5221</v>
      </c>
      <c r="C5465" s="9">
        <v>1299</v>
      </c>
      <c r="D5465" s="0">
        <v>7</v>
      </c>
      <c r="E5465" s="10">
        <f>HYPERLINK("http://www.lingerieopt.ru/images/original/ddac099f-85aa-44f2-9006-ce542b88927d.jpg","Фото")</f>
      </c>
    </row>
    <row r="5466">
      <c r="A5466" s="7">
        <f>HYPERLINK("http://www.lingerieopt.ru/item/8811-korotenkaya-sorochka-viola-s-cvetochnjm-kruzhevom/","8811")</f>
      </c>
      <c r="B5466" s="8" t="s">
        <v>5222</v>
      </c>
      <c r="C5466" s="9">
        <v>1852</v>
      </c>
      <c r="D5466" s="0">
        <v>3</v>
      </c>
      <c r="E5466" s="10">
        <f>HYPERLINK("http://www.lingerieopt.ru/images/original/352af051-b1a9-4fcc-9ed1-a0bba320c5d7.jpg","Фото")</f>
      </c>
    </row>
    <row r="5467">
      <c r="A5467" s="7">
        <f>HYPERLINK("http://www.lingerieopt.ru/item/8811-korotenkaya-sorochka-viola-s-cvetochnjm-kruzhevom/","8811")</f>
      </c>
      <c r="B5467" s="8" t="s">
        <v>5223</v>
      </c>
      <c r="C5467" s="9">
        <v>1852</v>
      </c>
      <c r="D5467" s="0">
        <v>3</v>
      </c>
      <c r="E5467" s="10">
        <f>HYPERLINK("http://www.lingerieopt.ru/images/original/352af051-b1a9-4fcc-9ed1-a0bba320c5d7.jpg","Фото")</f>
      </c>
    </row>
    <row r="5468">
      <c r="A5468" s="7">
        <f>HYPERLINK("http://www.lingerieopt.ru/item/8822-nochnaya-sorochka-s-kontrastnjm-kruzhevom/","8822")</f>
      </c>
      <c r="B5468" s="8" t="s">
        <v>5224</v>
      </c>
      <c r="C5468" s="9">
        <v>1308</v>
      </c>
      <c r="D5468" s="0">
        <v>3</v>
      </c>
      <c r="E5468" s="10">
        <f>HYPERLINK("http://www.lingerieopt.ru/images/original/e4aee465-aa2d-4b9e-b516-2b344960526f.jpg","Фото")</f>
      </c>
    </row>
    <row r="5469">
      <c r="A5469" s="7">
        <f>HYPERLINK("http://www.lingerieopt.ru/item/8822-nochnaya-sorochka-s-kontrastnjm-kruzhevom/","8822")</f>
      </c>
      <c r="B5469" s="8" t="s">
        <v>5225</v>
      </c>
      <c r="C5469" s="9">
        <v>1308</v>
      </c>
      <c r="D5469" s="0">
        <v>2</v>
      </c>
      <c r="E5469" s="10">
        <f>HYPERLINK("http://www.lingerieopt.ru/images/original/e4aee465-aa2d-4b9e-b516-2b344960526f.jpg","Фото")</f>
      </c>
    </row>
    <row r="5470">
      <c r="A5470" s="7">
        <f>HYPERLINK("http://www.lingerieopt.ru/item/8848-effektnaya-sorochka-carinola/","8848")</f>
      </c>
      <c r="B5470" s="8" t="s">
        <v>5226</v>
      </c>
      <c r="C5470" s="9">
        <v>1728</v>
      </c>
      <c r="D5470" s="0">
        <v>10</v>
      </c>
      <c r="E5470" s="10">
        <f>HYPERLINK("http://www.lingerieopt.ru/images/original/52222f25-915a-48cc-ab41-db934bd10b41.jpg","Фото")</f>
      </c>
    </row>
    <row r="5471">
      <c r="A5471" s="7">
        <f>HYPERLINK("http://www.lingerieopt.ru/item/8848-effektnaya-sorochka-carinola/","8848")</f>
      </c>
      <c r="B5471" s="8" t="s">
        <v>5227</v>
      </c>
      <c r="C5471" s="9">
        <v>1728</v>
      </c>
      <c r="D5471" s="0">
        <v>8</v>
      </c>
      <c r="E5471" s="10">
        <f>HYPERLINK("http://www.lingerieopt.ru/images/original/52222f25-915a-48cc-ab41-db934bd10b41.jpg","Фото")</f>
      </c>
    </row>
    <row r="5472">
      <c r="A5472" s="7">
        <f>HYPERLINK("http://www.lingerieopt.ru/item/8848-effektnaya-sorochka-carinola/","8848")</f>
      </c>
      <c r="B5472" s="8" t="s">
        <v>5228</v>
      </c>
      <c r="C5472" s="9">
        <v>1728</v>
      </c>
      <c r="D5472" s="0">
        <v>9</v>
      </c>
      <c r="E5472" s="10">
        <f>HYPERLINK("http://www.lingerieopt.ru/images/original/52222f25-915a-48cc-ab41-db934bd10b41.jpg","Фото")</f>
      </c>
    </row>
    <row r="5473">
      <c r="A5473" s="7">
        <f>HYPERLINK("http://www.lingerieopt.ru/item/8849-kruzhevnaya-sorochka-cobayo-s-dlinnjmi-rukavami/","8849")</f>
      </c>
      <c r="B5473" s="8" t="s">
        <v>5229</v>
      </c>
      <c r="C5473" s="9">
        <v>1521</v>
      </c>
      <c r="D5473" s="0">
        <v>4</v>
      </c>
      <c r="E5473" s="10">
        <f>HYPERLINK("http://www.lingerieopt.ru/images/original/1beae7c1-36cf-4155-a3b6-5656df30f209.jpg","Фото")</f>
      </c>
    </row>
    <row r="5474">
      <c r="A5474" s="7">
        <f>HYPERLINK("http://www.lingerieopt.ru/item/8849-kruzhevnaya-sorochka-cobayo-s-dlinnjmi-rukavami/","8849")</f>
      </c>
      <c r="B5474" s="8" t="s">
        <v>5230</v>
      </c>
      <c r="C5474" s="9">
        <v>1521</v>
      </c>
      <c r="D5474" s="0">
        <v>6</v>
      </c>
      <c r="E5474" s="10">
        <f>HYPERLINK("http://www.lingerieopt.ru/images/original/1beae7c1-36cf-4155-a3b6-5656df30f209.jpg","Фото")</f>
      </c>
    </row>
    <row r="5475">
      <c r="A5475" s="7">
        <f>HYPERLINK("http://www.lingerieopt.ru/item/8849-kruzhevnaya-sorochka-cobayo-s-dlinnjmi-rukavami/","8849")</f>
      </c>
      <c r="B5475" s="8" t="s">
        <v>5231</v>
      </c>
      <c r="C5475" s="9">
        <v>1521</v>
      </c>
      <c r="D5475" s="0">
        <v>4</v>
      </c>
      <c r="E5475" s="10">
        <f>HYPERLINK("http://www.lingerieopt.ru/images/original/1beae7c1-36cf-4155-a3b6-5656df30f209.jpg","Фото")</f>
      </c>
    </row>
    <row r="5476">
      <c r="A5476" s="7">
        <f>HYPERLINK("http://www.lingerieopt.ru/item/8852-kruzhevnaya-sorochka-alecto-s-dlinnjmi-rukavami/","8852")</f>
      </c>
      <c r="B5476" s="8" t="s">
        <v>5232</v>
      </c>
      <c r="C5476" s="9">
        <v>1521</v>
      </c>
      <c r="D5476" s="0">
        <v>4</v>
      </c>
      <c r="E5476" s="10">
        <f>HYPERLINK("http://www.lingerieopt.ru/images/original/0fc172db-1aa5-425a-b6aa-e5bbf7da0a61.jpg","Фото")</f>
      </c>
    </row>
    <row r="5477">
      <c r="A5477" s="7">
        <f>HYPERLINK("http://www.lingerieopt.ru/item/8852-kruzhevnaya-sorochka-alecto-s-dlinnjmi-rukavami/","8852")</f>
      </c>
      <c r="B5477" s="8" t="s">
        <v>5233</v>
      </c>
      <c r="C5477" s="9">
        <v>1521</v>
      </c>
      <c r="D5477" s="0">
        <v>4</v>
      </c>
      <c r="E5477" s="10">
        <f>HYPERLINK("http://www.lingerieopt.ru/images/original/0fc172db-1aa5-425a-b6aa-e5bbf7da0a61.jpg","Фото")</f>
      </c>
    </row>
    <row r="5478">
      <c r="A5478" s="7">
        <f>HYPERLINK("http://www.lingerieopt.ru/item/8852-kruzhevnaya-sorochka-alecto-s-dlinnjmi-rukavami/","8852")</f>
      </c>
      <c r="B5478" s="8" t="s">
        <v>5234</v>
      </c>
      <c r="C5478" s="9">
        <v>1521</v>
      </c>
      <c r="D5478" s="0">
        <v>9</v>
      </c>
      <c r="E5478" s="10">
        <f>HYPERLINK("http://www.lingerieopt.ru/images/original/0fc172db-1aa5-425a-b6aa-e5bbf7da0a61.jpg","Фото")</f>
      </c>
    </row>
    <row r="5479">
      <c r="A5479" s="7">
        <f>HYPERLINK("http://www.lingerieopt.ru/item/8957-poluprozrachnaya-sorochka-aurora-s-cvetochnjm-risunkom/","8957")</f>
      </c>
      <c r="B5479" s="8" t="s">
        <v>5235</v>
      </c>
      <c r="C5479" s="9">
        <v>1509</v>
      </c>
      <c r="D5479" s="0">
        <v>7</v>
      </c>
      <c r="E5479" s="10">
        <f>HYPERLINK("http://www.lingerieopt.ru/images/original/41e7402d-5831-4b6c-bbab-99fa87de6be9.jpg","Фото")</f>
      </c>
    </row>
    <row r="5480">
      <c r="A5480" s="7">
        <f>HYPERLINK("http://www.lingerieopt.ru/item/8957-poluprozrachnaya-sorochka-aurora-s-cvetochnjm-risunkom/","8957")</f>
      </c>
      <c r="B5480" s="8" t="s">
        <v>5236</v>
      </c>
      <c r="C5480" s="9">
        <v>1509</v>
      </c>
      <c r="D5480" s="0">
        <v>6</v>
      </c>
      <c r="E5480" s="10">
        <f>HYPERLINK("http://www.lingerieopt.ru/images/original/41e7402d-5831-4b6c-bbab-99fa87de6be9.jpg","Фото")</f>
      </c>
    </row>
    <row r="5481">
      <c r="A5481" s="7">
        <f>HYPERLINK("http://www.lingerieopt.ru/item/8958-belaya-sorochka-catalina-s-poluotkrjtoi-spinkoi/","8958")</f>
      </c>
      <c r="B5481" s="8" t="s">
        <v>5237</v>
      </c>
      <c r="C5481" s="9">
        <v>1602</v>
      </c>
      <c r="D5481" s="0">
        <v>4</v>
      </c>
      <c r="E5481" s="10">
        <f>HYPERLINK("http://www.lingerieopt.ru/images/original/ac20b412-4d19-43c0-bf43-0d3bc735a575.jpg","Фото")</f>
      </c>
    </row>
    <row r="5482">
      <c r="A5482" s="7">
        <f>HYPERLINK("http://www.lingerieopt.ru/item/8958-belaya-sorochka-catalina-s-poluotkrjtoi-spinkoi/","8958")</f>
      </c>
      <c r="B5482" s="8" t="s">
        <v>5238</v>
      </c>
      <c r="C5482" s="9">
        <v>1602</v>
      </c>
      <c r="D5482" s="0">
        <v>6</v>
      </c>
      <c r="E5482" s="10">
        <f>HYPERLINK("http://www.lingerieopt.ru/images/original/ac20b412-4d19-43c0-bf43-0d3bc735a575.jpg","Фото")</f>
      </c>
    </row>
    <row r="5483">
      <c r="A5483" s="7">
        <f>HYPERLINK("http://www.lingerieopt.ru/item/8959-soblaznitelnaya-sorochka-enna-s-prozrachnjm-lifom-bez-kostochek/","8959")</f>
      </c>
      <c r="B5483" s="8" t="s">
        <v>5239</v>
      </c>
      <c r="C5483" s="9">
        <v>1647</v>
      </c>
      <c r="D5483" s="0">
        <v>2</v>
      </c>
      <c r="E5483" s="10">
        <f>HYPERLINK("http://www.lingerieopt.ru/images/original/b8c91e5c-2a98-4178-b1c9-58960d946160.jpg","Фото")</f>
      </c>
    </row>
    <row r="5484">
      <c r="A5484" s="7">
        <f>HYPERLINK("http://www.lingerieopt.ru/item/8959-soblaznitelnaya-sorochka-enna-s-prozrachnjm-lifom-bez-kostochek/","8959")</f>
      </c>
      <c r="B5484" s="8" t="s">
        <v>5240</v>
      </c>
      <c r="C5484" s="9">
        <v>1647</v>
      </c>
      <c r="D5484" s="0">
        <v>1</v>
      </c>
      <c r="E5484" s="10">
        <f>HYPERLINK("http://www.lingerieopt.ru/images/original/b8c91e5c-2a98-4178-b1c9-58960d946160.jpg","Фото")</f>
      </c>
    </row>
    <row r="5485">
      <c r="A5485" s="7">
        <f>HYPERLINK("http://www.lingerieopt.ru/item/8960-roskoshnaya-oblegayuschaya-sorochka-ksenia-s-kruzhevnjm-lifom-i-shnurovkoi-vo-vsyu-spinku/","8960")</f>
      </c>
      <c r="B5485" s="8" t="s">
        <v>5241</v>
      </c>
      <c r="C5485" s="9">
        <v>1440</v>
      </c>
      <c r="D5485" s="0">
        <v>1</v>
      </c>
      <c r="E5485" s="10">
        <f>HYPERLINK("http://www.lingerieopt.ru/images/original/2d108949-9677-46ae-a1da-1aaf25e73bee.jpg","Фото")</f>
      </c>
    </row>
    <row r="5486">
      <c r="A5486" s="7">
        <f>HYPERLINK("http://www.lingerieopt.ru/item/8960-roskoshnaya-oblegayuschaya-sorochka-ksenia-s-kruzhevnjm-lifom-i-shnurovkoi-vo-vsyu-spinku/","8960")</f>
      </c>
      <c r="B5486" s="8" t="s">
        <v>5242</v>
      </c>
      <c r="C5486" s="9">
        <v>1440</v>
      </c>
      <c r="D5486" s="0">
        <v>0</v>
      </c>
      <c r="E5486" s="10">
        <f>HYPERLINK("http://www.lingerieopt.ru/images/original/2d108949-9677-46ae-a1da-1aaf25e73bee.jpg","Фото")</f>
      </c>
    </row>
    <row r="5487">
      <c r="A5487" s="7">
        <f>HYPERLINK("http://www.lingerieopt.ru/item/8961-sorochka-effi-v-melkii-goroh/","8961")</f>
      </c>
      <c r="B5487" s="8" t="s">
        <v>5243</v>
      </c>
      <c r="C5487" s="9">
        <v>1647</v>
      </c>
      <c r="D5487" s="0">
        <v>0</v>
      </c>
      <c r="E5487" s="10">
        <f>HYPERLINK("http://www.lingerieopt.ru/images/original/be62be52-3fd0-4ea9-9dbc-f2e81f7ad163.jpg","Фото")</f>
      </c>
    </row>
    <row r="5488">
      <c r="A5488" s="7">
        <f>HYPERLINK("http://www.lingerieopt.ru/item/8961-sorochka-effi-v-melkii-goroh/","8961")</f>
      </c>
      <c r="B5488" s="8" t="s">
        <v>5244</v>
      </c>
      <c r="C5488" s="9">
        <v>1647</v>
      </c>
      <c r="D5488" s="0">
        <v>2</v>
      </c>
      <c r="E5488" s="10">
        <f>HYPERLINK("http://www.lingerieopt.ru/images/original/be62be52-3fd0-4ea9-9dbc-f2e81f7ad163.jpg","Фото")</f>
      </c>
    </row>
    <row r="5489">
      <c r="A5489" s="7">
        <f>HYPERLINK("http://www.lingerieopt.ru/item/8961-sorochka-effi-v-melkii-goroh/","8961")</f>
      </c>
      <c r="B5489" s="8" t="s">
        <v>5245</v>
      </c>
      <c r="C5489" s="9">
        <v>1647</v>
      </c>
      <c r="D5489" s="0">
        <v>3</v>
      </c>
      <c r="E5489" s="10">
        <f>HYPERLINK("http://www.lingerieopt.ru/images/original/be62be52-3fd0-4ea9-9dbc-f2e81f7ad163.jpg","Фото")</f>
      </c>
    </row>
    <row r="5490">
      <c r="A5490" s="7">
        <f>HYPERLINK("http://www.lingerieopt.ru/item/8961-sorochka-effi-v-melkii-goroh/","8961")</f>
      </c>
      <c r="B5490" s="8" t="s">
        <v>5246</v>
      </c>
      <c r="C5490" s="9">
        <v>1647</v>
      </c>
      <c r="D5490" s="0">
        <v>3</v>
      </c>
      <c r="E5490" s="10">
        <f>HYPERLINK("http://www.lingerieopt.ru/images/original/be62be52-3fd0-4ea9-9dbc-f2e81f7ad163.jpg","Фото")</f>
      </c>
    </row>
    <row r="5491">
      <c r="A5491" s="7">
        <f>HYPERLINK("http://www.lingerieopt.ru/item/8962-oblegayuschaya-sorochka-lovia-s-prozrachnjmi-detalyami/","8962")</f>
      </c>
      <c r="B5491" s="8" t="s">
        <v>5247</v>
      </c>
      <c r="C5491" s="9">
        <v>1647</v>
      </c>
      <c r="D5491" s="0">
        <v>2</v>
      </c>
      <c r="E5491" s="10">
        <f>HYPERLINK("http://www.lingerieopt.ru/images/original/f0e5f74a-26b6-4e04-b331-18b05ed3394c.jpg","Фото")</f>
      </c>
    </row>
    <row r="5492">
      <c r="A5492" s="7">
        <f>HYPERLINK("http://www.lingerieopt.ru/item/8962-oblegayuschaya-sorochka-lovia-s-prozrachnjmi-detalyami/","8962")</f>
      </c>
      <c r="B5492" s="8" t="s">
        <v>5248</v>
      </c>
      <c r="C5492" s="9">
        <v>1647</v>
      </c>
      <c r="D5492" s="0">
        <v>6</v>
      </c>
      <c r="E5492" s="10">
        <f>HYPERLINK("http://www.lingerieopt.ru/images/original/f0e5f74a-26b6-4e04-b331-18b05ed3394c.jpg","Фото")</f>
      </c>
    </row>
    <row r="5493">
      <c r="A5493" s="7">
        <f>HYPERLINK("http://www.lingerieopt.ru/item/8962-oblegayuschaya-sorochka-lovia-s-prozrachnjmi-detalyami/","8962")</f>
      </c>
      <c r="B5493" s="8" t="s">
        <v>5249</v>
      </c>
      <c r="C5493" s="9">
        <v>1647</v>
      </c>
      <c r="D5493" s="0">
        <v>1</v>
      </c>
      <c r="E5493" s="10">
        <f>HYPERLINK("http://www.lingerieopt.ru/images/original/f0e5f74a-26b6-4e04-b331-18b05ed3394c.jpg","Фото")</f>
      </c>
    </row>
    <row r="5494">
      <c r="A5494" s="7">
        <f>HYPERLINK("http://www.lingerieopt.ru/item/8962-oblegayuschaya-sorochka-lovia-s-prozrachnjmi-detalyami/","8962")</f>
      </c>
      <c r="B5494" s="8" t="s">
        <v>5250</v>
      </c>
      <c r="C5494" s="9">
        <v>1647</v>
      </c>
      <c r="D5494" s="0">
        <v>6</v>
      </c>
      <c r="E5494" s="10">
        <f>HYPERLINK("http://www.lingerieopt.ru/images/original/f0e5f74a-26b6-4e04-b331-18b05ed3394c.jpg","Фото")</f>
      </c>
    </row>
    <row r="5495">
      <c r="A5495" s="7">
        <f>HYPERLINK("http://www.lingerieopt.ru/item/8963-oblegayuschaya-sorochka-luna-iz-cvetochnogo-kruzheva/","8963")</f>
      </c>
      <c r="B5495" s="8" t="s">
        <v>5251</v>
      </c>
      <c r="C5495" s="9">
        <v>1578</v>
      </c>
      <c r="D5495" s="0">
        <v>0</v>
      </c>
      <c r="E5495" s="10">
        <f>HYPERLINK("http://www.lingerieopt.ru/images/original/bfb6d489-fc25-4d8a-be60-6e198d6c1ac2.jpg","Фото")</f>
      </c>
    </row>
    <row r="5496">
      <c r="A5496" s="7">
        <f>HYPERLINK("http://www.lingerieopt.ru/item/8963-oblegayuschaya-sorochka-luna-iz-cvetochnogo-kruzheva/","8963")</f>
      </c>
      <c r="B5496" s="8" t="s">
        <v>5252</v>
      </c>
      <c r="C5496" s="9">
        <v>1578</v>
      </c>
      <c r="D5496" s="0">
        <v>3</v>
      </c>
      <c r="E5496" s="10">
        <f>HYPERLINK("http://www.lingerieopt.ru/images/original/bfb6d489-fc25-4d8a-be60-6e198d6c1ac2.jpg","Фото")</f>
      </c>
    </row>
    <row r="5497">
      <c r="A5497" s="7">
        <f>HYPERLINK("http://www.lingerieopt.ru/item/8964-effektnaya-sorochka-gigi-s-krasivoi-zonoi-dekolte/","8964")</f>
      </c>
      <c r="B5497" s="8" t="s">
        <v>5253</v>
      </c>
      <c r="C5497" s="9">
        <v>1313</v>
      </c>
      <c r="D5497" s="0">
        <v>6</v>
      </c>
      <c r="E5497" s="10">
        <f>HYPERLINK("http://www.lingerieopt.ru/images/original/1bc99d62-bc75-4370-a225-52b820fc43db.jpg","Фото")</f>
      </c>
    </row>
    <row r="5498">
      <c r="A5498" s="7">
        <f>HYPERLINK("http://www.lingerieopt.ru/item/8964-effektnaya-sorochka-gigi-s-krasivoi-zonoi-dekolte/","8964")</f>
      </c>
      <c r="B5498" s="8" t="s">
        <v>5254</v>
      </c>
      <c r="C5498" s="9">
        <v>1313</v>
      </c>
      <c r="D5498" s="0">
        <v>3</v>
      </c>
      <c r="E5498" s="10">
        <f>HYPERLINK("http://www.lingerieopt.ru/images/original/1bc99d62-bc75-4370-a225-52b820fc43db.jpg","Фото")</f>
      </c>
    </row>
    <row r="5499">
      <c r="A5499" s="7">
        <f>HYPERLINK("http://www.lingerieopt.ru/item/8973-poluprozrachnji-penyuar-cassandra-s-raskleshennjmi-rukavami/","8973")</f>
      </c>
      <c r="B5499" s="8" t="s">
        <v>5255</v>
      </c>
      <c r="C5499" s="9">
        <v>2489</v>
      </c>
      <c r="D5499" s="0">
        <v>5</v>
      </c>
      <c r="E5499" s="10">
        <f>HYPERLINK("http://www.lingerieopt.ru/images/original/e8b0060b-adbc-4d16-9a1a-9c02302f4a24.jpg","Фото")</f>
      </c>
    </row>
    <row r="5500">
      <c r="A5500" s="7">
        <f>HYPERLINK("http://www.lingerieopt.ru/item/8980-korotkaya-sorochka-s-kruzhevom-chilirose/","8980")</f>
      </c>
      <c r="B5500" s="8" t="s">
        <v>5256</v>
      </c>
      <c r="C5500" s="9">
        <v>1306</v>
      </c>
      <c r="D5500" s="0">
        <v>4</v>
      </c>
      <c r="E5500" s="10">
        <f>HYPERLINK("http://www.lingerieopt.ru/images/original/e0dec80b-6785-443f-8cd5-68028ad4c3fd.jpg","Фото")</f>
      </c>
    </row>
    <row r="5501">
      <c r="A5501" s="7">
        <f>HYPERLINK("http://www.lingerieopt.ru/item/8980-korotkaya-sorochka-s-kruzhevom-chilirose/","8980")</f>
      </c>
      <c r="B5501" s="8" t="s">
        <v>5257</v>
      </c>
      <c r="C5501" s="9">
        <v>1306</v>
      </c>
      <c r="D5501" s="0">
        <v>3</v>
      </c>
      <c r="E5501" s="10">
        <f>HYPERLINK("http://www.lingerieopt.ru/images/original/e0dec80b-6785-443f-8cd5-68028ad4c3fd.jpg","Фото")</f>
      </c>
    </row>
    <row r="5502">
      <c r="A5502" s="7">
        <f>HYPERLINK("http://www.lingerieopt.ru/item/8980-korotkaya-sorochka-s-kruzhevom-chilirose/","8980")</f>
      </c>
      <c r="B5502" s="8" t="s">
        <v>5258</v>
      </c>
      <c r="C5502" s="9">
        <v>1306</v>
      </c>
      <c r="D5502" s="0">
        <v>10</v>
      </c>
      <c r="E5502" s="10">
        <f>HYPERLINK("http://www.lingerieopt.ru/images/original/e0dec80b-6785-443f-8cd5-68028ad4c3fd.jpg","Фото")</f>
      </c>
    </row>
    <row r="5503">
      <c r="A5503" s="7">
        <f>HYPERLINK("http://www.lingerieopt.ru/item/8984-sorochka-s-cvetochnjm-uzorom/","8984")</f>
      </c>
      <c r="B5503" s="8" t="s">
        <v>5259</v>
      </c>
      <c r="C5503" s="9">
        <v>1659</v>
      </c>
      <c r="D5503" s="0">
        <v>9</v>
      </c>
      <c r="E5503" s="10">
        <f>HYPERLINK("http://www.lingerieopt.ru/images/original/59584ec1-c4e3-4b86-adfd-4c1b299d1f4f.jpg","Фото")</f>
      </c>
    </row>
    <row r="5504">
      <c r="A5504" s="7">
        <f>HYPERLINK("http://www.lingerieopt.ru/item/8984-sorochka-s-cvetochnjm-uzorom/","8984")</f>
      </c>
      <c r="B5504" s="8" t="s">
        <v>5260</v>
      </c>
      <c r="C5504" s="9">
        <v>1659</v>
      </c>
      <c r="D5504" s="0">
        <v>5</v>
      </c>
      <c r="E5504" s="10">
        <f>HYPERLINK("http://www.lingerieopt.ru/images/original/59584ec1-c4e3-4b86-adfd-4c1b299d1f4f.jpg","Фото")</f>
      </c>
    </row>
    <row r="5505">
      <c r="A5505" s="7">
        <f>HYPERLINK("http://www.lingerieopt.ru/item/8993-nochnaya-sorochka-lucy-iz-poluprozrachnogo-materiala/","8993")</f>
      </c>
      <c r="B5505" s="8" t="s">
        <v>5261</v>
      </c>
      <c r="C5505" s="9">
        <v>2010</v>
      </c>
      <c r="D5505" s="0">
        <v>2</v>
      </c>
      <c r="E5505" s="10">
        <f>HYPERLINK("http://www.lingerieopt.ru/images/original/6e4bf10f-8c6b-4869-9f78-be5e1a2717f6.jpg","Фото")</f>
      </c>
    </row>
    <row r="5506">
      <c r="A5506" s="7">
        <f>HYPERLINK("http://www.lingerieopt.ru/item/8993-nochnaya-sorochka-lucy-iz-poluprozrachnogo-materiala/","8993")</f>
      </c>
      <c r="B5506" s="8" t="s">
        <v>5262</v>
      </c>
      <c r="C5506" s="9">
        <v>2010</v>
      </c>
      <c r="D5506" s="0">
        <v>4</v>
      </c>
      <c r="E5506" s="10">
        <f>HYPERLINK("http://www.lingerieopt.ru/images/original/6e4bf10f-8c6b-4869-9f78-be5e1a2717f6.jpg","Фото")</f>
      </c>
    </row>
    <row r="5507">
      <c r="A5507" s="7">
        <f>HYPERLINK("http://www.lingerieopt.ru/item/8993-nochnaya-sorochka-lucy-iz-poluprozrachnogo-materiala/","8993")</f>
      </c>
      <c r="B5507" s="8" t="s">
        <v>5263</v>
      </c>
      <c r="C5507" s="9">
        <v>2010</v>
      </c>
      <c r="D5507" s="0">
        <v>2</v>
      </c>
      <c r="E5507" s="10">
        <f>HYPERLINK("http://www.lingerieopt.ru/images/original/6e4bf10f-8c6b-4869-9f78-be5e1a2717f6.jpg","Фото")</f>
      </c>
    </row>
    <row r="5508">
      <c r="A5508" s="7">
        <f>HYPERLINK("http://www.lingerieopt.ru/item/8993-nochnaya-sorochka-lucy-iz-poluprozrachnogo-materiala/","8993")</f>
      </c>
      <c r="B5508" s="8" t="s">
        <v>5264</v>
      </c>
      <c r="C5508" s="9">
        <v>2010</v>
      </c>
      <c r="D5508" s="0">
        <v>2</v>
      </c>
      <c r="E5508" s="10">
        <f>HYPERLINK("http://www.lingerieopt.ru/images/original/6e4bf10f-8c6b-4869-9f78-be5e1a2717f6.jpg","Фото")</f>
      </c>
    </row>
    <row r="5509">
      <c r="A5509" s="7">
        <f>HYPERLINK("http://www.lingerieopt.ru/item/8993-nochnaya-sorochka-lucy-iz-poluprozrachnogo-materiala/","8993")</f>
      </c>
      <c r="B5509" s="8" t="s">
        <v>5265</v>
      </c>
      <c r="C5509" s="9">
        <v>2010</v>
      </c>
      <c r="D5509" s="0">
        <v>5</v>
      </c>
      <c r="E5509" s="10">
        <f>HYPERLINK("http://www.lingerieopt.ru/images/original/6e4bf10f-8c6b-4869-9f78-be5e1a2717f6.jpg","Фото")</f>
      </c>
    </row>
    <row r="5510">
      <c r="A5510" s="7">
        <f>HYPERLINK("http://www.lingerieopt.ru/item/8993-nochnaya-sorochka-lucy-iz-poluprozrachnogo-materiala/","8993")</f>
      </c>
      <c r="B5510" s="8" t="s">
        <v>5266</v>
      </c>
      <c r="C5510" s="9">
        <v>2010</v>
      </c>
      <c r="D5510" s="0">
        <v>4</v>
      </c>
      <c r="E5510" s="10">
        <f>HYPERLINK("http://www.lingerieopt.ru/images/original/6e4bf10f-8c6b-4869-9f78-be5e1a2717f6.jpg","Фото")</f>
      </c>
    </row>
    <row r="5511">
      <c r="A5511" s="7">
        <f>HYPERLINK("http://www.lingerieopt.ru/item/8995-obvorozhitelnaya-sorochka-v-krapinku-i-goroshek/","8995")</f>
      </c>
      <c r="B5511" s="8" t="s">
        <v>5267</v>
      </c>
      <c r="C5511" s="9">
        <v>1732</v>
      </c>
      <c r="D5511" s="0">
        <v>1</v>
      </c>
      <c r="E5511" s="10">
        <f>HYPERLINK("http://www.lingerieopt.ru/images/original/a6e02699-bfe5-4066-914e-9b078f8cbb9e.jpg","Фото")</f>
      </c>
    </row>
    <row r="5512">
      <c r="A5512" s="7">
        <f>HYPERLINK("http://www.lingerieopt.ru/item/8995-obvorozhitelnaya-sorochka-v-krapinku-i-goroshek/","8995")</f>
      </c>
      <c r="B5512" s="8" t="s">
        <v>5268</v>
      </c>
      <c r="C5512" s="9">
        <v>1732</v>
      </c>
      <c r="D5512" s="0">
        <v>3</v>
      </c>
      <c r="E5512" s="10">
        <f>HYPERLINK("http://www.lingerieopt.ru/images/original/a6e02699-bfe5-4066-914e-9b078f8cbb9e.jpg","Фото")</f>
      </c>
    </row>
    <row r="5513">
      <c r="A5513" s="7">
        <f>HYPERLINK("http://www.lingerieopt.ru/item/8998-obvorozhitelnaya-sorochka-sedusia-s-kruzhevnjmi-rukavchikami/","8998")</f>
      </c>
      <c r="B5513" s="8" t="s">
        <v>5269</v>
      </c>
      <c r="C5513" s="9">
        <v>1673</v>
      </c>
      <c r="D5513" s="0">
        <v>6</v>
      </c>
      <c r="E5513" s="10">
        <f>HYPERLINK("http://www.lingerieopt.ru/images/original/f0d75cd0-fd99-4e43-a181-faf3df379ab8.jpg","Фото")</f>
      </c>
    </row>
    <row r="5514">
      <c r="A5514" s="7">
        <f>HYPERLINK("http://www.lingerieopt.ru/item/8998-obvorozhitelnaya-sorochka-sedusia-s-kruzhevnjmi-rukavchikami/","8998")</f>
      </c>
      <c r="B5514" s="8" t="s">
        <v>5270</v>
      </c>
      <c r="C5514" s="9">
        <v>1673</v>
      </c>
      <c r="D5514" s="0">
        <v>9</v>
      </c>
      <c r="E5514" s="10">
        <f>HYPERLINK("http://www.lingerieopt.ru/images/original/f0d75cd0-fd99-4e43-a181-faf3df379ab8.jpg","Фото")</f>
      </c>
    </row>
    <row r="5515">
      <c r="A5515" s="7">
        <f>HYPERLINK("http://www.lingerieopt.ru/item/8999-ocharovatelnaya-sorochka-v-pol-sedusia-s-kruzhevnjm-verhom/","8999")</f>
      </c>
      <c r="B5515" s="8" t="s">
        <v>5271</v>
      </c>
      <c r="C5515" s="9">
        <v>3223</v>
      </c>
      <c r="D5515" s="0">
        <v>1</v>
      </c>
      <c r="E5515" s="10">
        <f>HYPERLINK("http://www.lingerieopt.ru/images/original/3feffed9-afae-454e-b2a1-df81364292fa.jpg","Фото")</f>
      </c>
    </row>
    <row r="5516">
      <c r="A5516" s="7">
        <f>HYPERLINK("http://www.lingerieopt.ru/item/8999-ocharovatelnaya-sorochka-v-pol-sedusia-s-kruzhevnjm-verhom/","8999")</f>
      </c>
      <c r="B5516" s="8" t="s">
        <v>5272</v>
      </c>
      <c r="C5516" s="9">
        <v>3223</v>
      </c>
      <c r="D5516" s="0">
        <v>1</v>
      </c>
      <c r="E5516" s="10">
        <f>HYPERLINK("http://www.lingerieopt.ru/images/original/3feffed9-afae-454e-b2a1-df81364292fa.jpg","Фото")</f>
      </c>
    </row>
    <row r="5517">
      <c r="A5517" s="7">
        <f>HYPERLINK("http://www.lingerieopt.ru/item/9062-poluprozrachnaya-sorochka-ginette-s-otkrjtjm-lifom/","9062")</f>
      </c>
      <c r="B5517" s="8" t="s">
        <v>5273</v>
      </c>
      <c r="C5517" s="9">
        <v>1864</v>
      </c>
      <c r="D5517" s="0">
        <v>6</v>
      </c>
      <c r="E5517" s="10">
        <f>HYPERLINK("http://www.lingerieopt.ru/images/original/48255d12-2064-44e4-bf0f-dc08ce62cae6.jpg","Фото")</f>
      </c>
    </row>
    <row r="5518">
      <c r="A5518" s="7">
        <f>HYPERLINK("http://www.lingerieopt.ru/item/9062-poluprozrachnaya-sorochka-ginette-s-otkrjtjm-lifom/","9062")</f>
      </c>
      <c r="B5518" s="8" t="s">
        <v>5274</v>
      </c>
      <c r="C5518" s="9">
        <v>1864</v>
      </c>
      <c r="D5518" s="0">
        <v>5</v>
      </c>
      <c r="E5518" s="10">
        <f>HYPERLINK("http://www.lingerieopt.ru/images/original/48255d12-2064-44e4-bf0f-dc08ce62cae6.jpg","Фото")</f>
      </c>
    </row>
    <row r="5519">
      <c r="A5519" s="7">
        <f>HYPERLINK("http://www.lingerieopt.ru/item/9062-poluprozrachnaya-sorochka-ginette-s-otkrjtjm-lifom/","9062")</f>
      </c>
      <c r="B5519" s="8" t="s">
        <v>5275</v>
      </c>
      <c r="C5519" s="9">
        <v>1864</v>
      </c>
      <c r="D5519" s="0">
        <v>3</v>
      </c>
      <c r="E5519" s="10">
        <f>HYPERLINK("http://www.lingerieopt.ru/images/original/48255d12-2064-44e4-bf0f-dc08ce62cae6.jpg","Фото")</f>
      </c>
    </row>
    <row r="5520">
      <c r="A5520" s="7">
        <f>HYPERLINK("http://www.lingerieopt.ru/item/9063-sorochka-elodia-s-otkrjtoi-grudyu/","9063")</f>
      </c>
      <c r="B5520" s="8" t="s">
        <v>5276</v>
      </c>
      <c r="C5520" s="9">
        <v>2642</v>
      </c>
      <c r="D5520" s="0">
        <v>0</v>
      </c>
      <c r="E5520" s="10">
        <f>HYPERLINK("http://www.lingerieopt.ru/images/original/2bc884da-28b9-4bae-9733-aacb5f675dda.jpg","Фото")</f>
      </c>
    </row>
    <row r="5521">
      <c r="A5521" s="7">
        <f>HYPERLINK("http://www.lingerieopt.ru/item/9063-sorochka-elodia-s-otkrjtoi-grudyu/","9063")</f>
      </c>
      <c r="B5521" s="8" t="s">
        <v>5277</v>
      </c>
      <c r="C5521" s="9">
        <v>2642</v>
      </c>
      <c r="D5521" s="0">
        <v>2</v>
      </c>
      <c r="E5521" s="10">
        <f>HYPERLINK("http://www.lingerieopt.ru/images/original/2bc884da-28b9-4bae-9733-aacb5f675dda.jpg","Фото")</f>
      </c>
    </row>
    <row r="5522">
      <c r="A5522" s="7">
        <f>HYPERLINK("http://www.lingerieopt.ru/item/9066-nochnaya-sorochka-lorna-s-shirokimi-rukavchikami/","9066")</f>
      </c>
      <c r="B5522" s="8" t="s">
        <v>5278</v>
      </c>
      <c r="C5522" s="9">
        <v>2497</v>
      </c>
      <c r="D5522" s="0">
        <v>5</v>
      </c>
      <c r="E5522" s="10">
        <f>HYPERLINK("http://www.lingerieopt.ru/images/original/cbe25c26-59a3-4702-a03d-911e75be6895.jpg","Фото")</f>
      </c>
    </row>
    <row r="5523">
      <c r="A5523" s="7">
        <f>HYPERLINK("http://www.lingerieopt.ru/item/9066-nochnaya-sorochka-lorna-s-shirokimi-rukavchikami/","9066")</f>
      </c>
      <c r="B5523" s="8" t="s">
        <v>5279</v>
      </c>
      <c r="C5523" s="9">
        <v>2497</v>
      </c>
      <c r="D5523" s="0">
        <v>0</v>
      </c>
      <c r="E5523" s="10">
        <f>HYPERLINK("http://www.lingerieopt.ru/images/original/cbe25c26-59a3-4702-a03d-911e75be6895.jpg","Фото")</f>
      </c>
    </row>
    <row r="5524">
      <c r="A5524" s="7">
        <f>HYPERLINK("http://www.lingerieopt.ru/item/9066-nochnaya-sorochka-lorna-s-shirokimi-rukavchikami/","9066")</f>
      </c>
      <c r="B5524" s="8" t="s">
        <v>5280</v>
      </c>
      <c r="C5524" s="9">
        <v>2497</v>
      </c>
      <c r="D5524" s="0">
        <v>5</v>
      </c>
      <c r="E5524" s="10">
        <f>HYPERLINK("http://www.lingerieopt.ru/images/original/cbe25c26-59a3-4702-a03d-911e75be6895.jpg","Фото")</f>
      </c>
    </row>
    <row r="5525">
      <c r="A5525" s="7">
        <f>HYPERLINK("http://www.lingerieopt.ru/item/9066-nochnaya-sorochka-lorna-s-shirokimi-rukavchikami/","9066")</f>
      </c>
      <c r="B5525" s="8" t="s">
        <v>5281</v>
      </c>
      <c r="C5525" s="9">
        <v>2497</v>
      </c>
      <c r="D5525" s="0">
        <v>6</v>
      </c>
      <c r="E5525" s="10">
        <f>HYPERLINK("http://www.lingerieopt.ru/images/original/cbe25c26-59a3-4702-a03d-911e75be6895.jpg","Фото")</f>
      </c>
    </row>
    <row r="5526">
      <c r="A5526" s="7">
        <f>HYPERLINK("http://www.lingerieopt.ru/item/9067-poluprozrachnji-penyuar-maerin-s-atlasnoi-otorochkoi/","9067")</f>
      </c>
      <c r="B5526" s="8" t="s">
        <v>5282</v>
      </c>
      <c r="C5526" s="9">
        <v>1812</v>
      </c>
      <c r="D5526" s="0">
        <v>8</v>
      </c>
      <c r="E5526" s="10">
        <f>HYPERLINK("http://www.lingerieopt.ru/images/original/0e920ffe-98d5-43ad-95ea-5243282dd529.jpg","Фото")</f>
      </c>
    </row>
    <row r="5527">
      <c r="A5527" s="7">
        <f>HYPERLINK("http://www.lingerieopt.ru/item/9067-poluprozrachnji-penyuar-maerin-s-atlasnoi-otorochkoi/","9067")</f>
      </c>
      <c r="B5527" s="8" t="s">
        <v>5283</v>
      </c>
      <c r="C5527" s="9">
        <v>1812</v>
      </c>
      <c r="D5527" s="0">
        <v>11</v>
      </c>
      <c r="E5527" s="10">
        <f>HYPERLINK("http://www.lingerieopt.ru/images/original/0e920ffe-98d5-43ad-95ea-5243282dd529.jpg","Фото")</f>
      </c>
    </row>
    <row r="5528">
      <c r="A5528" s="7">
        <f>HYPERLINK("http://www.lingerieopt.ru/item/9067-poluprozrachnji-penyuar-maerin-s-atlasnoi-otorochkoi/","9067")</f>
      </c>
      <c r="B5528" s="8" t="s">
        <v>5284</v>
      </c>
      <c r="C5528" s="9">
        <v>1812</v>
      </c>
      <c r="D5528" s="0">
        <v>8</v>
      </c>
      <c r="E5528" s="10">
        <f>HYPERLINK("http://www.lingerieopt.ru/images/original/0e920ffe-98d5-43ad-95ea-5243282dd529.jpg","Фото")</f>
      </c>
    </row>
    <row r="5529">
      <c r="A5529" s="7">
        <f>HYPERLINK("http://www.lingerieopt.ru/item/9068-milji-penyuar-saffie-s-zavyazkami-na-life/","9068")</f>
      </c>
      <c r="B5529" s="8" t="s">
        <v>5285</v>
      </c>
      <c r="C5529" s="9">
        <v>1578</v>
      </c>
      <c r="D5529" s="0">
        <v>3</v>
      </c>
      <c r="E5529" s="10">
        <f>HYPERLINK("http://www.lingerieopt.ru/images/original/9804f540-bda4-461f-b87f-4d8b256d355a.jpg","Фото")</f>
      </c>
    </row>
    <row r="5530">
      <c r="A5530" s="7">
        <f>HYPERLINK("http://www.lingerieopt.ru/item/9068-milji-penyuar-saffie-s-zavyazkami-na-life/","9068")</f>
      </c>
      <c r="B5530" s="8" t="s">
        <v>5286</v>
      </c>
      <c r="C5530" s="9">
        <v>1578</v>
      </c>
      <c r="D5530" s="0">
        <v>5</v>
      </c>
      <c r="E5530" s="10">
        <f>HYPERLINK("http://www.lingerieopt.ru/images/original/9804f540-bda4-461f-b87f-4d8b256d355a.jpg","Фото")</f>
      </c>
    </row>
    <row r="5531">
      <c r="A5531" s="7">
        <f>HYPERLINK("http://www.lingerieopt.ru/item/9068-milji-penyuar-saffie-s-zavyazkami-na-life/","9068")</f>
      </c>
      <c r="B5531" s="8" t="s">
        <v>5287</v>
      </c>
      <c r="C5531" s="9">
        <v>1578</v>
      </c>
      <c r="D5531" s="0">
        <v>3</v>
      </c>
      <c r="E5531" s="10">
        <f>HYPERLINK("http://www.lingerieopt.ru/images/original/9804f540-bda4-461f-b87f-4d8b256d355a.jpg","Фото")</f>
      </c>
    </row>
    <row r="5532">
      <c r="A5532" s="7">
        <f>HYPERLINK("http://www.lingerieopt.ru/item/9068-milji-penyuar-saffie-s-zavyazkami-na-life/","9068")</f>
      </c>
      <c r="B5532" s="8" t="s">
        <v>5288</v>
      </c>
      <c r="C5532" s="9">
        <v>1578</v>
      </c>
      <c r="D5532" s="0">
        <v>7</v>
      </c>
      <c r="E5532" s="10">
        <f>HYPERLINK("http://www.lingerieopt.ru/images/original/9804f540-bda4-461f-b87f-4d8b256d355a.jpg","Фото")</f>
      </c>
    </row>
    <row r="5533">
      <c r="A5533" s="7">
        <f>HYPERLINK("http://www.lingerieopt.ru/item/9072-prozrachnji-penyuar-anthis-na-poyaske-s-atlasnoi-otorochkoi/","9072")</f>
      </c>
      <c r="B5533" s="8" t="s">
        <v>5289</v>
      </c>
      <c r="C5533" s="9">
        <v>2378</v>
      </c>
      <c r="D5533" s="0">
        <v>7</v>
      </c>
      <c r="E5533" s="10">
        <f>HYPERLINK("http://www.lingerieopt.ru/images/original/f6826919-400a-4e52-be07-50e15ac973c8.jpg","Фото")</f>
      </c>
    </row>
    <row r="5534">
      <c r="A5534" s="7">
        <f>HYPERLINK("http://www.lingerieopt.ru/item/9072-prozrachnji-penyuar-anthis-na-poyaske-s-atlasnoi-otorochkoi/","9072")</f>
      </c>
      <c r="B5534" s="8" t="s">
        <v>5290</v>
      </c>
      <c r="C5534" s="9">
        <v>2378</v>
      </c>
      <c r="D5534" s="0">
        <v>4</v>
      </c>
      <c r="E5534" s="10">
        <f>HYPERLINK("http://www.lingerieopt.ru/images/original/f6826919-400a-4e52-be07-50e15ac973c8.jpg","Фото")</f>
      </c>
    </row>
    <row r="5535">
      <c r="A5535" s="7">
        <f>HYPERLINK("http://www.lingerieopt.ru/item/9072-prozrachnji-penyuar-anthis-na-poyaske-s-atlasnoi-otorochkoi/","9072")</f>
      </c>
      <c r="B5535" s="8" t="s">
        <v>5291</v>
      </c>
      <c r="C5535" s="9">
        <v>2378</v>
      </c>
      <c r="D5535" s="0">
        <v>6</v>
      </c>
      <c r="E5535" s="10">
        <f>HYPERLINK("http://www.lingerieopt.ru/images/original/f6826919-400a-4e52-be07-50e15ac973c8.jpg","Фото")</f>
      </c>
    </row>
    <row r="5536">
      <c r="A5536" s="7">
        <f>HYPERLINK("http://www.lingerieopt.ru/item/9072-prozrachnji-penyuar-anthis-na-poyaske-s-atlasnoi-otorochkoi/","9072")</f>
      </c>
      <c r="B5536" s="8" t="s">
        <v>5292</v>
      </c>
      <c r="C5536" s="9">
        <v>2378</v>
      </c>
      <c r="D5536" s="0">
        <v>2</v>
      </c>
      <c r="E5536" s="10">
        <f>HYPERLINK("http://www.lingerieopt.ru/images/original/f6826919-400a-4e52-be07-50e15ac973c8.jpg","Фото")</f>
      </c>
    </row>
    <row r="5537">
      <c r="A5537" s="7">
        <f>HYPERLINK("http://www.lingerieopt.ru/item/9077-originalnaya-sorochka-finaci-s-otkrjtoi-spinkoi/","9077")</f>
      </c>
      <c r="B5537" s="8" t="s">
        <v>5293</v>
      </c>
      <c r="C5537" s="9">
        <v>2016</v>
      </c>
      <c r="D5537" s="0">
        <v>3</v>
      </c>
      <c r="E5537" s="10">
        <f>HYPERLINK("http://www.lingerieopt.ru/images/original/80a93aa9-62c1-43a4-bd56-6fb4ac8ddb3d.jpg","Фото")</f>
      </c>
    </row>
    <row r="5538">
      <c r="A5538" s="7">
        <f>HYPERLINK("http://www.lingerieopt.ru/item/9077-originalnaya-sorochka-finaci-s-otkrjtoi-spinkoi/","9077")</f>
      </c>
      <c r="B5538" s="8" t="s">
        <v>5294</v>
      </c>
      <c r="C5538" s="9">
        <v>2016</v>
      </c>
      <c r="D5538" s="0">
        <v>5</v>
      </c>
      <c r="E5538" s="10">
        <f>HYPERLINK("http://www.lingerieopt.ru/images/original/80a93aa9-62c1-43a4-bd56-6fb4ac8ddb3d.jpg","Фото")</f>
      </c>
    </row>
    <row r="5539">
      <c r="A5539" s="7">
        <f>HYPERLINK("http://www.lingerieopt.ru/item/9077-originalnaya-sorochka-finaci-s-otkrjtoi-spinkoi/","9077")</f>
      </c>
      <c r="B5539" s="8" t="s">
        <v>5295</v>
      </c>
      <c r="C5539" s="9">
        <v>2016</v>
      </c>
      <c r="D5539" s="0">
        <v>3</v>
      </c>
      <c r="E5539" s="10">
        <f>HYPERLINK("http://www.lingerieopt.ru/images/original/80a93aa9-62c1-43a4-bd56-6fb4ac8ddb3d.jpg","Фото")</f>
      </c>
    </row>
    <row r="5540">
      <c r="A5540" s="7">
        <f>HYPERLINK("http://www.lingerieopt.ru/item/9077-originalnaya-sorochka-finaci-s-otkrjtoi-spinkoi/","9077")</f>
      </c>
      <c r="B5540" s="8" t="s">
        <v>5296</v>
      </c>
      <c r="C5540" s="9">
        <v>2016</v>
      </c>
      <c r="D5540" s="0">
        <v>4</v>
      </c>
      <c r="E5540" s="10">
        <f>HYPERLINK("http://www.lingerieopt.ru/images/original/80a93aa9-62c1-43a4-bd56-6fb4ac8ddb3d.jpg","Фото")</f>
      </c>
    </row>
    <row r="5541">
      <c r="A5541" s="7">
        <f>HYPERLINK("http://www.lingerieopt.ru/item/9082-roskoshnji-bebi-doll-s-bantom-na-life/","9082")</f>
      </c>
      <c r="B5541" s="8" t="s">
        <v>5297</v>
      </c>
      <c r="C5541" s="9">
        <v>1732</v>
      </c>
      <c r="D5541" s="0">
        <v>6</v>
      </c>
      <c r="E5541" s="10">
        <f>HYPERLINK("http://www.lingerieopt.ru/images/original/918b92ef-b1b2-4399-935d-3765124e87c3.jpg","Фото")</f>
      </c>
    </row>
    <row r="5542">
      <c r="A5542" s="7">
        <f>HYPERLINK("http://www.lingerieopt.ru/item/9082-roskoshnji-bebi-doll-s-bantom-na-life/","9082")</f>
      </c>
      <c r="B5542" s="8" t="s">
        <v>5298</v>
      </c>
      <c r="C5542" s="9">
        <v>1732</v>
      </c>
      <c r="D5542" s="0">
        <v>4</v>
      </c>
      <c r="E5542" s="10">
        <f>HYPERLINK("http://www.lingerieopt.ru/images/original/918b92ef-b1b2-4399-935d-3765124e87c3.jpg","Фото")</f>
      </c>
    </row>
    <row r="5543">
      <c r="A5543" s="7">
        <f>HYPERLINK("http://www.lingerieopt.ru/item/9083-soblaznitelnaya-sorochka-iz-dvuh-vidov-materiala/","9083")</f>
      </c>
      <c r="B5543" s="8" t="s">
        <v>5299</v>
      </c>
      <c r="C5543" s="9">
        <v>1391</v>
      </c>
      <c r="D5543" s="0">
        <v>3</v>
      </c>
      <c r="E5543" s="10">
        <f>HYPERLINK("http://www.lingerieopt.ru/images/original/a9bb9a12-2348-48dc-80b9-c71b6a96b1ae.jpg","Фото")</f>
      </c>
    </row>
    <row r="5544">
      <c r="A5544" s="7">
        <f>HYPERLINK("http://www.lingerieopt.ru/item/9083-soblaznitelnaya-sorochka-iz-dvuh-vidov-materiala/","9083")</f>
      </c>
      <c r="B5544" s="8" t="s">
        <v>5300</v>
      </c>
      <c r="C5544" s="9">
        <v>1391</v>
      </c>
      <c r="D5544" s="0">
        <v>10</v>
      </c>
      <c r="E5544" s="10">
        <f>HYPERLINK("http://www.lingerieopt.ru/images/original/a9bb9a12-2348-48dc-80b9-c71b6a96b1ae.jpg","Фото")</f>
      </c>
    </row>
    <row r="5545">
      <c r="A5545" s="7">
        <f>HYPERLINK("http://www.lingerieopt.ru/item/9084-originalnaya-sorochka-iz-setki-i-kruzhev/","9084")</f>
      </c>
      <c r="B5545" s="8" t="s">
        <v>5301</v>
      </c>
      <c r="C5545" s="9">
        <v>1736</v>
      </c>
      <c r="D5545" s="0">
        <v>5</v>
      </c>
      <c r="E5545" s="10">
        <f>HYPERLINK("http://www.lingerieopt.ru/images/original/926bdd96-9cf8-4d8e-b90b-d3fa5c5d9770.jpg","Фото")</f>
      </c>
    </row>
    <row r="5546">
      <c r="A5546" s="7">
        <f>HYPERLINK("http://www.lingerieopt.ru/item/9084-originalnaya-sorochka-iz-setki-i-kruzhev/","9084")</f>
      </c>
      <c r="B5546" s="8" t="s">
        <v>5302</v>
      </c>
      <c r="C5546" s="9">
        <v>1736</v>
      </c>
      <c r="D5546" s="0">
        <v>3</v>
      </c>
      <c r="E5546" s="10">
        <f>HYPERLINK("http://www.lingerieopt.ru/images/original/926bdd96-9cf8-4d8e-b90b-d3fa5c5d9770.jpg","Фото")</f>
      </c>
    </row>
    <row r="5547">
      <c r="A5547" s="7">
        <f>HYPERLINK("http://www.lingerieopt.ru/item/9087-soblaznitelnaya-sorochka-s-krjljshkami/","9087")</f>
      </c>
      <c r="B5547" s="8" t="s">
        <v>5303</v>
      </c>
      <c r="C5547" s="9">
        <v>1771</v>
      </c>
      <c r="D5547" s="0">
        <v>4</v>
      </c>
      <c r="E5547" s="10">
        <f>HYPERLINK("http://www.lingerieopt.ru/images/original/265c66af-1a18-4bd3-a1c2-478660e466f7.jpg","Фото")</f>
      </c>
    </row>
    <row r="5548">
      <c r="A5548" s="7">
        <f>HYPERLINK("http://www.lingerieopt.ru/item/9087-soblaznitelnaya-sorochka-s-krjljshkami/","9087")</f>
      </c>
      <c r="B5548" s="8" t="s">
        <v>5304</v>
      </c>
      <c r="C5548" s="9">
        <v>1771</v>
      </c>
      <c r="D5548" s="0">
        <v>5</v>
      </c>
      <c r="E5548" s="10">
        <f>HYPERLINK("http://www.lingerieopt.ru/images/original/265c66af-1a18-4bd3-a1c2-478660e466f7.jpg","Фото")</f>
      </c>
    </row>
    <row r="5549">
      <c r="A5549" s="7">
        <f>HYPERLINK("http://www.lingerieopt.ru/item/9088-soblaznitelnji-penyuar-s-poluotkrjtoi-spinkoi/","9088")</f>
      </c>
      <c r="B5549" s="8" t="s">
        <v>5305</v>
      </c>
      <c r="C5549" s="9">
        <v>2231</v>
      </c>
      <c r="D5549" s="0">
        <v>6</v>
      </c>
      <c r="E5549" s="10">
        <f>HYPERLINK("http://www.lingerieopt.ru/images/original/0d12c372-cc1e-44f0-bd6e-2784d036a8be.jpg","Фото")</f>
      </c>
    </row>
    <row r="5550">
      <c r="A5550" s="7">
        <f>HYPERLINK("http://www.lingerieopt.ru/item/9088-soblaznitelnji-penyuar-s-poluotkrjtoi-spinkoi/","9088")</f>
      </c>
      <c r="B5550" s="8" t="s">
        <v>5306</v>
      </c>
      <c r="C5550" s="9">
        <v>2231</v>
      </c>
      <c r="D5550" s="0">
        <v>3</v>
      </c>
      <c r="E5550" s="10">
        <f>HYPERLINK("http://www.lingerieopt.ru/images/original/0d12c372-cc1e-44f0-bd6e-2784d036a8be.jpg","Фото")</f>
      </c>
    </row>
    <row r="5551">
      <c r="A5551" s="7">
        <f>HYPERLINK("http://www.lingerieopt.ru/item/9102-korotenkaya-sorochka-miamor-plus-size-razrezami-po-bokam/","9102")</f>
      </c>
      <c r="B5551" s="8" t="s">
        <v>5307</v>
      </c>
      <c r="C5551" s="9">
        <v>1900</v>
      </c>
      <c r="D5551" s="0">
        <v>3</v>
      </c>
      <c r="E5551" s="10">
        <f>HYPERLINK("http://www.lingerieopt.ru/images/original/2a2b1ce2-af35-47ea-8417-04e36de9ea63.jpg","Фото")</f>
      </c>
    </row>
    <row r="5552">
      <c r="A5552" s="7">
        <f>HYPERLINK("http://www.lingerieopt.ru/item/9129-otkrovennaya-sorochka-s-asimmetrichnjm-podolom-i-otkrjtoi-grudyu/","9129")</f>
      </c>
      <c r="B5552" s="8" t="s">
        <v>5308</v>
      </c>
      <c r="C5552" s="9">
        <v>1863</v>
      </c>
      <c r="D5552" s="0">
        <v>10</v>
      </c>
      <c r="E5552" s="10">
        <f>HYPERLINK("http://www.lingerieopt.ru/images/original/a42603f1-6a17-4be4-a7ac-c90b4dc2df8d.jpg","Фото")</f>
      </c>
    </row>
    <row r="5553">
      <c r="A5553" s="7">
        <f>HYPERLINK("http://www.lingerieopt.ru/item/9129-otkrovennaya-sorochka-s-asimmetrichnjm-podolom-i-otkrjtoi-grudyu/","9129")</f>
      </c>
      <c r="B5553" s="8" t="s">
        <v>5309</v>
      </c>
      <c r="C5553" s="9">
        <v>1863</v>
      </c>
      <c r="D5553" s="0">
        <v>4</v>
      </c>
      <c r="E5553" s="10">
        <f>HYPERLINK("http://www.lingerieopt.ru/images/original/a42603f1-6a17-4be4-a7ac-c90b4dc2df8d.jpg","Фото")</f>
      </c>
    </row>
    <row r="5554">
      <c r="A5554" s="7">
        <f>HYPERLINK("http://www.lingerieopt.ru/item/9131-oblegayuschaya-sorochka-auroria-plus-size-s-kruzhevom/","9131")</f>
      </c>
      <c r="B5554" s="8" t="s">
        <v>5310</v>
      </c>
      <c r="C5554" s="9">
        <v>1493</v>
      </c>
      <c r="D5554" s="0">
        <v>3</v>
      </c>
      <c r="E5554" s="10">
        <f>HYPERLINK("http://www.lingerieopt.ru/images/original/a6148abf-3233-44e8-94d2-6f0b1ba59ca5.jpg","Фото")</f>
      </c>
    </row>
    <row r="5555">
      <c r="A5555" s="7">
        <f>HYPERLINK("http://www.lingerieopt.ru/item/9162-poluprozrachnaya-sorochka-s-kruzhevom-na-tonkih-bretelyah/","9162")</f>
      </c>
      <c r="B5555" s="8" t="s">
        <v>5311</v>
      </c>
      <c r="C5555" s="9">
        <v>1431</v>
      </c>
      <c r="D5555" s="0">
        <v>1</v>
      </c>
      <c r="E5555" s="10">
        <f>HYPERLINK("http://www.lingerieopt.ru/images/original/71e9a935-4d3c-4300-ba59-b7302a8878f5.jpg","Фото")</f>
      </c>
    </row>
    <row r="5556">
      <c r="A5556" s="7">
        <f>HYPERLINK("http://www.lingerieopt.ru/item/9162-poluprozrachnaya-sorochka-s-kruzhevom-na-tonkih-bretelyah/","9162")</f>
      </c>
      <c r="B5556" s="8" t="s">
        <v>5312</v>
      </c>
      <c r="C5556" s="9">
        <v>1431</v>
      </c>
      <c r="D5556" s="0">
        <v>3</v>
      </c>
      <c r="E5556" s="10">
        <f>HYPERLINK("http://www.lingerieopt.ru/images/original/71e9a935-4d3c-4300-ba59-b7302a8878f5.jpg","Фото")</f>
      </c>
    </row>
    <row r="5557">
      <c r="A5557" s="7">
        <f>HYPERLINK("http://www.lingerieopt.ru/item/9163-oblegayuschaya-sorochka-s-kruzhevom-na-tonkih-bretelyah/","9163")</f>
      </c>
      <c r="B5557" s="8" t="s">
        <v>5313</v>
      </c>
      <c r="C5557" s="9">
        <v>1431</v>
      </c>
      <c r="D5557" s="0">
        <v>2</v>
      </c>
      <c r="E5557" s="10">
        <f>HYPERLINK("http://www.lingerieopt.ru/images/original/f2c8dbdb-af45-460f-bef0-6cd1b8808faa.jpg","Фото")</f>
      </c>
    </row>
    <row r="5558">
      <c r="A5558" s="7">
        <f>HYPERLINK("http://www.lingerieopt.ru/item/9180-oblegayuschaya-sorochka-s-prozrachnjmi-vstavkami-po-bokam-i-3-shipami-pod-lifom/","9180")</f>
      </c>
      <c r="B5558" s="8" t="s">
        <v>5314</v>
      </c>
      <c r="C5558" s="9">
        <v>1367</v>
      </c>
      <c r="D5558" s="0">
        <v>2</v>
      </c>
      <c r="E5558" s="10">
        <f>HYPERLINK("http://www.lingerieopt.ru/images/original/0d94c6ec-7b8a-41e5-8bce-5aee004702f8.jpg","Фото")</f>
      </c>
    </row>
    <row r="5559">
      <c r="A5559" s="7">
        <f>HYPERLINK("http://www.lingerieopt.ru/item/9180-oblegayuschaya-sorochka-s-prozrachnjmi-vstavkami-po-bokam-i-3-shipami-pod-lifom/","9180")</f>
      </c>
      <c r="B5559" s="8" t="s">
        <v>5315</v>
      </c>
      <c r="C5559" s="9">
        <v>1367</v>
      </c>
      <c r="D5559" s="0">
        <v>1</v>
      </c>
      <c r="E5559" s="10">
        <f>HYPERLINK("http://www.lingerieopt.ru/images/original/0d94c6ec-7b8a-41e5-8bce-5aee004702f8.jpg","Фото")</f>
      </c>
    </row>
    <row r="5560">
      <c r="A5560" s="7">
        <f>HYPERLINK("http://www.lingerieopt.ru/item/9187-kruzhevnoi-penyuar-faevia-s-poyasom/","9187")</f>
      </c>
      <c r="B5560" s="8" t="s">
        <v>5316</v>
      </c>
      <c r="C5560" s="9">
        <v>1541</v>
      </c>
      <c r="D5560" s="0">
        <v>5</v>
      </c>
      <c r="E5560" s="10">
        <f>HYPERLINK("http://www.lingerieopt.ru/images/original/0e69b78f-1224-4875-af90-41378b940916.jpg","Фото")</f>
      </c>
    </row>
    <row r="5561">
      <c r="A5561" s="7">
        <f>HYPERLINK("http://www.lingerieopt.ru/item/9187-kruzhevnoi-penyuar-faevia-s-poyasom/","9187")</f>
      </c>
      <c r="B5561" s="8" t="s">
        <v>5317</v>
      </c>
      <c r="C5561" s="9">
        <v>1541</v>
      </c>
      <c r="D5561" s="0">
        <v>7</v>
      </c>
      <c r="E5561" s="10">
        <f>HYPERLINK("http://www.lingerieopt.ru/images/original/0e69b78f-1224-4875-af90-41378b940916.jpg","Фото")</f>
      </c>
    </row>
    <row r="5562">
      <c r="A5562" s="7">
        <f>HYPERLINK("http://www.lingerieopt.ru/item/9202-elegantnaya-poluprozrachnaya-sorochka-s-pritalennjm-siluetom/","9202")</f>
      </c>
      <c r="B5562" s="8" t="s">
        <v>5318</v>
      </c>
      <c r="C5562" s="9">
        <v>1496</v>
      </c>
      <c r="D5562" s="0">
        <v>10</v>
      </c>
      <c r="E5562" s="10">
        <f>HYPERLINK("http://www.lingerieopt.ru/images/original/9367bef5-c78d-401d-9c2b-e1955e095fdc.jpg","Фото")</f>
      </c>
    </row>
    <row r="5563">
      <c r="A5563" s="7">
        <f>HYPERLINK("http://www.lingerieopt.ru/item/9202-elegantnaya-poluprozrachnaya-sorochka-s-pritalennjm-siluetom/","9202")</f>
      </c>
      <c r="B5563" s="8" t="s">
        <v>5319</v>
      </c>
      <c r="C5563" s="9">
        <v>1496</v>
      </c>
      <c r="D5563" s="0">
        <v>3</v>
      </c>
      <c r="E5563" s="10">
        <f>HYPERLINK("http://www.lingerieopt.ru/images/original/9367bef5-c78d-401d-9c2b-e1955e095fdc.jpg","Фото")</f>
      </c>
    </row>
    <row r="5564">
      <c r="A5564" s="7">
        <f>HYPERLINK("http://www.lingerieopt.ru/item/9218-oblegayuschaya-sorochka-s-kletchatjmi-poluprozrachnjmi-vstavkami/","9218")</f>
      </c>
      <c r="B5564" s="8" t="s">
        <v>5320</v>
      </c>
      <c r="C5564" s="9">
        <v>1673</v>
      </c>
      <c r="D5564" s="0">
        <v>3</v>
      </c>
      <c r="E5564" s="10">
        <f>HYPERLINK("http://www.lingerieopt.ru/images/original/926a2499-87f7-4419-b4c6-a13efe1678ed.jpg","Фото")</f>
      </c>
    </row>
    <row r="5565">
      <c r="A5565" s="7">
        <f>HYPERLINK("http://www.lingerieopt.ru/item/9218-oblegayuschaya-sorochka-s-kletchatjmi-poluprozrachnjmi-vstavkami/","9218")</f>
      </c>
      <c r="B5565" s="8" t="s">
        <v>5321</v>
      </c>
      <c r="C5565" s="9">
        <v>1673</v>
      </c>
      <c r="D5565" s="0">
        <v>2</v>
      </c>
      <c r="E5565" s="10">
        <f>HYPERLINK("http://www.lingerieopt.ru/images/original/926a2499-87f7-4419-b4c6-a13efe1678ed.jpg","Фото")</f>
      </c>
    </row>
    <row r="5566">
      <c r="A5566" s="7">
        <f>HYPERLINK("http://www.lingerieopt.ru/item/9236-soblaznitelnaya-sorochka-s-businkami-poverh-razrezov/","9236")</f>
      </c>
      <c r="B5566" s="8" t="s">
        <v>5322</v>
      </c>
      <c r="C5566" s="9">
        <v>1544</v>
      </c>
      <c r="D5566" s="0">
        <v>4</v>
      </c>
      <c r="E5566" s="10">
        <f>HYPERLINK("http://www.lingerieopt.ru/images/original/35db7f83-8ba4-4d95-8a40-f3214653e098.jpg","Фото")</f>
      </c>
    </row>
    <row r="5567">
      <c r="A5567" s="7">
        <f>HYPERLINK("http://www.lingerieopt.ru/item/9236-soblaznitelnaya-sorochka-s-businkami-poverh-razrezov/","9236")</f>
      </c>
      <c r="B5567" s="8" t="s">
        <v>5323</v>
      </c>
      <c r="C5567" s="9">
        <v>1544</v>
      </c>
      <c r="D5567" s="0">
        <v>4</v>
      </c>
      <c r="E5567" s="10">
        <f>HYPERLINK("http://www.lingerieopt.ru/images/original/35db7f83-8ba4-4d95-8a40-f3214653e098.jpg","Фото")</f>
      </c>
    </row>
    <row r="5568">
      <c r="A5568" s="7">
        <f>HYPERLINK("http://www.lingerieopt.ru/item/9247-sorochka-v-krapinku-i-goroh-s-bantom-na-spinke/","9247")</f>
      </c>
      <c r="B5568" s="8" t="s">
        <v>5324</v>
      </c>
      <c r="C5568" s="9">
        <v>1696</v>
      </c>
      <c r="D5568" s="0">
        <v>3</v>
      </c>
      <c r="E5568" s="10">
        <f>HYPERLINK("http://www.lingerieopt.ru/images/original/cec60614-ef28-42b7-a2ac-f80212b317f7.jpg","Фото")</f>
      </c>
    </row>
    <row r="5569">
      <c r="A5569" s="7">
        <f>HYPERLINK("http://www.lingerieopt.ru/item/9247-sorochka-v-krapinku-i-goroh-s-bantom-na-spinke/","9247")</f>
      </c>
      <c r="B5569" s="8" t="s">
        <v>5325</v>
      </c>
      <c r="C5569" s="9">
        <v>1696</v>
      </c>
      <c r="D5569" s="0">
        <v>2</v>
      </c>
      <c r="E5569" s="10">
        <f>HYPERLINK("http://www.lingerieopt.ru/images/original/cec60614-ef28-42b7-a2ac-f80212b317f7.jpg","Фото")</f>
      </c>
    </row>
    <row r="5570">
      <c r="A5570" s="7">
        <f>HYPERLINK("http://www.lingerieopt.ru/item/9276-poluprozrachnji-penyuar-s-poyaskom-i-kruzhevnoi-otorochkoi/","9276")</f>
      </c>
      <c r="B5570" s="8" t="s">
        <v>5326</v>
      </c>
      <c r="C5570" s="9">
        <v>1880</v>
      </c>
      <c r="D5570" s="0">
        <v>9</v>
      </c>
      <c r="E5570" s="10">
        <f>HYPERLINK("http://www.lingerieopt.ru/images/original/26f4fa1f-dc2b-4622-9f11-3ed1d8c21745.jpg","Фото")</f>
      </c>
    </row>
    <row r="5571">
      <c r="A5571" s="7">
        <f>HYPERLINK("http://www.lingerieopt.ru/item/9276-poluprozrachnji-penyuar-s-poyaskom-i-kruzhevnoi-otorochkoi/","9276")</f>
      </c>
      <c r="B5571" s="8" t="s">
        <v>5327</v>
      </c>
      <c r="C5571" s="9">
        <v>1880</v>
      </c>
      <c r="D5571" s="0">
        <v>2</v>
      </c>
      <c r="E5571" s="10">
        <f>HYPERLINK("http://www.lingerieopt.ru/images/original/26f4fa1f-dc2b-4622-9f11-3ed1d8c21745.jpg","Фото")</f>
      </c>
    </row>
    <row r="5572">
      <c r="A5572" s="7">
        <f>HYPERLINK("http://www.lingerieopt.ru/item/9281-korotenkii-bebi-doll-s-ryushevoi-otdelkoi/","9281")</f>
      </c>
      <c r="B5572" s="8" t="s">
        <v>5328</v>
      </c>
      <c r="C5572" s="9">
        <v>1672</v>
      </c>
      <c r="D5572" s="0">
        <v>2</v>
      </c>
      <c r="E5572" s="10">
        <f>HYPERLINK("http://www.lingerieopt.ru/images/original/ee667993-5015-4b4b-8d91-f17c4044b940.jpg","Фото")</f>
      </c>
    </row>
    <row r="5573">
      <c r="A5573" s="7">
        <f>HYPERLINK("http://www.lingerieopt.ru/item/9281-korotenkii-bebi-doll-s-ryushevoi-otdelkoi/","9281")</f>
      </c>
      <c r="B5573" s="8" t="s">
        <v>5329</v>
      </c>
      <c r="C5573" s="9">
        <v>1672</v>
      </c>
      <c r="D5573" s="0">
        <v>1</v>
      </c>
      <c r="E5573" s="10">
        <f>HYPERLINK("http://www.lingerieopt.ru/images/original/ee667993-5015-4b4b-8d91-f17c4044b940.jpg","Фото")</f>
      </c>
    </row>
    <row r="5574">
      <c r="A5574" s="7">
        <f>HYPERLINK("http://www.lingerieopt.ru/item/9284-oblegayuschaya-sorochka-s-ryushami-na-life-i-zadnei-chasti/","9284")</f>
      </c>
      <c r="B5574" s="8" t="s">
        <v>5330</v>
      </c>
      <c r="C5574" s="9">
        <v>1543</v>
      </c>
      <c r="D5574" s="0">
        <v>3</v>
      </c>
      <c r="E5574" s="10">
        <f>HYPERLINK("http://www.lingerieopt.ru/images/original/02e03863-401e-4005-8883-510da7bfff8f.jpg","Фото")</f>
      </c>
    </row>
    <row r="5575">
      <c r="A5575" s="7">
        <f>HYPERLINK("http://www.lingerieopt.ru/item/9284-oblegayuschaya-sorochka-s-ryushami-na-life-i-zadnei-chasti/","9284")</f>
      </c>
      <c r="B5575" s="8" t="s">
        <v>5331</v>
      </c>
      <c r="C5575" s="9">
        <v>1543</v>
      </c>
      <c r="D5575" s="0">
        <v>4</v>
      </c>
      <c r="E5575" s="10">
        <f>HYPERLINK("http://www.lingerieopt.ru/images/original/02e03863-401e-4005-8883-510da7bfff8f.jpg","Фото")</f>
      </c>
    </row>
    <row r="5576">
      <c r="A5576" s="7">
        <f>HYPERLINK("http://www.lingerieopt.ru/item/9285-oblegayuschaya-sorochka-plus-size-s-ryushami-na-life-i-nizhe-spinki/","9285")</f>
      </c>
      <c r="B5576" s="8" t="s">
        <v>5332</v>
      </c>
      <c r="C5576" s="9">
        <v>1527</v>
      </c>
      <c r="D5576" s="0">
        <v>2</v>
      </c>
      <c r="E5576" s="10">
        <f>HYPERLINK("http://www.lingerieopt.ru/images/original/7d554521-d110-49a4-93cc-f4cdd1b3ea9c.jpg","Фото")</f>
      </c>
    </row>
    <row r="5577">
      <c r="A5577" s="7">
        <f>HYPERLINK("http://www.lingerieopt.ru/item/9286-poluprozrachnaya-sorochka-s-kruzhevnjm-dekorom-pod-lifom/","9286")</f>
      </c>
      <c r="B5577" s="8" t="s">
        <v>5333</v>
      </c>
      <c r="C5577" s="9">
        <v>1509</v>
      </c>
      <c r="D5577" s="0">
        <v>5</v>
      </c>
      <c r="E5577" s="10">
        <f>HYPERLINK("http://www.lingerieopt.ru/images/original/e4e544ba-d1da-4e88-8e90-e0ed005b18ca.jpg","Фото")</f>
      </c>
    </row>
    <row r="5578">
      <c r="A5578" s="7">
        <f>HYPERLINK("http://www.lingerieopt.ru/item/9286-poluprozrachnaya-sorochka-s-kruzhevnjm-dekorom-pod-lifom/","9286")</f>
      </c>
      <c r="B5578" s="8" t="s">
        <v>5334</v>
      </c>
      <c r="C5578" s="9">
        <v>1509</v>
      </c>
      <c r="D5578" s="0">
        <v>3</v>
      </c>
      <c r="E5578" s="10">
        <f>HYPERLINK("http://www.lingerieopt.ru/images/original/e4e544ba-d1da-4e88-8e90-e0ed005b18ca.jpg","Фото")</f>
      </c>
    </row>
    <row r="5579">
      <c r="A5579" s="7">
        <f>HYPERLINK("http://www.lingerieopt.ru/item/9291-poluprozrachnaya-sorochka-bebi-doll/","9291")</f>
      </c>
      <c r="B5579" s="8" t="s">
        <v>5335</v>
      </c>
      <c r="C5579" s="9">
        <v>1493</v>
      </c>
      <c r="D5579" s="0">
        <v>9</v>
      </c>
      <c r="E5579" s="10">
        <f>HYPERLINK("http://www.lingerieopt.ru/images/original/63949763-a4d3-4e2a-a152-3204fbff5c3d.jpg","Фото")</f>
      </c>
    </row>
    <row r="5580">
      <c r="A5580" s="7">
        <f>HYPERLINK("http://www.lingerieopt.ru/item/9291-poluprozrachnaya-sorochka-bebi-doll/","9291")</f>
      </c>
      <c r="B5580" s="8" t="s">
        <v>5336</v>
      </c>
      <c r="C5580" s="9">
        <v>1493</v>
      </c>
      <c r="D5580" s="0">
        <v>10</v>
      </c>
      <c r="E5580" s="10">
        <f>HYPERLINK("http://www.lingerieopt.ru/images/original/63949763-a4d3-4e2a-a152-3204fbff5c3d.jpg","Фото")</f>
      </c>
    </row>
    <row r="5581">
      <c r="A5581" s="7">
        <f>HYPERLINK("http://www.lingerieopt.ru/item/9292-poluprozrachnaya-sorochka-s-nebolshimi-razrezami-po-bokam/","9292")</f>
      </c>
      <c r="B5581" s="8" t="s">
        <v>5337</v>
      </c>
      <c r="C5581" s="9">
        <v>1439</v>
      </c>
      <c r="D5581" s="0">
        <v>3</v>
      </c>
      <c r="E5581" s="10">
        <f>HYPERLINK("http://www.lingerieopt.ru/images/original/0630fea6-16f1-43ae-8220-195a7dde03c5.jpg","Фото")</f>
      </c>
    </row>
    <row r="5582">
      <c r="A5582" s="7">
        <f>HYPERLINK("http://www.lingerieopt.ru/item/9292-poluprozrachnaya-sorochka-s-nebolshimi-razrezami-po-bokam/","9292")</f>
      </c>
      <c r="B5582" s="8" t="s">
        <v>5338</v>
      </c>
      <c r="C5582" s="9">
        <v>1439</v>
      </c>
      <c r="D5582" s="0">
        <v>3</v>
      </c>
      <c r="E5582" s="10">
        <f>HYPERLINK("http://www.lingerieopt.ru/images/original/0630fea6-16f1-43ae-8220-195a7dde03c5.jpg","Фото")</f>
      </c>
    </row>
    <row r="5583">
      <c r="A5583" s="7">
        <f>HYPERLINK("http://www.lingerieopt.ru/item/9293-poluprozrachnaya-sorochka-plus-size-s-razrezami-po-bokam/","9293")</f>
      </c>
      <c r="B5583" s="8" t="s">
        <v>5339</v>
      </c>
      <c r="C5583" s="9">
        <v>1439</v>
      </c>
      <c r="D5583" s="0">
        <v>2</v>
      </c>
      <c r="E5583" s="10">
        <f>HYPERLINK("http://www.lingerieopt.ru/images/original/eec8f5bd-7785-415c-9a8f-7ca91cd0748b.jpg","Фото")</f>
      </c>
    </row>
    <row r="5584">
      <c r="A5584" s="7">
        <f>HYPERLINK("http://www.lingerieopt.ru/item/9302-poluprozrachnaya-sorochka-bebi-doll-s-izjskannoi-kruzhevnoi-otdelkoi/","9302")</f>
      </c>
      <c r="B5584" s="8" t="s">
        <v>5340</v>
      </c>
      <c r="C5584" s="9">
        <v>1638</v>
      </c>
      <c r="D5584" s="0">
        <v>8</v>
      </c>
      <c r="E5584" s="10">
        <f>HYPERLINK("http://www.lingerieopt.ru/images/original/7c08c695-6026-44dc-8c9d-0fd823519799.jpg","Фото")</f>
      </c>
    </row>
    <row r="5585">
      <c r="A5585" s="7">
        <f>HYPERLINK("http://www.lingerieopt.ru/item/9302-poluprozrachnaya-sorochka-bebi-doll-s-izjskannoi-kruzhevnoi-otdelkoi/","9302")</f>
      </c>
      <c r="B5585" s="8" t="s">
        <v>5341</v>
      </c>
      <c r="C5585" s="9">
        <v>1638</v>
      </c>
      <c r="D5585" s="0">
        <v>6</v>
      </c>
      <c r="E5585" s="10">
        <f>HYPERLINK("http://www.lingerieopt.ru/images/original/7c08c695-6026-44dc-8c9d-0fd823519799.jpg","Фото")</f>
      </c>
    </row>
    <row r="5586">
      <c r="A5586" s="7">
        <f>HYPERLINK("http://www.lingerieopt.ru/item/9303-soblaznitelnaya-sorochka-s-krasivjmi-liniyami-dekolte/","9303")</f>
      </c>
      <c r="B5586" s="8" t="s">
        <v>5342</v>
      </c>
      <c r="C5586" s="9">
        <v>1638</v>
      </c>
      <c r="D5586" s="0">
        <v>0</v>
      </c>
      <c r="E5586" s="10">
        <f>HYPERLINK("http://www.lingerieopt.ru/images/original/9a48daaa-57d3-4ef0-9ee3-91387e6e5106.jpg","Фото")</f>
      </c>
    </row>
    <row r="5587">
      <c r="A5587" s="7">
        <f>HYPERLINK("http://www.lingerieopt.ru/item/9303-soblaznitelnaya-sorochka-s-krasivjmi-liniyami-dekolte/","9303")</f>
      </c>
      <c r="B5587" s="8" t="s">
        <v>5343</v>
      </c>
      <c r="C5587" s="9">
        <v>1638</v>
      </c>
      <c r="D5587" s="0">
        <v>2</v>
      </c>
      <c r="E5587" s="10">
        <f>HYPERLINK("http://www.lingerieopt.ru/images/original/9a48daaa-57d3-4ef0-9ee3-91387e6e5106.jpg","Фото")</f>
      </c>
    </row>
    <row r="5588">
      <c r="A5588" s="7">
        <f>HYPERLINK("http://www.lingerieopt.ru/item/9309-originalnaya-sorochka-s-vorotnichkom-na-zavyazkah/","9309")</f>
      </c>
      <c r="B5588" s="8" t="s">
        <v>5344</v>
      </c>
      <c r="C5588" s="9">
        <v>1673</v>
      </c>
      <c r="D5588" s="0">
        <v>3</v>
      </c>
      <c r="E5588" s="10">
        <f>HYPERLINK("http://www.lingerieopt.ru/images/original/a4cde69b-627f-4505-8761-0aa35752b3f9.jpg","Фото")</f>
      </c>
    </row>
    <row r="5589">
      <c r="A5589" s="7">
        <f>HYPERLINK("http://www.lingerieopt.ru/item/9309-originalnaya-sorochka-s-vorotnichkom-na-zavyazkah/","9309")</f>
      </c>
      <c r="B5589" s="8" t="s">
        <v>5345</v>
      </c>
      <c r="C5589" s="9">
        <v>1673</v>
      </c>
      <c r="D5589" s="0">
        <v>1</v>
      </c>
      <c r="E5589" s="10">
        <f>HYPERLINK("http://www.lingerieopt.ru/images/original/a4cde69b-627f-4505-8761-0aa35752b3f9.jpg","Фото")</f>
      </c>
    </row>
    <row r="5590">
      <c r="A5590" s="7">
        <f>HYPERLINK("http://www.lingerieopt.ru/item/9348-oblegayuschaya-sorochka-s-kruzhevnjm-lifom/","9348")</f>
      </c>
      <c r="B5590" s="8" t="s">
        <v>5346</v>
      </c>
      <c r="C5590" s="9">
        <v>1866</v>
      </c>
      <c r="D5590" s="0">
        <v>3</v>
      </c>
      <c r="E5590" s="10">
        <f>HYPERLINK("http://www.lingerieopt.ru/images/original/bcef0670-54a5-480b-9768-b082724409bd.jpg","Фото")</f>
      </c>
    </row>
    <row r="5591">
      <c r="A5591" s="7">
        <f>HYPERLINK("http://www.lingerieopt.ru/item/9348-oblegayuschaya-sorochka-s-kruzhevnjm-lifom/","9348")</f>
      </c>
      <c r="B5591" s="8" t="s">
        <v>5347</v>
      </c>
      <c r="C5591" s="9">
        <v>1866</v>
      </c>
      <c r="D5591" s="0">
        <v>1</v>
      </c>
      <c r="E5591" s="10">
        <f>HYPERLINK("http://www.lingerieopt.ru/images/original/bcef0670-54a5-480b-9768-b082724409bd.jpg","Фото")</f>
      </c>
    </row>
    <row r="5592">
      <c r="A5592" s="7">
        <f>HYPERLINK("http://www.lingerieopt.ru/item/9380-charuyuschaya-kombinaciya-isida-plus-size-s-ryushevoi-otdelkoi-i-kruzhevnjm-lifom/","9380")</f>
      </c>
      <c r="B5592" s="8" t="s">
        <v>5348</v>
      </c>
      <c r="C5592" s="9">
        <v>1613</v>
      </c>
      <c r="D5592" s="0">
        <v>1</v>
      </c>
      <c r="E5592" s="10">
        <f>HYPERLINK("http://www.lingerieopt.ru/images/original/670f68b5-40c2-4bff-9e22-c0df62e91b43.jpg","Фото")</f>
      </c>
    </row>
    <row r="5593">
      <c r="A5593" s="7">
        <f>HYPERLINK("http://www.lingerieopt.ru/item/9380-charuyuschaya-kombinaciya-isida-plus-size-s-ryushevoi-otdelkoi-i-kruzhevnjm-lifom/","9380")</f>
      </c>
      <c r="B5593" s="8" t="s">
        <v>5349</v>
      </c>
      <c r="C5593" s="9">
        <v>1613</v>
      </c>
      <c r="D5593" s="0">
        <v>1</v>
      </c>
      <c r="E5593" s="10">
        <f>HYPERLINK("http://www.lingerieopt.ru/images/original/670f68b5-40c2-4bff-9e22-c0df62e91b43.jpg","Фото")</f>
      </c>
    </row>
    <row r="5594">
      <c r="A5594" s="7">
        <f>HYPERLINK("http://www.lingerieopt.ru/item/9385-koketlivaya-sorochka-naomi-plus-size-na-shnurovke/","9385")</f>
      </c>
      <c r="B5594" s="8" t="s">
        <v>5350</v>
      </c>
      <c r="C5594" s="9">
        <v>1590</v>
      </c>
      <c r="D5594" s="0">
        <v>1</v>
      </c>
      <c r="E5594" s="10">
        <f>HYPERLINK("http://www.lingerieopt.ru/images/original/e83903e9-19a1-47ec-8dfb-c5dc92d63711.jpg","Фото")</f>
      </c>
    </row>
    <row r="5595">
      <c r="A5595" s="7">
        <f>HYPERLINK("http://www.lingerieopt.ru/item/9385-koketlivaya-sorochka-naomi-plus-size-na-shnurovke/","9385")</f>
      </c>
      <c r="B5595" s="8" t="s">
        <v>5351</v>
      </c>
      <c r="C5595" s="9">
        <v>1590</v>
      </c>
      <c r="D5595" s="0">
        <v>2</v>
      </c>
      <c r="E5595" s="10">
        <f>HYPERLINK("http://www.lingerieopt.ru/images/original/e83903e9-19a1-47ec-8dfb-c5dc92d63711.jpg","Фото")</f>
      </c>
    </row>
    <row r="5596">
      <c r="A5596" s="7">
        <f>HYPERLINK("http://www.lingerieopt.ru/item/9385-koketlivaya-sorochka-naomi-plus-size-na-shnurovke/","9385")</f>
      </c>
      <c r="B5596" s="8" t="s">
        <v>5352</v>
      </c>
      <c r="C5596" s="9">
        <v>1590</v>
      </c>
      <c r="D5596" s="0">
        <v>2</v>
      </c>
      <c r="E5596" s="10">
        <f>HYPERLINK("http://www.lingerieopt.ru/images/original/e83903e9-19a1-47ec-8dfb-c5dc92d63711.jpg","Фото")</f>
      </c>
    </row>
    <row r="5597">
      <c r="A5597" s="7">
        <f>HYPERLINK("http://www.lingerieopt.ru/item/9385-koketlivaya-sorochka-naomi-plus-size-na-shnurovke/","9385")</f>
      </c>
      <c r="B5597" s="8" t="s">
        <v>5353</v>
      </c>
      <c r="C5597" s="9">
        <v>1590</v>
      </c>
      <c r="D5597" s="0">
        <v>2</v>
      </c>
      <c r="E5597" s="10">
        <f>HYPERLINK("http://www.lingerieopt.ru/images/original/e83903e9-19a1-47ec-8dfb-c5dc92d63711.jpg","Фото")</f>
      </c>
    </row>
    <row r="5598">
      <c r="A5598" s="7">
        <f>HYPERLINK("http://www.lingerieopt.ru/item/9394-oblegayuschaya-sorochka-splash-plus-size-s-kruzhevnjm-lifom-i-atlasnoi-vstavkoi/","9394")</f>
      </c>
      <c r="B5598" s="8" t="s">
        <v>5354</v>
      </c>
      <c r="C5598" s="9">
        <v>1590</v>
      </c>
      <c r="D5598" s="0">
        <v>0</v>
      </c>
      <c r="E5598" s="10">
        <f>HYPERLINK("http://www.lingerieopt.ru/images/original/ef66451c-04ad-4150-810b-016671cd0613.jpg","Фото")</f>
      </c>
    </row>
    <row r="5599">
      <c r="A5599" s="7">
        <f>HYPERLINK("http://www.lingerieopt.ru/item/9394-oblegayuschaya-sorochka-splash-plus-size-s-kruzhevnjm-lifom-i-atlasnoi-vstavkoi/","9394")</f>
      </c>
      <c r="B5599" s="8" t="s">
        <v>5355</v>
      </c>
      <c r="C5599" s="9">
        <v>1590</v>
      </c>
      <c r="D5599" s="0">
        <v>2</v>
      </c>
      <c r="E5599" s="10">
        <f>HYPERLINK("http://www.lingerieopt.ru/images/original/ef66451c-04ad-4150-810b-016671cd0613.jpg","Фото")</f>
      </c>
    </row>
    <row r="5600">
      <c r="A5600" s="7">
        <f>HYPERLINK("http://www.lingerieopt.ru/item/9408-igrivji-bebi-doll-feira-plus-size-s-polami-ot-lifa/","9408")</f>
      </c>
      <c r="B5600" s="8" t="s">
        <v>5356</v>
      </c>
      <c r="C5600" s="9">
        <v>2004</v>
      </c>
      <c r="D5600" s="0">
        <v>1</v>
      </c>
      <c r="E5600" s="10">
        <f>HYPERLINK("http://www.lingerieopt.ru/images/original/f0a7141e-6373-4c17-b173-a74a21902d42.jpg","Фото")</f>
      </c>
    </row>
    <row r="5601">
      <c r="A5601" s="7">
        <f>HYPERLINK("http://www.lingerieopt.ru/item/9408-igrivji-bebi-doll-feira-plus-size-s-polami-ot-lifa/","9408")</f>
      </c>
      <c r="B5601" s="8" t="s">
        <v>5357</v>
      </c>
      <c r="C5601" s="9">
        <v>2004</v>
      </c>
      <c r="D5601" s="0">
        <v>2</v>
      </c>
      <c r="E5601" s="10">
        <f>HYPERLINK("http://www.lingerieopt.ru/images/original/f0a7141e-6373-4c17-b173-a74a21902d42.jpg","Фото")</f>
      </c>
    </row>
    <row r="5602">
      <c r="A5602" s="7">
        <f>HYPERLINK("http://www.lingerieopt.ru/item/9409-koketlivji-bebi-doll-feira-s-razrezom-ot-lifa/","9409")</f>
      </c>
      <c r="B5602" s="8" t="s">
        <v>5358</v>
      </c>
      <c r="C5602" s="9">
        <v>2004</v>
      </c>
      <c r="D5602" s="0">
        <v>2</v>
      </c>
      <c r="E5602" s="10">
        <f>HYPERLINK("http://www.lingerieopt.ru/images/original/12b506bc-912e-4f2b-b07b-c57be0d70da6.jpg","Фото")</f>
      </c>
    </row>
    <row r="5603">
      <c r="A5603" s="7">
        <f>HYPERLINK("http://www.lingerieopt.ru/item/9409-koketlivji-bebi-doll-feira-s-razrezom-ot-lifa/","9409")</f>
      </c>
      <c r="B5603" s="8" t="s">
        <v>5359</v>
      </c>
      <c r="C5603" s="9">
        <v>2004</v>
      </c>
      <c r="D5603" s="0">
        <v>4</v>
      </c>
      <c r="E5603" s="10">
        <f>HYPERLINK("http://www.lingerieopt.ru/images/original/12b506bc-912e-4f2b-b07b-c57be0d70da6.jpg","Фото")</f>
      </c>
    </row>
    <row r="5604">
      <c r="A5604" s="7">
        <f>HYPERLINK("http://www.lingerieopt.ru/item/9409-koketlivji-bebi-doll-feira-s-razrezom-ot-lifa/","9409")</f>
      </c>
      <c r="B5604" s="8" t="s">
        <v>5360</v>
      </c>
      <c r="C5604" s="9">
        <v>2004</v>
      </c>
      <c r="D5604" s="0">
        <v>3</v>
      </c>
      <c r="E5604" s="10">
        <f>HYPERLINK("http://www.lingerieopt.ru/images/original/12b506bc-912e-4f2b-b07b-c57be0d70da6.jpg","Фото")</f>
      </c>
    </row>
    <row r="5605">
      <c r="A5605" s="7">
        <f>HYPERLINK("http://www.lingerieopt.ru/item/9409-koketlivji-bebi-doll-feira-s-razrezom-ot-lifa/","9409")</f>
      </c>
      <c r="B5605" s="8" t="s">
        <v>5361</v>
      </c>
      <c r="C5605" s="9">
        <v>2004</v>
      </c>
      <c r="D5605" s="0">
        <v>3</v>
      </c>
      <c r="E5605" s="10">
        <f>HYPERLINK("http://www.lingerieopt.ru/images/original/12b506bc-912e-4f2b-b07b-c57be0d70da6.jpg","Фото")</f>
      </c>
    </row>
    <row r="5606">
      <c r="A5606" s="7">
        <f>HYPERLINK("http://www.lingerieopt.ru/item/9414-sorochka-omorfi-plus-size-s-cvetochnjm-kruzhevom/","9414")</f>
      </c>
      <c r="B5606" s="8" t="s">
        <v>5362</v>
      </c>
      <c r="C5606" s="9">
        <v>2266</v>
      </c>
      <c r="D5606" s="0">
        <v>2</v>
      </c>
      <c r="E5606" s="10">
        <f>HYPERLINK("http://www.lingerieopt.ru/images/original/dc39a2d2-bfaf-4436-a405-67b05e923293.jpg","Фото")</f>
      </c>
    </row>
    <row r="5607">
      <c r="A5607" s="7">
        <f>HYPERLINK("http://www.lingerieopt.ru/item/9414-sorochka-omorfi-plus-size-s-cvetochnjm-kruzhevom/","9414")</f>
      </c>
      <c r="B5607" s="8" t="s">
        <v>5363</v>
      </c>
      <c r="C5607" s="9">
        <v>2266</v>
      </c>
      <c r="D5607" s="0">
        <v>2</v>
      </c>
      <c r="E5607" s="10">
        <f>HYPERLINK("http://www.lingerieopt.ru/images/original/dc39a2d2-bfaf-4436-a405-67b05e923293.jpg","Фото")</f>
      </c>
    </row>
    <row r="5608">
      <c r="A5608" s="7">
        <f>HYPERLINK("http://www.lingerieopt.ru/item/9416-otkrjtaya-sorochka-pequena-so-shnurovkoi-na-spinke/","9416")</f>
      </c>
      <c r="B5608" s="8" t="s">
        <v>5364</v>
      </c>
      <c r="C5608" s="9">
        <v>1521</v>
      </c>
      <c r="D5608" s="0">
        <v>1</v>
      </c>
      <c r="E5608" s="10">
        <f>HYPERLINK("http://www.lingerieopt.ru/images/original/de746eea-d222-4bd9-b946-4a53521a57ec.jpg","Фото")</f>
      </c>
    </row>
    <row r="5609">
      <c r="A5609" s="7">
        <f>HYPERLINK("http://www.lingerieopt.ru/item/9416-otkrjtaya-sorochka-pequena-so-shnurovkoi-na-spinke/","9416")</f>
      </c>
      <c r="B5609" s="8" t="s">
        <v>5365</v>
      </c>
      <c r="C5609" s="9">
        <v>1521</v>
      </c>
      <c r="D5609" s="0">
        <v>0</v>
      </c>
      <c r="E5609" s="10">
        <f>HYPERLINK("http://www.lingerieopt.ru/images/original/de746eea-d222-4bd9-b946-4a53521a57ec.jpg","Фото")</f>
      </c>
    </row>
    <row r="5610">
      <c r="A5610" s="7">
        <f>HYPERLINK("http://www.lingerieopt.ru/item/9416-otkrjtaya-sorochka-pequena-so-shnurovkoi-na-spinke/","9416")</f>
      </c>
      <c r="B5610" s="8" t="s">
        <v>5366</v>
      </c>
      <c r="C5610" s="9">
        <v>1521</v>
      </c>
      <c r="D5610" s="0">
        <v>3</v>
      </c>
      <c r="E5610" s="10">
        <f>HYPERLINK("http://www.lingerieopt.ru/images/original/de746eea-d222-4bd9-b946-4a53521a57ec.jpg","Фото")</f>
      </c>
    </row>
    <row r="5611">
      <c r="A5611" s="7">
        <f>HYPERLINK("http://www.lingerieopt.ru/item/9416-otkrjtaya-sorochka-pequena-so-shnurovkoi-na-spinke/","9416")</f>
      </c>
      <c r="B5611" s="8" t="s">
        <v>5367</v>
      </c>
      <c r="C5611" s="9">
        <v>1521</v>
      </c>
      <c r="D5611" s="0">
        <v>0</v>
      </c>
      <c r="E5611" s="10">
        <f>HYPERLINK("http://www.lingerieopt.ru/images/original/de746eea-d222-4bd9-b946-4a53521a57ec.jpg","Фото")</f>
      </c>
    </row>
    <row r="5612">
      <c r="A5612" s="7">
        <f>HYPERLINK("http://www.lingerieopt.ru/item/9417-soblaznitelnaya-sorochka-saule-plus-size/","9417")</f>
      </c>
      <c r="B5612" s="8" t="s">
        <v>5368</v>
      </c>
      <c r="C5612" s="9">
        <v>1324</v>
      </c>
      <c r="D5612" s="0">
        <v>3</v>
      </c>
      <c r="E5612" s="10">
        <f>HYPERLINK("http://www.lingerieopt.ru/images/original/9fa22ce2-d567-4daf-9acf-95420173170c.jpg","Фото")</f>
      </c>
    </row>
    <row r="5613">
      <c r="A5613" s="7">
        <f>HYPERLINK("http://www.lingerieopt.ru/item/9417-soblaznitelnaya-sorochka-saule-plus-size/","9417")</f>
      </c>
      <c r="B5613" s="8" t="s">
        <v>5369</v>
      </c>
      <c r="C5613" s="9">
        <v>1324</v>
      </c>
      <c r="D5613" s="0">
        <v>2</v>
      </c>
      <c r="E5613" s="10">
        <f>HYPERLINK("http://www.lingerieopt.ru/images/original/9fa22ce2-d567-4daf-9acf-95420173170c.jpg","Фото")</f>
      </c>
    </row>
    <row r="5614">
      <c r="A5614" s="7">
        <f>HYPERLINK("http://www.lingerieopt.ru/item/9421-poluprozrachnaya-sorochka-thami-plus-size/","9421")</f>
      </c>
      <c r="B5614" s="8" t="s">
        <v>5370</v>
      </c>
      <c r="C5614" s="9">
        <v>1198</v>
      </c>
      <c r="D5614" s="0">
        <v>1</v>
      </c>
      <c r="E5614" s="10">
        <f>HYPERLINK("http://www.lingerieopt.ru/images/original/500cc156-ec6f-4b73-8bc1-76d5de19b71a.jpg","Фото")</f>
      </c>
    </row>
    <row r="5615">
      <c r="A5615" s="7">
        <f>HYPERLINK("http://www.lingerieopt.ru/item/9421-poluprozrachnaya-sorochka-thami-plus-size/","9421")</f>
      </c>
      <c r="B5615" s="8" t="s">
        <v>5371</v>
      </c>
      <c r="C5615" s="9">
        <v>1198</v>
      </c>
      <c r="D5615" s="0">
        <v>2</v>
      </c>
      <c r="E5615" s="10">
        <f>HYPERLINK("http://www.lingerieopt.ru/images/original/500cc156-ec6f-4b73-8bc1-76d5de19b71a.jpg","Фото")</f>
      </c>
    </row>
    <row r="5616">
      <c r="A5616" s="7">
        <f>HYPERLINK("http://www.lingerieopt.ru/item/9424-poluprozrachnaya-azhurnaya-sorochka-purity-plus-size/","9424")</f>
      </c>
      <c r="B5616" s="8" t="s">
        <v>5372</v>
      </c>
      <c r="C5616" s="9">
        <v>803</v>
      </c>
      <c r="D5616" s="0">
        <v>1</v>
      </c>
      <c r="E5616" s="10">
        <f>HYPERLINK("http://www.lingerieopt.ru/images/original/c8981f16-32e1-4f3d-942f-e451c2c7e9d1.jpg","Фото")</f>
      </c>
    </row>
    <row r="5617">
      <c r="A5617" s="7">
        <f>HYPERLINK("http://www.lingerieopt.ru/item/9424-poluprozrachnaya-azhurnaya-sorochka-purity-plus-size/","9424")</f>
      </c>
      <c r="B5617" s="8" t="s">
        <v>5373</v>
      </c>
      <c r="C5617" s="9">
        <v>803</v>
      </c>
      <c r="D5617" s="0">
        <v>2</v>
      </c>
      <c r="E5617" s="10">
        <f>HYPERLINK("http://www.lingerieopt.ru/images/original/c8981f16-32e1-4f3d-942f-e451c2c7e9d1.jpg","Фото")</f>
      </c>
    </row>
    <row r="5618">
      <c r="A5618" s="7">
        <f>HYPERLINK("http://www.lingerieopt.ru/item/9425-poluprozrachnji-bebi-doll-anemos/","9425")</f>
      </c>
      <c r="B5618" s="8" t="s">
        <v>5374</v>
      </c>
      <c r="C5618" s="9">
        <v>1728</v>
      </c>
      <c r="D5618" s="0">
        <v>6</v>
      </c>
      <c r="E5618" s="10">
        <f>HYPERLINK("http://www.lingerieopt.ru/images/original/15d2272e-dadc-463d-8a4a-6b7dd675820b.jpg","Фото")</f>
      </c>
    </row>
    <row r="5619">
      <c r="A5619" s="7">
        <f>HYPERLINK("http://www.lingerieopt.ru/item/9425-poluprozrachnji-bebi-doll-anemos/","9425")</f>
      </c>
      <c r="B5619" s="8" t="s">
        <v>5375</v>
      </c>
      <c r="C5619" s="9">
        <v>1728</v>
      </c>
      <c r="D5619" s="0">
        <v>10</v>
      </c>
      <c r="E5619" s="10">
        <f>HYPERLINK("http://www.lingerieopt.ru/images/original/15d2272e-dadc-463d-8a4a-6b7dd675820b.jpg","Фото")</f>
      </c>
    </row>
    <row r="5620">
      <c r="A5620" s="7">
        <f>HYPERLINK("http://www.lingerieopt.ru/item/9425-poluprozrachnji-bebi-doll-anemos/","9425")</f>
      </c>
      <c r="B5620" s="8" t="s">
        <v>5376</v>
      </c>
      <c r="C5620" s="9">
        <v>1728</v>
      </c>
      <c r="D5620" s="0">
        <v>9</v>
      </c>
      <c r="E5620" s="10">
        <f>HYPERLINK("http://www.lingerieopt.ru/images/original/15d2272e-dadc-463d-8a4a-6b7dd675820b.jpg","Фото")</f>
      </c>
    </row>
    <row r="5621">
      <c r="A5621" s="7">
        <f>HYPERLINK("http://www.lingerieopt.ru/item/9427-kruzhevnaya-sorochka-orangina-v-dlinnjmi-rukavami-i-cvetochnjm-risunkom/","9427")</f>
      </c>
      <c r="B5621" s="8" t="s">
        <v>5377</v>
      </c>
      <c r="C5621" s="9">
        <v>1291</v>
      </c>
      <c r="D5621" s="0">
        <v>9</v>
      </c>
      <c r="E5621" s="10">
        <f>HYPERLINK("http://www.lingerieopt.ru/images/original/fc8fe98e-f639-4200-9b32-41d5aaec703b.jpg","Фото")</f>
      </c>
    </row>
    <row r="5622">
      <c r="A5622" s="7">
        <f>HYPERLINK("http://www.lingerieopt.ru/item/9427-kruzhevnaya-sorochka-orangina-v-dlinnjmi-rukavami-i-cvetochnjm-risunkom/","9427")</f>
      </c>
      <c r="B5622" s="8" t="s">
        <v>5378</v>
      </c>
      <c r="C5622" s="9">
        <v>1291</v>
      </c>
      <c r="D5622" s="0">
        <v>13</v>
      </c>
      <c r="E5622" s="10">
        <f>HYPERLINK("http://www.lingerieopt.ru/images/original/fc8fe98e-f639-4200-9b32-41d5aaec703b.jpg","Фото")</f>
      </c>
    </row>
    <row r="5623">
      <c r="A5623" s="7">
        <f>HYPERLINK("http://www.lingerieopt.ru/item/9427-kruzhevnaya-sorochka-orangina-v-dlinnjmi-rukavami-i-cvetochnjm-risunkom/","9427")</f>
      </c>
      <c r="B5623" s="8" t="s">
        <v>5379</v>
      </c>
      <c r="C5623" s="9">
        <v>1291</v>
      </c>
      <c r="D5623" s="0">
        <v>9</v>
      </c>
      <c r="E5623" s="10">
        <f>HYPERLINK("http://www.lingerieopt.ru/images/original/fc8fe98e-f639-4200-9b32-41d5aaec703b.jpg","Фото")</f>
      </c>
    </row>
    <row r="5624">
      <c r="A5624" s="7">
        <f>HYPERLINK("http://www.lingerieopt.ru/item/9428-oblegayuschaya-kruzhevnaya-sorochka-ymare/","9428")</f>
      </c>
      <c r="B5624" s="8" t="s">
        <v>5380</v>
      </c>
      <c r="C5624" s="9">
        <v>1925</v>
      </c>
      <c r="D5624" s="0">
        <v>9</v>
      </c>
      <c r="E5624" s="10">
        <f>HYPERLINK("http://www.lingerieopt.ru/images/original/2363fb4a-57b8-425f-9500-e78785f77c88.jpg","Фото")</f>
      </c>
    </row>
    <row r="5625">
      <c r="A5625" s="7">
        <f>HYPERLINK("http://www.lingerieopt.ru/item/9428-oblegayuschaya-kruzhevnaya-sorochka-ymare/","9428")</f>
      </c>
      <c r="B5625" s="8" t="s">
        <v>5381</v>
      </c>
      <c r="C5625" s="9">
        <v>1925</v>
      </c>
      <c r="D5625" s="0">
        <v>8</v>
      </c>
      <c r="E5625" s="10">
        <f>HYPERLINK("http://www.lingerieopt.ru/images/original/2363fb4a-57b8-425f-9500-e78785f77c88.jpg","Фото")</f>
      </c>
    </row>
    <row r="5626">
      <c r="A5626" s="7">
        <f>HYPERLINK("http://www.lingerieopt.ru/item/9428-oblegayuschaya-kruzhevnaya-sorochka-ymare/","9428")</f>
      </c>
      <c r="B5626" s="8" t="s">
        <v>5382</v>
      </c>
      <c r="C5626" s="9">
        <v>1925</v>
      </c>
      <c r="D5626" s="0">
        <v>8</v>
      </c>
      <c r="E5626" s="10">
        <f>HYPERLINK("http://www.lingerieopt.ru/images/original/2363fb4a-57b8-425f-9500-e78785f77c88.jpg","Фото")</f>
      </c>
    </row>
    <row r="5627">
      <c r="A5627" s="7">
        <f>HYPERLINK("http://www.lingerieopt.ru/item/9430-sorochka-charming-plus-size-s-razrezom-na-spinke/","9430")</f>
      </c>
      <c r="B5627" s="8" t="s">
        <v>5383</v>
      </c>
      <c r="C5627" s="9">
        <v>1778</v>
      </c>
      <c r="D5627" s="0">
        <v>2</v>
      </c>
      <c r="E5627" s="10">
        <f>HYPERLINK("http://www.lingerieopt.ru/images/original/8bbded9a-aa30-4d4d-b5f6-b6d390aa6ad9.jpg","Фото")</f>
      </c>
    </row>
    <row r="5628">
      <c r="A5628" s="7">
        <f>HYPERLINK("http://www.lingerieopt.ru/item/9433-poluprozrachnaya-sorochka-kaylee-plus-size-s-otkrjtjmi-chashkami-lifa/","9433")</f>
      </c>
      <c r="B5628" s="8" t="s">
        <v>5384</v>
      </c>
      <c r="C5628" s="9">
        <v>1602</v>
      </c>
      <c r="D5628" s="0">
        <v>1</v>
      </c>
      <c r="E5628" s="10">
        <f>HYPERLINK("http://www.lingerieopt.ru/images/original/4085686f-6169-46bc-811a-11095f6f0a06.jpg","Фото")</f>
      </c>
    </row>
    <row r="5629">
      <c r="A5629" s="7">
        <f>HYPERLINK("http://www.lingerieopt.ru/item/9433-poluprozrachnaya-sorochka-kaylee-plus-size-s-otkrjtjmi-chashkami-lifa/","9433")</f>
      </c>
      <c r="B5629" s="8" t="s">
        <v>5385</v>
      </c>
      <c r="C5629" s="9">
        <v>1602</v>
      </c>
      <c r="D5629" s="0">
        <v>2</v>
      </c>
      <c r="E5629" s="10">
        <f>HYPERLINK("http://www.lingerieopt.ru/images/original/4085686f-6169-46bc-811a-11095f6f0a06.jpg","Фото")</f>
      </c>
    </row>
    <row r="5630">
      <c r="A5630" s="7">
        <f>HYPERLINK("http://www.lingerieopt.ru/item/9434-otkrjtaya-sorochka-wild-nymph-plus-size-s-cepochkoi-iz-kristallov/","9434")</f>
      </c>
      <c r="B5630" s="8" t="s">
        <v>5386</v>
      </c>
      <c r="C5630" s="9">
        <v>1099</v>
      </c>
      <c r="D5630" s="0">
        <v>2</v>
      </c>
      <c r="E5630" s="10">
        <f>HYPERLINK("http://www.lingerieopt.ru/images/original/b428a1da-d263-4b5f-a46d-34cb6b045dc8.jpg","Фото")</f>
      </c>
    </row>
    <row r="5631">
      <c r="A5631" s="7">
        <f>HYPERLINK("http://www.lingerieopt.ru/item/9437-sorochka-bailey-plus-size-s-perekreschivayuschimisya-bretelyami/","9437")</f>
      </c>
      <c r="B5631" s="8" t="s">
        <v>5387</v>
      </c>
      <c r="C5631" s="9">
        <v>1613</v>
      </c>
      <c r="D5631" s="0">
        <v>0</v>
      </c>
      <c r="E5631" s="10">
        <f>HYPERLINK("http://www.lingerieopt.ru/images/original/9a71678f-9cc7-4745-901f-17a48c9516f9.jpg","Фото")</f>
      </c>
    </row>
    <row r="5632">
      <c r="A5632" s="7">
        <f>HYPERLINK("http://www.lingerieopt.ru/item/9437-sorochka-bailey-plus-size-s-perekreschivayuschimisya-bretelyami/","9437")</f>
      </c>
      <c r="B5632" s="8" t="s">
        <v>5388</v>
      </c>
      <c r="C5632" s="9">
        <v>1613</v>
      </c>
      <c r="D5632" s="0">
        <v>1</v>
      </c>
      <c r="E5632" s="10">
        <f>HYPERLINK("http://www.lingerieopt.ru/images/original/9a71678f-9cc7-4745-901f-17a48c9516f9.jpg","Фото")</f>
      </c>
    </row>
    <row r="5633">
      <c r="A5633" s="7">
        <f>HYPERLINK("http://www.lingerieopt.ru/item/9438-corochka-coco-plus-size-s-pikantnjmi-vjrezami-szadi/","9438")</f>
      </c>
      <c r="B5633" s="8" t="s">
        <v>5389</v>
      </c>
      <c r="C5633" s="9">
        <v>1869</v>
      </c>
      <c r="D5633" s="0">
        <v>0</v>
      </c>
      <c r="E5633" s="10">
        <f>HYPERLINK("http://www.lingerieopt.ru/images/original/a25d1b75-d1e1-4f96-b15d-48e16dbf71fd.jpg","Фото")</f>
      </c>
    </row>
    <row r="5634">
      <c r="A5634" s="7">
        <f>HYPERLINK("http://www.lingerieopt.ru/item/9438-corochka-coco-plus-size-s-pikantnjmi-vjrezami-szadi/","9438")</f>
      </c>
      <c r="B5634" s="8" t="s">
        <v>5390</v>
      </c>
      <c r="C5634" s="9">
        <v>1869</v>
      </c>
      <c r="D5634" s="0">
        <v>3</v>
      </c>
      <c r="E5634" s="10">
        <f>HYPERLINK("http://www.lingerieopt.ru/images/original/a25d1b75-d1e1-4f96-b15d-48e16dbf71fd.jpg","Фото")</f>
      </c>
    </row>
    <row r="5635">
      <c r="A5635" s="7">
        <f>HYPERLINK("http://www.lingerieopt.ru/item/9439-prozrachnaya-sorochka-estee-plus-size-s-poluotkrjtjm-lifom/","9439")</f>
      </c>
      <c r="B5635" s="8" t="s">
        <v>5391</v>
      </c>
      <c r="C5635" s="9">
        <v>1602</v>
      </c>
      <c r="D5635" s="0">
        <v>1</v>
      </c>
      <c r="E5635" s="10">
        <f>HYPERLINK("http://www.lingerieopt.ru/images/original/d2717c3b-0e92-4a4d-95e5-a29d7f96284f.jpg","Фото")</f>
      </c>
    </row>
    <row r="5636">
      <c r="A5636" s="7">
        <f>HYPERLINK("http://www.lingerieopt.ru/item/9439-prozrachnaya-sorochka-estee-plus-size-s-poluotkrjtjm-lifom/","9439")</f>
      </c>
      <c r="B5636" s="8" t="s">
        <v>5392</v>
      </c>
      <c r="C5636" s="9">
        <v>1602</v>
      </c>
      <c r="D5636" s="0">
        <v>2</v>
      </c>
      <c r="E5636" s="10">
        <f>HYPERLINK("http://www.lingerieopt.ru/images/original/d2717c3b-0e92-4a4d-95e5-a29d7f96284f.jpg","Фото")</f>
      </c>
    </row>
    <row r="5637">
      <c r="A5637" s="7">
        <f>HYPERLINK("http://www.lingerieopt.ru/item/9440-poluprozrachnaya-sorochka-estee-s-otkrjtjm-lifom/","9440")</f>
      </c>
      <c r="B5637" s="8" t="s">
        <v>5393</v>
      </c>
      <c r="C5637" s="9">
        <v>1602</v>
      </c>
      <c r="D5637" s="0">
        <v>3</v>
      </c>
      <c r="E5637" s="10">
        <f>HYPERLINK("http://www.lingerieopt.ru/images/original/bdba619f-e5b6-445a-9b56-b9d07cec713a.jpg","Фото")</f>
      </c>
    </row>
    <row r="5638">
      <c r="A5638" s="7">
        <f>HYPERLINK("http://www.lingerieopt.ru/item/9440-poluprozrachnaya-sorochka-estee-s-otkrjtjm-lifom/","9440")</f>
      </c>
      <c r="B5638" s="8" t="s">
        <v>5394</v>
      </c>
      <c r="C5638" s="9">
        <v>1602</v>
      </c>
      <c r="D5638" s="0">
        <v>4</v>
      </c>
      <c r="E5638" s="10">
        <f>HYPERLINK("http://www.lingerieopt.ru/images/original/bdba619f-e5b6-445a-9b56-b9d07cec713a.jpg","Фото")</f>
      </c>
    </row>
    <row r="5639">
      <c r="A5639" s="7">
        <f>HYPERLINK("http://www.lingerieopt.ru/item/9440-poluprozrachnaya-sorochka-estee-s-otkrjtjm-lifom/","9440")</f>
      </c>
      <c r="B5639" s="8" t="s">
        <v>5395</v>
      </c>
      <c r="C5639" s="9">
        <v>1602</v>
      </c>
      <c r="D5639" s="0">
        <v>3</v>
      </c>
      <c r="E5639" s="10">
        <f>HYPERLINK("http://www.lingerieopt.ru/images/original/bdba619f-e5b6-445a-9b56-b9d07cec713a.jpg","Фото")</f>
      </c>
    </row>
    <row r="5640">
      <c r="A5640" s="7">
        <f>HYPERLINK("http://www.lingerieopt.ru/item/9440-poluprozrachnaya-sorochka-estee-s-otkrjtjm-lifom/","9440")</f>
      </c>
      <c r="B5640" s="8" t="s">
        <v>5396</v>
      </c>
      <c r="C5640" s="9">
        <v>1602</v>
      </c>
      <c r="D5640" s="0">
        <v>4</v>
      </c>
      <c r="E5640" s="10">
        <f>HYPERLINK("http://www.lingerieopt.ru/images/original/bdba619f-e5b6-445a-9b56-b9d07cec713a.jpg","Фото")</f>
      </c>
    </row>
    <row r="5641">
      <c r="A5641" s="7">
        <f>HYPERLINK("http://www.lingerieopt.ru/item/9450-sorochka-aimee-plus-size-s-t-obraznoi-vstavkoi-pod-atlas-i-pazhami/","9450")</f>
      </c>
      <c r="B5641" s="8" t="s">
        <v>5397</v>
      </c>
      <c r="C5641" s="9">
        <v>1417</v>
      </c>
      <c r="D5641" s="0">
        <v>3</v>
      </c>
      <c r="E5641" s="10">
        <f>HYPERLINK("http://www.lingerieopt.ru/images/original/4366f0f1-2d63-4bb8-9523-e4ec8f8da22c.jpg","Фото")</f>
      </c>
    </row>
    <row r="5642">
      <c r="A5642" s="7">
        <f>HYPERLINK("http://www.lingerieopt.ru/item/9450-sorochka-aimee-plus-size-s-t-obraznoi-vstavkoi-pod-atlas-i-pazhami/","9450")</f>
      </c>
      <c r="B5642" s="8" t="s">
        <v>5398</v>
      </c>
      <c r="C5642" s="9">
        <v>1417</v>
      </c>
      <c r="D5642" s="0">
        <v>3</v>
      </c>
      <c r="E5642" s="10">
        <f>HYPERLINK("http://www.lingerieopt.ru/images/original/4366f0f1-2d63-4bb8-9523-e4ec8f8da22c.jpg","Фото")</f>
      </c>
    </row>
    <row r="5643">
      <c r="A5643" s="7">
        <f>HYPERLINK("http://www.lingerieopt.ru/item/9461-koketlivaya-sorochka-finaci-plus-size-s-otkrjtoi-spinkoi/","9461")</f>
      </c>
      <c r="B5643" s="8" t="s">
        <v>5399</v>
      </c>
      <c r="C5643" s="9">
        <v>2016</v>
      </c>
      <c r="D5643" s="0">
        <v>2</v>
      </c>
      <c r="E5643" s="10">
        <f>HYPERLINK("http://www.lingerieopt.ru/images/original/dc607c66-bdd7-40a0-a7f8-3281613333e1.jpg","Фото")</f>
      </c>
    </row>
    <row r="5644">
      <c r="A5644" s="7">
        <f>HYPERLINK("http://www.lingerieopt.ru/item/9461-koketlivaya-sorochka-finaci-plus-size-s-otkrjtoi-spinkoi/","9461")</f>
      </c>
      <c r="B5644" s="8" t="s">
        <v>5400</v>
      </c>
      <c r="C5644" s="9">
        <v>2016</v>
      </c>
      <c r="D5644" s="0">
        <v>2</v>
      </c>
      <c r="E5644" s="10">
        <f>HYPERLINK("http://www.lingerieopt.ru/images/original/dc607c66-bdd7-40a0-a7f8-3281613333e1.jpg","Фото")</f>
      </c>
    </row>
    <row r="5645">
      <c r="A5645" s="7">
        <f>HYPERLINK("http://www.lingerieopt.ru/item/9462-otkrovennaya-sorochka-mistra-plus-size-iz-tonkih-bretelei/","9462")</f>
      </c>
      <c r="B5645" s="8" t="s">
        <v>5401</v>
      </c>
      <c r="C5645" s="9">
        <v>1993</v>
      </c>
      <c r="D5645" s="0">
        <v>0</v>
      </c>
      <c r="E5645" s="10">
        <f>HYPERLINK("http://www.lingerieopt.ru/images/original/31e0a22f-be1c-42e4-ac84-f4e4aefc43aa.jpg","Фото")</f>
      </c>
    </row>
    <row r="5646">
      <c r="A5646" s="7">
        <f>HYPERLINK("http://www.lingerieopt.ru/item/9462-otkrovennaya-sorochka-mistra-plus-size-iz-tonkih-bretelei/","9462")</f>
      </c>
      <c r="B5646" s="8" t="s">
        <v>5402</v>
      </c>
      <c r="C5646" s="9">
        <v>1993</v>
      </c>
      <c r="D5646" s="0">
        <v>1</v>
      </c>
      <c r="E5646" s="10">
        <f>HYPERLINK("http://www.lingerieopt.ru/images/original/31e0a22f-be1c-42e4-ac84-f4e4aefc43aa.jpg","Фото")</f>
      </c>
    </row>
    <row r="5647">
      <c r="A5647" s="7">
        <f>HYPERLINK("http://www.lingerieopt.ru/item/9463-pikantnaya-sorochka-mistra-iz-tonkih-bretelei/","9463")</f>
      </c>
      <c r="B5647" s="8" t="s">
        <v>5403</v>
      </c>
      <c r="C5647" s="9">
        <v>1993</v>
      </c>
      <c r="D5647" s="0">
        <v>1</v>
      </c>
      <c r="E5647" s="10">
        <f>HYPERLINK("http://www.lingerieopt.ru/images/original/a42aa2ec-257f-4557-b853-dd7a5664571c.jpg","Фото")</f>
      </c>
    </row>
    <row r="5648">
      <c r="A5648" s="7">
        <f>HYPERLINK("http://www.lingerieopt.ru/item/9463-pikantnaya-sorochka-mistra-iz-tonkih-bretelei/","9463")</f>
      </c>
      <c r="B5648" s="8" t="s">
        <v>5404</v>
      </c>
      <c r="C5648" s="9">
        <v>1993</v>
      </c>
      <c r="D5648" s="0">
        <v>3</v>
      </c>
      <c r="E5648" s="10">
        <f>HYPERLINK("http://www.lingerieopt.ru/images/original/a42aa2ec-257f-4557-b853-dd7a5664571c.jpg","Фото")</f>
      </c>
    </row>
    <row r="5649">
      <c r="A5649" s="7">
        <f>HYPERLINK("http://www.lingerieopt.ru/item/9463-pikantnaya-sorochka-mistra-iz-tonkih-bretelei/","9463")</f>
      </c>
      <c r="B5649" s="8" t="s">
        <v>5405</v>
      </c>
      <c r="C5649" s="9">
        <v>1993</v>
      </c>
      <c r="D5649" s="0">
        <v>7</v>
      </c>
      <c r="E5649" s="10">
        <f>HYPERLINK("http://www.lingerieopt.ru/images/original/a42aa2ec-257f-4557-b853-dd7a5664571c.jpg","Фото")</f>
      </c>
    </row>
    <row r="5650">
      <c r="A5650" s="7">
        <f>HYPERLINK("http://www.lingerieopt.ru/item/9463-pikantnaya-sorochka-mistra-iz-tonkih-bretelei/","9463")</f>
      </c>
      <c r="B5650" s="8" t="s">
        <v>5406</v>
      </c>
      <c r="C5650" s="9">
        <v>1993</v>
      </c>
      <c r="D5650" s="0">
        <v>2</v>
      </c>
      <c r="E5650" s="10">
        <f>HYPERLINK("http://www.lingerieopt.ru/images/original/a42aa2ec-257f-4557-b853-dd7a5664571c.jpg","Фото")</f>
      </c>
    </row>
    <row r="5651">
      <c r="A5651" s="7">
        <f>HYPERLINK("http://www.lingerieopt.ru/item/9468-prozrachnaya-sorochka-abisara-plus-size-s-plotnjm-lifom/","9468")</f>
      </c>
      <c r="B5651" s="8" t="s">
        <v>5407</v>
      </c>
      <c r="C5651" s="9">
        <v>1063</v>
      </c>
      <c r="D5651" s="0">
        <v>3</v>
      </c>
      <c r="E5651" s="10">
        <f>HYPERLINK("http://www.lingerieopt.ru/images/original/01c1ec0c-11ef-40de-a3c0-0eddc1140f35.jpg","Фото")</f>
      </c>
    </row>
    <row r="5652">
      <c r="A5652" s="7">
        <f>HYPERLINK("http://www.lingerieopt.ru/item/9468-prozrachnaya-sorochka-abisara-plus-size-s-plotnjm-lifom/","9468")</f>
      </c>
      <c r="B5652" s="8" t="s">
        <v>5408</v>
      </c>
      <c r="C5652" s="9">
        <v>1063</v>
      </c>
      <c r="D5652" s="0">
        <v>2</v>
      </c>
      <c r="E5652" s="10">
        <f>HYPERLINK("http://www.lingerieopt.ru/images/original/01c1ec0c-11ef-40de-a3c0-0eddc1140f35.jpg","Фото")</f>
      </c>
    </row>
    <row r="5653">
      <c r="A5653" s="7">
        <f>HYPERLINK("http://www.lingerieopt.ru/item/9474-soblaznitelnaya-sorochka-lynette-plus-size-s-dlinnjmi-rukavami/","9474")</f>
      </c>
      <c r="B5653" s="8" t="s">
        <v>5409</v>
      </c>
      <c r="C5653" s="9">
        <v>1063</v>
      </c>
      <c r="D5653" s="0">
        <v>2</v>
      </c>
      <c r="E5653" s="10">
        <f>HYPERLINK("http://www.lingerieopt.ru/images/original/734348a6-09b2-4c79-a066-ef0159e29c67.jpg","Фото")</f>
      </c>
    </row>
    <row r="5654">
      <c r="A5654" s="7">
        <f>HYPERLINK("http://www.lingerieopt.ru/item/9474-soblaznitelnaya-sorochka-lynette-plus-size-s-dlinnjmi-rukavami/","9474")</f>
      </c>
      <c r="B5654" s="8" t="s">
        <v>5410</v>
      </c>
      <c r="C5654" s="9">
        <v>1063</v>
      </c>
      <c r="D5654" s="0">
        <v>1</v>
      </c>
      <c r="E5654" s="10">
        <f>HYPERLINK("http://www.lingerieopt.ru/images/original/734348a6-09b2-4c79-a066-ef0159e29c67.jpg","Фото")</f>
      </c>
    </row>
    <row r="5655">
      <c r="A5655" s="7">
        <f>HYPERLINK("http://www.lingerieopt.ru/item/9475-soblaznitelnaya-sorochka-lynette-s-dlinnjmi-rukavami-i-poluotkrjtjmi-plechami/","9475")</f>
      </c>
      <c r="B5655" s="8" t="s">
        <v>5411</v>
      </c>
      <c r="C5655" s="9">
        <v>1063</v>
      </c>
      <c r="D5655" s="0">
        <v>3</v>
      </c>
      <c r="E5655" s="10">
        <f>HYPERLINK("http://www.lingerieopt.ru/images/original/63777c3a-ca83-4e85-a079-abeecd7eb8ff.jpg","Фото")</f>
      </c>
    </row>
    <row r="5656">
      <c r="A5656" s="7">
        <f>HYPERLINK("http://www.lingerieopt.ru/item/9475-soblaznitelnaya-sorochka-lynette-s-dlinnjmi-rukavami-i-poluotkrjtjmi-plechami/","9475")</f>
      </c>
      <c r="B5656" s="8" t="s">
        <v>5412</v>
      </c>
      <c r="C5656" s="9">
        <v>1063</v>
      </c>
      <c r="D5656" s="0">
        <v>1</v>
      </c>
      <c r="E5656" s="10">
        <f>HYPERLINK("http://www.lingerieopt.ru/images/original/63777c3a-ca83-4e85-a079-abeecd7eb8ff.jpg","Фото")</f>
      </c>
    </row>
    <row r="5657">
      <c r="A5657" s="7">
        <f>HYPERLINK("http://www.lingerieopt.ru/item/9475-soblaznitelnaya-sorochka-lynette-s-dlinnjmi-rukavami-i-poluotkrjtjmi-plechami/","9475")</f>
      </c>
      <c r="B5657" s="8" t="s">
        <v>5413</v>
      </c>
      <c r="C5657" s="9">
        <v>1063</v>
      </c>
      <c r="D5657" s="0">
        <v>3</v>
      </c>
      <c r="E5657" s="10">
        <f>HYPERLINK("http://www.lingerieopt.ru/images/original/63777c3a-ca83-4e85-a079-abeecd7eb8ff.jpg","Фото")</f>
      </c>
    </row>
    <row r="5658">
      <c r="A5658" s="7">
        <f>HYPERLINK("http://www.lingerieopt.ru/item/9475-soblaznitelnaya-sorochka-lynette-s-dlinnjmi-rukavami-i-poluotkrjtjmi-plechami/","9475")</f>
      </c>
      <c r="B5658" s="8" t="s">
        <v>5414</v>
      </c>
      <c r="C5658" s="9">
        <v>1063</v>
      </c>
      <c r="D5658" s="0">
        <v>5</v>
      </c>
      <c r="E5658" s="10">
        <f>HYPERLINK("http://www.lingerieopt.ru/images/original/63777c3a-ca83-4e85-a079-abeecd7eb8ff.jpg","Фото")</f>
      </c>
    </row>
    <row r="5659">
      <c r="A5659" s="7">
        <f>HYPERLINK("http://www.lingerieopt.ru/item/9481-bebi-doll-akena-plus-size-s-ryushami-i-otkrjtoi-spinoi/","9481")</f>
      </c>
      <c r="B5659" s="8" t="s">
        <v>5415</v>
      </c>
      <c r="C5659" s="9">
        <v>1313</v>
      </c>
      <c r="D5659" s="0">
        <v>1</v>
      </c>
      <c r="E5659" s="10">
        <f>HYPERLINK("http://www.lingerieopt.ru/images/original/1c3a3671-63c1-4245-bcfc-ebf97064d2e3.jpg","Фото")</f>
      </c>
    </row>
    <row r="5660">
      <c r="A5660" s="7">
        <f>HYPERLINK("http://www.lingerieopt.ru/item/9481-bebi-doll-akena-plus-size-s-ryushami-i-otkrjtoi-spinoi/","9481")</f>
      </c>
      <c r="B5660" s="8" t="s">
        <v>5416</v>
      </c>
      <c r="C5660" s="9">
        <v>1313</v>
      </c>
      <c r="D5660" s="0">
        <v>1</v>
      </c>
      <c r="E5660" s="10">
        <f>HYPERLINK("http://www.lingerieopt.ru/images/original/1c3a3671-63c1-4245-bcfc-ebf97064d2e3.jpg","Фото")</f>
      </c>
    </row>
    <row r="5661">
      <c r="A5661" s="7">
        <f>HYPERLINK("http://www.lingerieopt.ru/item/9482-vozdushnaya-sorochka-danita-plus-size-s-dvoinjm-lifom/","9482")</f>
      </c>
      <c r="B5661" s="8" t="s">
        <v>5417</v>
      </c>
      <c r="C5661" s="9">
        <v>1509</v>
      </c>
      <c r="D5661" s="0">
        <v>3</v>
      </c>
      <c r="E5661" s="10">
        <f>HYPERLINK("http://www.lingerieopt.ru/images/original/77eb7ff7-34e4-4652-a2ca-f37cb5af49d5.jpg","Фото")</f>
      </c>
    </row>
    <row r="5662">
      <c r="A5662" s="7">
        <f>HYPERLINK("http://www.lingerieopt.ru/item/9482-vozdushnaya-sorochka-danita-plus-size-s-dvoinjm-lifom/","9482")</f>
      </c>
      <c r="B5662" s="8" t="s">
        <v>5418</v>
      </c>
      <c r="C5662" s="9">
        <v>1509</v>
      </c>
      <c r="D5662" s="0">
        <v>1</v>
      </c>
      <c r="E5662" s="10">
        <f>HYPERLINK("http://www.lingerieopt.ru/images/original/77eb7ff7-34e4-4652-a2ca-f37cb5af49d5.jpg","Фото")</f>
      </c>
    </row>
    <row r="5663">
      <c r="A5663" s="7">
        <f>HYPERLINK("http://www.lingerieopt.ru/item/9483-poluprozrachnaya-sorochka-danita-s-dvoinjm-lifom/","9483")</f>
      </c>
      <c r="B5663" s="8" t="s">
        <v>5419</v>
      </c>
      <c r="C5663" s="9">
        <v>1509</v>
      </c>
      <c r="D5663" s="0">
        <v>3</v>
      </c>
      <c r="E5663" s="10">
        <f>HYPERLINK("http://www.lingerieopt.ru/images/original/7b7d4050-b7bf-436f-b1d1-d6888bb69bfc.jpg","Фото")</f>
      </c>
    </row>
    <row r="5664">
      <c r="A5664" s="7">
        <f>HYPERLINK("http://www.lingerieopt.ru/item/9483-poluprozrachnaya-sorochka-danita-s-dvoinjm-lifom/","9483")</f>
      </c>
      <c r="B5664" s="8" t="s">
        <v>5420</v>
      </c>
      <c r="C5664" s="9">
        <v>1509</v>
      </c>
      <c r="D5664" s="0">
        <v>3</v>
      </c>
      <c r="E5664" s="10">
        <f>HYPERLINK("http://www.lingerieopt.ru/images/original/7b7d4050-b7bf-436f-b1d1-d6888bb69bfc.jpg","Фото")</f>
      </c>
    </row>
    <row r="5665">
      <c r="A5665" s="7">
        <f>HYPERLINK("http://www.lingerieopt.ru/item/9483-poluprozrachnaya-sorochka-danita-s-dvoinjm-lifom/","9483")</f>
      </c>
      <c r="B5665" s="8" t="s">
        <v>5421</v>
      </c>
      <c r="C5665" s="9">
        <v>1509</v>
      </c>
      <c r="D5665" s="0">
        <v>3</v>
      </c>
      <c r="E5665" s="10">
        <f>HYPERLINK("http://www.lingerieopt.ru/images/original/7b7d4050-b7bf-436f-b1d1-d6888bb69bfc.jpg","Фото")</f>
      </c>
    </row>
    <row r="5666">
      <c r="A5666" s="7">
        <f>HYPERLINK("http://www.lingerieopt.ru/item/9483-poluprozrachnaya-sorochka-danita-s-dvoinjm-lifom/","9483")</f>
      </c>
      <c r="B5666" s="8" t="s">
        <v>5422</v>
      </c>
      <c r="C5666" s="9">
        <v>1509</v>
      </c>
      <c r="D5666" s="0">
        <v>3</v>
      </c>
      <c r="E5666" s="10">
        <f>HYPERLINK("http://www.lingerieopt.ru/images/original/7b7d4050-b7bf-436f-b1d1-d6888bb69bfc.jpg","Фото")</f>
      </c>
    </row>
    <row r="5667">
      <c r="A5667" s="7">
        <f>HYPERLINK("http://www.lingerieopt.ru/item/9484-belosnezhnaya-sorochka-colette-plus-size-s-kruzhevnjm-lifom/","9484")</f>
      </c>
      <c r="B5667" s="8" t="s">
        <v>5423</v>
      </c>
      <c r="C5667" s="9">
        <v>2719</v>
      </c>
      <c r="D5667" s="0">
        <v>2</v>
      </c>
      <c r="E5667" s="10">
        <f>HYPERLINK("http://www.lingerieopt.ru/images/original/dcc4c152-85fa-459e-b1e4-46663b7b66b7.jpg","Фото")</f>
      </c>
    </row>
    <row r="5668">
      <c r="A5668" s="7">
        <f>HYPERLINK("http://www.lingerieopt.ru/item/9484-belosnezhnaya-sorochka-colette-plus-size-s-kruzhevnjm-lifom/","9484")</f>
      </c>
      <c r="B5668" s="8" t="s">
        <v>5424</v>
      </c>
      <c r="C5668" s="9">
        <v>2719</v>
      </c>
      <c r="D5668" s="0">
        <v>4</v>
      </c>
      <c r="E5668" s="10">
        <f>HYPERLINK("http://www.lingerieopt.ru/images/original/dcc4c152-85fa-459e-b1e4-46663b7b66b7.jpg","Фото")</f>
      </c>
    </row>
    <row r="5669">
      <c r="A5669" s="7">
        <f>HYPERLINK("http://www.lingerieopt.ru/item/9485-belaya-sorochka-colette-s-kruzhevnjm-lifom-i-otorochkoi-podola/","9485")</f>
      </c>
      <c r="B5669" s="8" t="s">
        <v>5425</v>
      </c>
      <c r="C5669" s="9">
        <v>2719</v>
      </c>
      <c r="D5669" s="0">
        <v>2</v>
      </c>
      <c r="E5669" s="10">
        <f>HYPERLINK("http://www.lingerieopt.ru/images/original/15e01613-9ae2-4f4f-9198-5f49827f2cc5.jpg","Фото")</f>
      </c>
    </row>
    <row r="5670">
      <c r="A5670" s="7">
        <f>HYPERLINK("http://www.lingerieopt.ru/item/9485-belaya-sorochka-colette-s-kruzhevnjm-lifom-i-otorochkoi-podola/","9485")</f>
      </c>
      <c r="B5670" s="8" t="s">
        <v>5426</v>
      </c>
      <c r="C5670" s="9">
        <v>2719</v>
      </c>
      <c r="D5670" s="0">
        <v>3</v>
      </c>
      <c r="E5670" s="10">
        <f>HYPERLINK("http://www.lingerieopt.ru/images/original/15e01613-9ae2-4f4f-9198-5f49827f2cc5.jpg","Фото")</f>
      </c>
    </row>
    <row r="5671">
      <c r="A5671" s="7">
        <f>HYPERLINK("http://www.lingerieopt.ru/item/9485-belaya-sorochka-colette-s-kruzhevnjm-lifom-i-otorochkoi-podola/","9485")</f>
      </c>
      <c r="B5671" s="8" t="s">
        <v>5427</v>
      </c>
      <c r="C5671" s="9">
        <v>2719</v>
      </c>
      <c r="D5671" s="0">
        <v>3</v>
      </c>
      <c r="E5671" s="10">
        <f>HYPERLINK("http://www.lingerieopt.ru/images/original/15e01613-9ae2-4f4f-9198-5f49827f2cc5.jpg","Фото")</f>
      </c>
    </row>
    <row r="5672">
      <c r="A5672" s="7">
        <f>HYPERLINK("http://www.lingerieopt.ru/item/9485-belaya-sorochka-colette-s-kruzhevnjm-lifom-i-otorochkoi-podola/","9485")</f>
      </c>
      <c r="B5672" s="8" t="s">
        <v>5428</v>
      </c>
      <c r="C5672" s="9">
        <v>2719</v>
      </c>
      <c r="D5672" s="0">
        <v>4</v>
      </c>
      <c r="E5672" s="10">
        <f>HYPERLINK("http://www.lingerieopt.ru/images/original/15e01613-9ae2-4f4f-9198-5f49827f2cc5.jpg","Фото")</f>
      </c>
    </row>
    <row r="5673">
      <c r="A5673" s="7">
        <f>HYPERLINK("http://www.lingerieopt.ru/item/9492-vozdushnji-bebi-doll-lavela-plus-size-s-kruzhevnjm-lifom/","9492")</f>
      </c>
      <c r="B5673" s="8" t="s">
        <v>5429</v>
      </c>
      <c r="C5673" s="9">
        <v>1509</v>
      </c>
      <c r="D5673" s="0">
        <v>1</v>
      </c>
      <c r="E5673" s="10">
        <f>HYPERLINK("http://www.lingerieopt.ru/images/original/a70926f3-f69b-443b-be55-3d3f445b77f0.jpg","Фото")</f>
      </c>
    </row>
    <row r="5674">
      <c r="A5674" s="7">
        <f>HYPERLINK("http://www.lingerieopt.ru/item/9492-vozdushnji-bebi-doll-lavela-plus-size-s-kruzhevnjm-lifom/","9492")</f>
      </c>
      <c r="B5674" s="8" t="s">
        <v>5430</v>
      </c>
      <c r="C5674" s="9">
        <v>1509</v>
      </c>
      <c r="D5674" s="0">
        <v>1</v>
      </c>
      <c r="E5674" s="10">
        <f>HYPERLINK("http://www.lingerieopt.ru/images/original/a70926f3-f69b-443b-be55-3d3f445b77f0.jpg","Фото")</f>
      </c>
    </row>
    <row r="5675">
      <c r="A5675" s="7">
        <f>HYPERLINK("http://www.lingerieopt.ru/item/9493-vozdushnji-bebi-doll-lavela-s-azhurnjm-lifom/","9493")</f>
      </c>
      <c r="B5675" s="8" t="s">
        <v>5431</v>
      </c>
      <c r="C5675" s="9">
        <v>1509</v>
      </c>
      <c r="D5675" s="0">
        <v>3</v>
      </c>
      <c r="E5675" s="10">
        <f>HYPERLINK("http://www.lingerieopt.ru/images/original/ea56b175-573c-414d-8ec5-eaf91c5da9ef.jpg","Фото")</f>
      </c>
    </row>
    <row r="5676">
      <c r="A5676" s="7">
        <f>HYPERLINK("http://www.lingerieopt.ru/item/9493-vozdushnji-bebi-doll-lavela-s-azhurnjm-lifom/","9493")</f>
      </c>
      <c r="B5676" s="8" t="s">
        <v>5432</v>
      </c>
      <c r="C5676" s="9">
        <v>1509</v>
      </c>
      <c r="D5676" s="0">
        <v>3</v>
      </c>
      <c r="E5676" s="10">
        <f>HYPERLINK("http://www.lingerieopt.ru/images/original/ea56b175-573c-414d-8ec5-eaf91c5da9ef.jpg","Фото")</f>
      </c>
    </row>
    <row r="5677">
      <c r="A5677" s="7">
        <f>HYPERLINK("http://www.lingerieopt.ru/item/9493-vozdushnji-bebi-doll-lavela-s-azhurnjm-lifom/","9493")</f>
      </c>
      <c r="B5677" s="8" t="s">
        <v>5433</v>
      </c>
      <c r="C5677" s="9">
        <v>1509</v>
      </c>
      <c r="D5677" s="0">
        <v>3</v>
      </c>
      <c r="E5677" s="10">
        <f>HYPERLINK("http://www.lingerieopt.ru/images/original/ea56b175-573c-414d-8ec5-eaf91c5da9ef.jpg","Фото")</f>
      </c>
    </row>
    <row r="5678">
      <c r="A5678" s="7">
        <f>HYPERLINK("http://www.lingerieopt.ru/item/9493-vozdushnji-bebi-doll-lavela-s-azhurnjm-lifom/","9493")</f>
      </c>
      <c r="B5678" s="8" t="s">
        <v>5434</v>
      </c>
      <c r="C5678" s="9">
        <v>1509</v>
      </c>
      <c r="D5678" s="0">
        <v>4</v>
      </c>
      <c r="E5678" s="10">
        <f>HYPERLINK("http://www.lingerieopt.ru/images/original/ea56b175-573c-414d-8ec5-eaf91c5da9ef.jpg","Фото")</f>
      </c>
    </row>
    <row r="5679">
      <c r="A5679" s="7">
        <f>HYPERLINK("http://www.lingerieopt.ru/item/9501-poluprozrachnaya-sorochka-nala-plus-size-s-legkimi-oborkami/","9501")</f>
      </c>
      <c r="B5679" s="8" t="s">
        <v>5435</v>
      </c>
      <c r="C5679" s="9">
        <v>1324</v>
      </c>
      <c r="D5679" s="0">
        <v>1</v>
      </c>
      <c r="E5679" s="10">
        <f>HYPERLINK("http://www.lingerieopt.ru/images/original/c64ce38d-d383-4f4f-88e2-765b074921d1.jpg","Фото")</f>
      </c>
    </row>
    <row r="5680">
      <c r="A5680" s="7">
        <f>HYPERLINK("http://www.lingerieopt.ru/item/9501-poluprozrachnaya-sorochka-nala-plus-size-s-legkimi-oborkami/","9501")</f>
      </c>
      <c r="B5680" s="8" t="s">
        <v>5436</v>
      </c>
      <c r="C5680" s="9">
        <v>1324</v>
      </c>
      <c r="D5680" s="0">
        <v>1</v>
      </c>
      <c r="E5680" s="10">
        <f>HYPERLINK("http://www.lingerieopt.ru/images/original/c64ce38d-d383-4f4f-88e2-765b074921d1.jpg","Фото")</f>
      </c>
    </row>
    <row r="5681">
      <c r="A5681" s="7">
        <f>HYPERLINK("http://www.lingerieopt.ru/item/9502-poluprozrachnaya-sorochka-nala-s-oborkami/","9502")</f>
      </c>
      <c r="B5681" s="8" t="s">
        <v>5437</v>
      </c>
      <c r="C5681" s="9">
        <v>1324</v>
      </c>
      <c r="D5681" s="0">
        <v>2</v>
      </c>
      <c r="E5681" s="10">
        <f>HYPERLINK("http://www.lingerieopt.ru/images/original/ac5d0e6d-8e5b-4991-ae99-45571068f142.jpg","Фото")</f>
      </c>
    </row>
    <row r="5682">
      <c r="A5682" s="7">
        <f>HYPERLINK("http://www.lingerieopt.ru/item/9502-poluprozrachnaya-sorochka-nala-s-oborkami/","9502")</f>
      </c>
      <c r="B5682" s="8" t="s">
        <v>5438</v>
      </c>
      <c r="C5682" s="9">
        <v>1324</v>
      </c>
      <c r="D5682" s="0">
        <v>3</v>
      </c>
      <c r="E5682" s="10">
        <f>HYPERLINK("http://www.lingerieopt.ru/images/original/ac5d0e6d-8e5b-4991-ae99-45571068f142.jpg","Фото")</f>
      </c>
    </row>
    <row r="5683">
      <c r="A5683" s="7">
        <f>HYPERLINK("http://www.lingerieopt.ru/item/9502-poluprozrachnaya-sorochka-nala-s-oborkami/","9502")</f>
      </c>
      <c r="B5683" s="8" t="s">
        <v>5439</v>
      </c>
      <c r="C5683" s="9">
        <v>1324</v>
      </c>
      <c r="D5683" s="0">
        <v>3</v>
      </c>
      <c r="E5683" s="10">
        <f>HYPERLINK("http://www.lingerieopt.ru/images/original/ac5d0e6d-8e5b-4991-ae99-45571068f142.jpg","Фото")</f>
      </c>
    </row>
    <row r="5684">
      <c r="A5684" s="7">
        <f>HYPERLINK("http://www.lingerieopt.ru/item/9502-poluprozrachnaya-sorochka-nala-s-oborkami/","9502")</f>
      </c>
      <c r="B5684" s="8" t="s">
        <v>5440</v>
      </c>
      <c r="C5684" s="9">
        <v>1324</v>
      </c>
      <c r="D5684" s="0">
        <v>2</v>
      </c>
      <c r="E5684" s="10">
        <f>HYPERLINK("http://www.lingerieopt.ru/images/original/ac5d0e6d-8e5b-4991-ae99-45571068f142.jpg","Фото")</f>
      </c>
    </row>
    <row r="5685">
      <c r="A5685" s="7">
        <f>HYPERLINK("http://www.lingerieopt.ru/item/9504-roskoshnaya-sorochka-amysa-s-kruzhevnjm-lifom-i-otkrjtoi-spinkoi/","9504")</f>
      </c>
      <c r="B5685" s="8" t="s">
        <v>5441</v>
      </c>
      <c r="C5685" s="9">
        <v>1801</v>
      </c>
      <c r="D5685" s="0">
        <v>9</v>
      </c>
      <c r="E5685" s="10">
        <f>HYPERLINK("http://www.lingerieopt.ru/images/original/c8bedd3d-7bbd-4025-9a6f-543421aa4d22.jpg","Фото")</f>
      </c>
    </row>
    <row r="5686">
      <c r="A5686" s="7">
        <f>HYPERLINK("http://www.lingerieopt.ru/item/9504-roskoshnaya-sorochka-amysa-s-kruzhevnjm-lifom-i-otkrjtoi-spinkoi/","9504")</f>
      </c>
      <c r="B5686" s="8" t="s">
        <v>5442</v>
      </c>
      <c r="C5686" s="9">
        <v>1801</v>
      </c>
      <c r="D5686" s="0">
        <v>7</v>
      </c>
      <c r="E5686" s="10">
        <f>HYPERLINK("http://www.lingerieopt.ru/images/original/c8bedd3d-7bbd-4025-9a6f-543421aa4d22.jpg","Фото")</f>
      </c>
    </row>
    <row r="5687">
      <c r="A5687" s="7">
        <f>HYPERLINK("http://www.lingerieopt.ru/item/9504-roskoshnaya-sorochka-amysa-s-kruzhevnjm-lifom-i-otkrjtoi-spinkoi/","9504")</f>
      </c>
      <c r="B5687" s="8" t="s">
        <v>5443</v>
      </c>
      <c r="C5687" s="9">
        <v>1801</v>
      </c>
      <c r="D5687" s="0">
        <v>11</v>
      </c>
      <c r="E5687" s="10">
        <f>HYPERLINK("http://www.lingerieopt.ru/images/original/c8bedd3d-7bbd-4025-9a6f-543421aa4d22.jpg","Фото")</f>
      </c>
    </row>
    <row r="5688">
      <c r="A5688" s="7">
        <f>HYPERLINK("http://www.lingerieopt.ru/item/9505-sorochka-solange-s-plotnjm-lifom-fasona-ballon/","9505")</f>
      </c>
      <c r="B5688" s="8" t="s">
        <v>5444</v>
      </c>
      <c r="C5688" s="9">
        <v>1743</v>
      </c>
      <c r="D5688" s="0">
        <v>12</v>
      </c>
      <c r="E5688" s="10">
        <f>HYPERLINK("http://www.lingerieopt.ru/images/original/85159162-329e-4636-86e6-5a20223c1a7a.jpg","Фото")</f>
      </c>
    </row>
    <row r="5689">
      <c r="A5689" s="7">
        <f>HYPERLINK("http://www.lingerieopt.ru/item/9505-sorochka-solange-s-plotnjm-lifom-fasona-ballon/","9505")</f>
      </c>
      <c r="B5689" s="8" t="s">
        <v>5445</v>
      </c>
      <c r="C5689" s="9">
        <v>1743</v>
      </c>
      <c r="D5689" s="0">
        <v>13</v>
      </c>
      <c r="E5689" s="10">
        <f>HYPERLINK("http://www.lingerieopt.ru/images/original/85159162-329e-4636-86e6-5a20223c1a7a.jpg","Фото")</f>
      </c>
    </row>
    <row r="5690">
      <c r="A5690" s="7">
        <f>HYPERLINK("http://www.lingerieopt.ru/item/9505-sorochka-solange-s-plotnjm-lifom-fasona-ballon/","9505")</f>
      </c>
      <c r="B5690" s="8" t="s">
        <v>5446</v>
      </c>
      <c r="C5690" s="9">
        <v>1743</v>
      </c>
      <c r="D5690" s="0">
        <v>7</v>
      </c>
      <c r="E5690" s="10">
        <f>HYPERLINK("http://www.lingerieopt.ru/images/original/85159162-329e-4636-86e6-5a20223c1a7a.jpg","Фото")</f>
      </c>
    </row>
    <row r="5691">
      <c r="A5691" s="7">
        <f>HYPERLINK("http://www.lingerieopt.ru/item/9506-kruzhevnaya-sorochka-evona-s-cvetochnjm-uzorom-i-oborkoi/","9506")</f>
      </c>
      <c r="B5691" s="8" t="s">
        <v>5447</v>
      </c>
      <c r="C5691" s="9">
        <v>1728</v>
      </c>
      <c r="D5691" s="0">
        <v>11</v>
      </c>
      <c r="E5691" s="10">
        <f>HYPERLINK("http://www.lingerieopt.ru/images/original/d52adf19-65bf-4786-97c5-989f5378402f.jpg","Фото")</f>
      </c>
    </row>
    <row r="5692">
      <c r="A5692" s="7">
        <f>HYPERLINK("http://www.lingerieopt.ru/item/9506-kruzhevnaya-sorochka-evona-s-cvetochnjm-uzorom-i-oborkoi/","9506")</f>
      </c>
      <c r="B5692" s="8" t="s">
        <v>5448</v>
      </c>
      <c r="C5692" s="9">
        <v>1728</v>
      </c>
      <c r="D5692" s="0">
        <v>7</v>
      </c>
      <c r="E5692" s="10">
        <f>HYPERLINK("http://www.lingerieopt.ru/images/original/d52adf19-65bf-4786-97c5-989f5378402f.jpg","Фото")</f>
      </c>
    </row>
    <row r="5693">
      <c r="A5693" s="7">
        <f>HYPERLINK("http://www.lingerieopt.ru/item/9506-kruzhevnaya-sorochka-evona-s-cvetochnjm-uzorom-i-oborkoi/","9506")</f>
      </c>
      <c r="B5693" s="8" t="s">
        <v>5449</v>
      </c>
      <c r="C5693" s="9">
        <v>1728</v>
      </c>
      <c r="D5693" s="0">
        <v>7</v>
      </c>
      <c r="E5693" s="10">
        <f>HYPERLINK("http://www.lingerieopt.ru/images/original/d52adf19-65bf-4786-97c5-989f5378402f.jpg","Фото")</f>
      </c>
    </row>
    <row r="5694">
      <c r="A5694" s="7">
        <f>HYPERLINK("http://www.lingerieopt.ru/item/9508-nezhnaya-sorochka-alma-plus-size-s-kruzhevnoi-otorochkoi/","9508")</f>
      </c>
      <c r="B5694" s="8" t="s">
        <v>5450</v>
      </c>
      <c r="C5694" s="9">
        <v>1232</v>
      </c>
      <c r="D5694" s="0">
        <v>2</v>
      </c>
      <c r="E5694" s="10">
        <f>HYPERLINK("http://www.lingerieopt.ru/images/original/9c23c7fc-4e0f-438b-b062-53b8fee6a5b2.jpg","Фото")</f>
      </c>
    </row>
    <row r="5695">
      <c r="A5695" s="7">
        <f>HYPERLINK("http://www.lingerieopt.ru/item/9508-nezhnaya-sorochka-alma-plus-size-s-kruzhevnoi-otorochkoi/","9508")</f>
      </c>
      <c r="B5695" s="8" t="s">
        <v>5451</v>
      </c>
      <c r="C5695" s="9">
        <v>1232</v>
      </c>
      <c r="D5695" s="0">
        <v>1</v>
      </c>
      <c r="E5695" s="10">
        <f>HYPERLINK("http://www.lingerieopt.ru/images/original/9c23c7fc-4e0f-438b-b062-53b8fee6a5b2.jpg","Фото")</f>
      </c>
    </row>
    <row r="5696">
      <c r="A5696" s="7">
        <f>HYPERLINK("http://www.lingerieopt.ru/item/9509-kruzhevnaya-sorochka-jaime-plus-size-s-otkrjtoi-grudyu/","9509")</f>
      </c>
      <c r="B5696" s="8" t="s">
        <v>5452</v>
      </c>
      <c r="C5696" s="9">
        <v>1158</v>
      </c>
      <c r="D5696" s="0">
        <v>0</v>
      </c>
      <c r="E5696" s="10">
        <f>HYPERLINK("http://www.lingerieopt.ru/images/original/fd17ea59-6534-4cd3-8f93-3c2069b68d97.jpg","Фото")</f>
      </c>
    </row>
    <row r="5697">
      <c r="A5697" s="7">
        <f>HYPERLINK("http://www.lingerieopt.ru/item/9509-kruzhevnaya-sorochka-jaime-plus-size-s-otkrjtoi-grudyu/","9509")</f>
      </c>
      <c r="B5697" s="8" t="s">
        <v>5453</v>
      </c>
      <c r="C5697" s="9">
        <v>1158</v>
      </c>
      <c r="D5697" s="0">
        <v>3</v>
      </c>
      <c r="E5697" s="10">
        <f>HYPERLINK("http://www.lingerieopt.ru/images/original/fd17ea59-6534-4cd3-8f93-3c2069b68d97.jpg","Фото")</f>
      </c>
    </row>
    <row r="5698">
      <c r="A5698" s="7">
        <f>HYPERLINK("http://www.lingerieopt.ru/item/9510-azhurnaya-sorochka-jaime-s-otkrjtoi-grudyu/","9510")</f>
      </c>
      <c r="B5698" s="8" t="s">
        <v>5454</v>
      </c>
      <c r="C5698" s="9">
        <v>1158</v>
      </c>
      <c r="D5698" s="0">
        <v>4</v>
      </c>
      <c r="E5698" s="10">
        <f>HYPERLINK("http://www.lingerieopt.ru/images/original/580da1f1-7912-4bf3-9b6f-f66e6cd2bfed.jpg","Фото")</f>
      </c>
    </row>
    <row r="5699">
      <c r="A5699" s="7">
        <f>HYPERLINK("http://www.lingerieopt.ru/item/9510-azhurnaya-sorochka-jaime-s-otkrjtoi-grudyu/","9510")</f>
      </c>
      <c r="B5699" s="8" t="s">
        <v>5455</v>
      </c>
      <c r="C5699" s="9">
        <v>1158</v>
      </c>
      <c r="D5699" s="0">
        <v>4</v>
      </c>
      <c r="E5699" s="10">
        <f>HYPERLINK("http://www.lingerieopt.ru/images/original/580da1f1-7912-4bf3-9b6f-f66e6cd2bfed.jpg","Фото")</f>
      </c>
    </row>
    <row r="5700">
      <c r="A5700" s="7">
        <f>HYPERLINK("http://www.lingerieopt.ru/item/9510-azhurnaya-sorochka-jaime-s-otkrjtoi-grudyu/","9510")</f>
      </c>
      <c r="B5700" s="8" t="s">
        <v>5456</v>
      </c>
      <c r="C5700" s="9">
        <v>1158</v>
      </c>
      <c r="D5700" s="0">
        <v>3</v>
      </c>
      <c r="E5700" s="10">
        <f>HYPERLINK("http://www.lingerieopt.ru/images/original/580da1f1-7912-4bf3-9b6f-f66e6cd2bfed.jpg","Фото")</f>
      </c>
    </row>
    <row r="5701">
      <c r="A5701" s="7">
        <f>HYPERLINK("http://www.lingerieopt.ru/item/9510-azhurnaya-sorochka-jaime-s-otkrjtoi-grudyu/","9510")</f>
      </c>
      <c r="B5701" s="8" t="s">
        <v>5457</v>
      </c>
      <c r="C5701" s="9">
        <v>1158</v>
      </c>
      <c r="D5701" s="0">
        <v>6</v>
      </c>
      <c r="E5701" s="10">
        <f>HYPERLINK("http://www.lingerieopt.ru/images/original/580da1f1-7912-4bf3-9b6f-f66e6cd2bfed.jpg","Фото")</f>
      </c>
    </row>
    <row r="5702">
      <c r="A5702" s="7">
        <f>HYPERLINK("http://www.lingerieopt.ru/item/9512-poluprozrachnaya-sorochka-sunrise-plus-size-s-vjrezami-po-diagonali/","9512")</f>
      </c>
      <c r="B5702" s="8" t="s">
        <v>5458</v>
      </c>
      <c r="C5702" s="9">
        <v>1336</v>
      </c>
      <c r="D5702" s="0">
        <v>4</v>
      </c>
      <c r="E5702" s="10">
        <f>HYPERLINK("http://www.lingerieopt.ru/images/original/2eb94ef4-25fe-4909-9c7a-3b5d30572c03.jpg","Фото")</f>
      </c>
    </row>
    <row r="5703">
      <c r="A5703" s="7">
        <f>HYPERLINK("http://www.lingerieopt.ru/item/9512-poluprozrachnaya-sorochka-sunrise-plus-size-s-vjrezami-po-diagonali/","9512")</f>
      </c>
      <c r="B5703" s="8" t="s">
        <v>5459</v>
      </c>
      <c r="C5703" s="9">
        <v>1336</v>
      </c>
      <c r="D5703" s="0">
        <v>1</v>
      </c>
      <c r="E5703" s="10">
        <f>HYPERLINK("http://www.lingerieopt.ru/images/original/2eb94ef4-25fe-4909-9c7a-3b5d30572c03.jpg","Фото")</f>
      </c>
    </row>
    <row r="5704">
      <c r="A5704" s="7">
        <f>HYPERLINK("http://www.lingerieopt.ru/item/9513-poluprozrachnaya-sorochka-sunrise-s-vjrezami-ot-lifa/","9513")</f>
      </c>
      <c r="B5704" s="8" t="s">
        <v>5460</v>
      </c>
      <c r="C5704" s="9">
        <v>1336</v>
      </c>
      <c r="D5704" s="0">
        <v>4</v>
      </c>
      <c r="E5704" s="10">
        <f>HYPERLINK("http://www.lingerieopt.ru/images/original/6be76ad8-bb56-49c9-9179-2b3f843c63d8.jpg","Фото")</f>
      </c>
    </row>
    <row r="5705">
      <c r="A5705" s="7">
        <f>HYPERLINK("http://www.lingerieopt.ru/item/9513-poluprozrachnaya-sorochka-sunrise-s-vjrezami-ot-lifa/","9513")</f>
      </c>
      <c r="B5705" s="8" t="s">
        <v>5461</v>
      </c>
      <c r="C5705" s="9">
        <v>1336</v>
      </c>
      <c r="D5705" s="0">
        <v>6</v>
      </c>
      <c r="E5705" s="10">
        <f>HYPERLINK("http://www.lingerieopt.ru/images/original/6be76ad8-bb56-49c9-9179-2b3f843c63d8.jpg","Фото")</f>
      </c>
    </row>
    <row r="5706">
      <c r="A5706" s="7">
        <f>HYPERLINK("http://www.lingerieopt.ru/item/9513-poluprozrachnaya-sorochka-sunrise-s-vjrezami-ot-lifa/","9513")</f>
      </c>
      <c r="B5706" s="8" t="s">
        <v>5462</v>
      </c>
      <c r="C5706" s="9">
        <v>1336</v>
      </c>
      <c r="D5706" s="0">
        <v>3</v>
      </c>
      <c r="E5706" s="10">
        <f>HYPERLINK("http://www.lingerieopt.ru/images/original/6be76ad8-bb56-49c9-9179-2b3f843c63d8.jpg","Фото")</f>
      </c>
    </row>
    <row r="5707">
      <c r="A5707" s="7">
        <f>HYPERLINK("http://www.lingerieopt.ru/item/9513-poluprozrachnaya-sorochka-sunrise-s-vjrezami-ot-lifa/","9513")</f>
      </c>
      <c r="B5707" s="8" t="s">
        <v>5463</v>
      </c>
      <c r="C5707" s="9">
        <v>1336</v>
      </c>
      <c r="D5707" s="0">
        <v>5</v>
      </c>
      <c r="E5707" s="10">
        <f>HYPERLINK("http://www.lingerieopt.ru/images/original/6be76ad8-bb56-49c9-9179-2b3f843c63d8.jpg","Фото")</f>
      </c>
    </row>
    <row r="5708">
      <c r="A5708" s="7">
        <f>HYPERLINK("http://www.lingerieopt.ru/item/9517-poluprozrachnaya-sorochka-tigra-plus-size-s-otkrjtoi-spinkoi/","9517")</f>
      </c>
      <c r="B5708" s="8" t="s">
        <v>5464</v>
      </c>
      <c r="C5708" s="9">
        <v>1175</v>
      </c>
      <c r="D5708" s="0">
        <v>3</v>
      </c>
      <c r="E5708" s="10">
        <f>HYPERLINK("http://www.lingerieopt.ru/images/original/0a865d79-b81a-4573-b6c5-b683237ed35e.jpg","Фото")</f>
      </c>
    </row>
    <row r="5709">
      <c r="A5709" s="7">
        <f>HYPERLINK("http://www.lingerieopt.ru/item/9517-poluprozrachnaya-sorochka-tigra-plus-size-s-otkrjtoi-spinkoi/","9517")</f>
      </c>
      <c r="B5709" s="8" t="s">
        <v>5465</v>
      </c>
      <c r="C5709" s="9">
        <v>1175</v>
      </c>
      <c r="D5709" s="0">
        <v>2</v>
      </c>
      <c r="E5709" s="10">
        <f>HYPERLINK("http://www.lingerieopt.ru/images/original/0a865d79-b81a-4573-b6c5-b683237ed35e.jpg","Фото")</f>
      </c>
    </row>
    <row r="5710">
      <c r="A5710" s="7">
        <f>HYPERLINK("http://www.lingerieopt.ru/item/9518-oblegayuschaya-sorochka-desita-s-originalnjm-dekorom-lifa/","9518")</f>
      </c>
      <c r="B5710" s="8" t="s">
        <v>5466</v>
      </c>
      <c r="C5710" s="9">
        <v>1869</v>
      </c>
      <c r="D5710" s="0">
        <v>9</v>
      </c>
      <c r="E5710" s="10">
        <f>HYPERLINK("http://www.lingerieopt.ru/images/original/7e03f121-3113-45dd-bb4b-1af13d2c8281.jpg","Фото")</f>
      </c>
    </row>
    <row r="5711">
      <c r="A5711" s="7">
        <f>HYPERLINK("http://www.lingerieopt.ru/item/9518-oblegayuschaya-sorochka-desita-s-originalnjm-dekorom-lifa/","9518")</f>
      </c>
      <c r="B5711" s="8" t="s">
        <v>5467</v>
      </c>
      <c r="C5711" s="9">
        <v>1869</v>
      </c>
      <c r="D5711" s="0">
        <v>8</v>
      </c>
      <c r="E5711" s="10">
        <f>HYPERLINK("http://www.lingerieopt.ru/images/original/7e03f121-3113-45dd-bb4b-1af13d2c8281.jpg","Фото")</f>
      </c>
    </row>
    <row r="5712">
      <c r="A5712" s="7">
        <f>HYPERLINK("http://www.lingerieopt.ru/item/9518-oblegayuschaya-sorochka-desita-s-originalnjm-dekorom-lifa/","9518")</f>
      </c>
      <c r="B5712" s="8" t="s">
        <v>5468</v>
      </c>
      <c r="C5712" s="9">
        <v>1869</v>
      </c>
      <c r="D5712" s="0">
        <v>6</v>
      </c>
      <c r="E5712" s="10">
        <f>HYPERLINK("http://www.lingerieopt.ru/images/original/7e03f121-3113-45dd-bb4b-1af13d2c8281.jpg","Фото")</f>
      </c>
    </row>
    <row r="5713">
      <c r="A5713" s="7">
        <f>HYPERLINK("http://www.lingerieopt.ru/item/9519-poluprozrachnji-bebi-doll-fripa-s-razrezom-ot-lifa/","9519")</f>
      </c>
      <c r="B5713" s="8" t="s">
        <v>5469</v>
      </c>
      <c r="C5713" s="9">
        <v>2039</v>
      </c>
      <c r="D5713" s="0">
        <v>1</v>
      </c>
      <c r="E5713" s="10">
        <f>HYPERLINK("http://www.lingerieopt.ru/images/original/91e5b15a-76e7-4d3e-9721-6c00f79562cb.jpg","Фото")</f>
      </c>
    </row>
    <row r="5714">
      <c r="A5714" s="7">
        <f>HYPERLINK("http://www.lingerieopt.ru/item/9519-poluprozrachnji-bebi-doll-fripa-s-razrezom-ot-lifa/","9519")</f>
      </c>
      <c r="B5714" s="8" t="s">
        <v>5470</v>
      </c>
      <c r="C5714" s="9">
        <v>2039</v>
      </c>
      <c r="D5714" s="0">
        <v>10</v>
      </c>
      <c r="E5714" s="10">
        <f>HYPERLINK("http://www.lingerieopt.ru/images/original/91e5b15a-76e7-4d3e-9721-6c00f79562cb.jpg","Фото")</f>
      </c>
    </row>
    <row r="5715">
      <c r="A5715" s="7">
        <f>HYPERLINK("http://www.lingerieopt.ru/item/9519-poluprozrachnji-bebi-doll-fripa-s-razrezom-ot-lifa/","9519")</f>
      </c>
      <c r="B5715" s="8" t="s">
        <v>5471</v>
      </c>
      <c r="C5715" s="9">
        <v>2039</v>
      </c>
      <c r="D5715" s="0">
        <v>10</v>
      </c>
      <c r="E5715" s="10">
        <f>HYPERLINK("http://www.lingerieopt.ru/images/original/91e5b15a-76e7-4d3e-9721-6c00f79562cb.jpg","Фото")</f>
      </c>
    </row>
    <row r="5716">
      <c r="A5716" s="7">
        <f>HYPERLINK("http://www.lingerieopt.ru/item/9520-oblegayuschaya-sorochka-kernie-s-bantikom/","9520")</f>
      </c>
      <c r="B5716" s="8" t="s">
        <v>5472</v>
      </c>
      <c r="C5716" s="9">
        <v>2061</v>
      </c>
      <c r="D5716" s="0">
        <v>6</v>
      </c>
      <c r="E5716" s="10">
        <f>HYPERLINK("http://www.lingerieopt.ru/images/original/f1bfa78a-f737-454c-a308-adafa02f893c.jpg","Фото")</f>
      </c>
    </row>
    <row r="5717">
      <c r="A5717" s="7">
        <f>HYPERLINK("http://www.lingerieopt.ru/item/9520-oblegayuschaya-sorochka-kernie-s-bantikom/","9520")</f>
      </c>
      <c r="B5717" s="8" t="s">
        <v>5473</v>
      </c>
      <c r="C5717" s="9">
        <v>2061</v>
      </c>
      <c r="D5717" s="0">
        <v>9</v>
      </c>
      <c r="E5717" s="10">
        <f>HYPERLINK("http://www.lingerieopt.ru/images/original/f1bfa78a-f737-454c-a308-adafa02f893c.jpg","Фото")</f>
      </c>
    </row>
    <row r="5718">
      <c r="A5718" s="7">
        <f>HYPERLINK("http://www.lingerieopt.ru/item/9520-oblegayuschaya-sorochka-kernie-s-bantikom/","9520")</f>
      </c>
      <c r="B5718" s="8" t="s">
        <v>5474</v>
      </c>
      <c r="C5718" s="9">
        <v>2061</v>
      </c>
      <c r="D5718" s="0">
        <v>7</v>
      </c>
      <c r="E5718" s="10">
        <f>HYPERLINK("http://www.lingerieopt.ru/images/original/f1bfa78a-f737-454c-a308-adafa02f893c.jpg","Фото")</f>
      </c>
    </row>
    <row r="5719">
      <c r="A5719" s="7">
        <f>HYPERLINK("http://www.lingerieopt.ru/item/9526-yarkii-bebi-doll-essie-s-zavyazkami-na-shee/","9526")</f>
      </c>
      <c r="B5719" s="8" t="s">
        <v>5475</v>
      </c>
      <c r="C5719" s="9">
        <v>1110</v>
      </c>
      <c r="D5719" s="0">
        <v>7</v>
      </c>
      <c r="E5719" s="10">
        <f>HYPERLINK("http://www.lingerieopt.ru/images/original/dfa0352c-1043-4f35-b62a-57544fedcf7f.jpg","Фото")</f>
      </c>
    </row>
    <row r="5720">
      <c r="A5720" s="7">
        <f>HYPERLINK("http://www.lingerieopt.ru/item/9526-yarkii-bebi-doll-essie-s-zavyazkami-na-shee/","9526")</f>
      </c>
      <c r="B5720" s="8" t="s">
        <v>5476</v>
      </c>
      <c r="C5720" s="9">
        <v>1110</v>
      </c>
      <c r="D5720" s="0">
        <v>0</v>
      </c>
      <c r="E5720" s="10">
        <f>HYPERLINK("http://www.lingerieopt.ru/images/original/dfa0352c-1043-4f35-b62a-57544fedcf7f.jpg","Фото")</f>
      </c>
    </row>
    <row r="5721">
      <c r="A5721" s="7">
        <f>HYPERLINK("http://www.lingerieopt.ru/item/9526-yarkii-bebi-doll-essie-s-zavyazkami-na-shee/","9526")</f>
      </c>
      <c r="B5721" s="8" t="s">
        <v>5477</v>
      </c>
      <c r="C5721" s="9">
        <v>1110</v>
      </c>
      <c r="D5721" s="0">
        <v>7</v>
      </c>
      <c r="E5721" s="10">
        <f>HYPERLINK("http://www.lingerieopt.ru/images/original/dfa0352c-1043-4f35-b62a-57544fedcf7f.jpg","Фото")</f>
      </c>
    </row>
    <row r="5722">
      <c r="A5722" s="7">
        <f>HYPERLINK("http://www.lingerieopt.ru/item/9526-yarkii-bebi-doll-essie-s-zavyazkami-na-shee/","9526")</f>
      </c>
      <c r="B5722" s="8" t="s">
        <v>5478</v>
      </c>
      <c r="C5722" s="9">
        <v>1110</v>
      </c>
      <c r="D5722" s="0">
        <v>4</v>
      </c>
      <c r="E5722" s="10">
        <f>HYPERLINK("http://www.lingerieopt.ru/images/original/dfa0352c-1043-4f35-b62a-57544fedcf7f.jpg","Фото")</f>
      </c>
    </row>
    <row r="5723">
      <c r="A5723" s="7">
        <f>HYPERLINK("http://www.lingerieopt.ru/item/9527-vozdushnji-bebi-doll-essie-plus-size-s-zavyazkami-na-shee/","9527")</f>
      </c>
      <c r="B5723" s="8" t="s">
        <v>5479</v>
      </c>
      <c r="C5723" s="9">
        <v>1110</v>
      </c>
      <c r="D5723" s="0">
        <v>1</v>
      </c>
      <c r="E5723" s="10">
        <f>HYPERLINK("http://www.lingerieopt.ru/images/original/43507476-c109-4794-bd7f-abab7f4b3401.jpg","Фото")</f>
      </c>
    </row>
    <row r="5724">
      <c r="A5724" s="7">
        <f>HYPERLINK("http://www.lingerieopt.ru/item/9527-vozdushnji-bebi-doll-essie-plus-size-s-zavyazkami-na-shee/","9527")</f>
      </c>
      <c r="B5724" s="8" t="s">
        <v>5480</v>
      </c>
      <c r="C5724" s="9">
        <v>1110</v>
      </c>
      <c r="D5724" s="0">
        <v>0</v>
      </c>
      <c r="E5724" s="10">
        <f>HYPERLINK("http://www.lingerieopt.ru/images/original/43507476-c109-4794-bd7f-abab7f4b3401.jpg","Фото")</f>
      </c>
    </row>
    <row r="5725">
      <c r="A5725" s="7">
        <f>HYPERLINK("http://www.lingerieopt.ru/item/9528-zhenstvennaya-sorochka-felinda-plus-size-s-kruzhevnjm-lifom/","9528")</f>
      </c>
      <c r="B5725" s="8" t="s">
        <v>5481</v>
      </c>
      <c r="C5725" s="9">
        <v>2967</v>
      </c>
      <c r="D5725" s="0">
        <v>1</v>
      </c>
      <c r="E5725" s="10">
        <f>HYPERLINK("http://www.lingerieopt.ru/images/original/ea9b0685-1600-4f92-b474-86003c29acf5.jpg","Фото")</f>
      </c>
    </row>
    <row r="5726">
      <c r="A5726" s="7">
        <f>HYPERLINK("http://www.lingerieopt.ru/item/9528-zhenstvennaya-sorochka-felinda-plus-size-s-kruzhevnjm-lifom/","9528")</f>
      </c>
      <c r="B5726" s="8" t="s">
        <v>5482</v>
      </c>
      <c r="C5726" s="9">
        <v>2967</v>
      </c>
      <c r="D5726" s="0">
        <v>0</v>
      </c>
      <c r="E5726" s="10">
        <f>HYPERLINK("http://www.lingerieopt.ru/images/original/ea9b0685-1600-4f92-b474-86003c29acf5.jpg","Фото")</f>
      </c>
    </row>
    <row r="5727">
      <c r="A5727" s="7">
        <f>HYPERLINK("http://www.lingerieopt.ru/item/9529-oblegayuschaya-sorochka-felinda-s-kruzhevnjm-lifom/","9529")</f>
      </c>
      <c r="B5727" s="8" t="s">
        <v>5483</v>
      </c>
      <c r="C5727" s="9">
        <v>2308</v>
      </c>
      <c r="D5727" s="0">
        <v>0</v>
      </c>
      <c r="E5727" s="10">
        <f>HYPERLINK("http://www.lingerieopt.ru/images/original/9fc8c98f-eb00-4f9c-a07a-44ebe825d27d.jpg","Фото")</f>
      </c>
    </row>
    <row r="5728">
      <c r="A5728" s="7">
        <f>HYPERLINK("http://www.lingerieopt.ru/item/9529-oblegayuschaya-sorochka-felinda-s-kruzhevnjm-lifom/","9529")</f>
      </c>
      <c r="B5728" s="8" t="s">
        <v>5484</v>
      </c>
      <c r="C5728" s="9">
        <v>2308</v>
      </c>
      <c r="D5728" s="0">
        <v>1</v>
      </c>
      <c r="E5728" s="10">
        <f>HYPERLINK("http://www.lingerieopt.ru/images/original/9fc8c98f-eb00-4f9c-a07a-44ebe825d27d.jpg","Фото")</f>
      </c>
    </row>
    <row r="5729">
      <c r="A5729" s="7">
        <f>HYPERLINK("http://www.lingerieopt.ru/item/9529-oblegayuschaya-sorochka-felinda-s-kruzhevnjm-lifom/","9529")</f>
      </c>
      <c r="B5729" s="8" t="s">
        <v>5485</v>
      </c>
      <c r="C5729" s="9">
        <v>2308</v>
      </c>
      <c r="D5729" s="0">
        <v>0</v>
      </c>
      <c r="E5729" s="10">
        <f>HYPERLINK("http://www.lingerieopt.ru/images/original/9fc8c98f-eb00-4f9c-a07a-44ebe825d27d.jpg","Фото")</f>
      </c>
    </row>
    <row r="5730">
      <c r="A5730" s="7">
        <f>HYPERLINK("http://www.lingerieopt.ru/item/9529-oblegayuschaya-sorochka-felinda-s-kruzhevnjm-lifom/","9529")</f>
      </c>
      <c r="B5730" s="8" t="s">
        <v>5486</v>
      </c>
      <c r="C5730" s="9">
        <v>2308</v>
      </c>
      <c r="D5730" s="0">
        <v>0</v>
      </c>
      <c r="E5730" s="10">
        <f>HYPERLINK("http://www.lingerieopt.ru/images/original/9fc8c98f-eb00-4f9c-a07a-44ebe825d27d.jpg","Фото")</f>
      </c>
    </row>
    <row r="5731">
      <c r="A5731" s="7">
        <f>HYPERLINK("http://www.lingerieopt.ru/item/9531-yarkaya-sorochka-sienna-plus-size-s-metallicheskimi-polukolcami-na-life/","9531")</f>
      </c>
      <c r="B5731" s="8" t="s">
        <v>5487</v>
      </c>
      <c r="C5731" s="9">
        <v>2072</v>
      </c>
      <c r="D5731" s="0">
        <v>1</v>
      </c>
      <c r="E5731" s="10">
        <f>HYPERLINK("http://www.lingerieopt.ru/images/original/d1c3c64f-60af-4abb-9fdc-647afb39f948.jpg","Фото")</f>
      </c>
    </row>
    <row r="5732">
      <c r="A5732" s="7">
        <f>HYPERLINK("http://www.lingerieopt.ru/item/9531-yarkaya-sorochka-sienna-plus-size-s-metallicheskimi-polukolcami-na-life/","9531")</f>
      </c>
      <c r="B5732" s="8" t="s">
        <v>5488</v>
      </c>
      <c r="C5732" s="9">
        <v>2072</v>
      </c>
      <c r="D5732" s="0">
        <v>0</v>
      </c>
      <c r="E5732" s="10">
        <f>HYPERLINK("http://www.lingerieopt.ru/images/original/d1c3c64f-60af-4abb-9fdc-647afb39f948.jpg","Фото")</f>
      </c>
    </row>
    <row r="5733">
      <c r="A5733" s="7">
        <f>HYPERLINK("http://www.lingerieopt.ru/item/9532-korotenkaya-sorochka-lucilla-s-otkrjtjm-lifom/","9532")</f>
      </c>
      <c r="B5733" s="8" t="s">
        <v>5489</v>
      </c>
      <c r="C5733" s="9">
        <v>1693</v>
      </c>
      <c r="D5733" s="0">
        <v>1</v>
      </c>
      <c r="E5733" s="10">
        <f>HYPERLINK("http://www.lingerieopt.ru/images/original/483b35fb-7d6b-4450-a27a-c4240736b1b4.jpg","Фото")</f>
      </c>
    </row>
    <row r="5734">
      <c r="A5734" s="7">
        <f>HYPERLINK("http://www.lingerieopt.ru/item/9532-korotenkaya-sorochka-lucilla-s-otkrjtjm-lifom/","9532")</f>
      </c>
      <c r="B5734" s="8" t="s">
        <v>5490</v>
      </c>
      <c r="C5734" s="9">
        <v>1693</v>
      </c>
      <c r="D5734" s="0">
        <v>1</v>
      </c>
      <c r="E5734" s="10">
        <f>HYPERLINK("http://www.lingerieopt.ru/images/original/483b35fb-7d6b-4450-a27a-c4240736b1b4.jpg","Фото")</f>
      </c>
    </row>
    <row r="5735">
      <c r="A5735" s="7">
        <f>HYPERLINK("http://www.lingerieopt.ru/item/9532-korotenkaya-sorochka-lucilla-s-otkrjtjm-lifom/","9532")</f>
      </c>
      <c r="B5735" s="8" t="s">
        <v>5491</v>
      </c>
      <c r="C5735" s="9">
        <v>1693</v>
      </c>
      <c r="D5735" s="0">
        <v>2</v>
      </c>
      <c r="E5735" s="10">
        <f>HYPERLINK("http://www.lingerieopt.ru/images/original/483b35fb-7d6b-4450-a27a-c4240736b1b4.jpg","Фото")</f>
      </c>
    </row>
    <row r="5736">
      <c r="A5736" s="7">
        <f>HYPERLINK("http://www.lingerieopt.ru/item/9532-korotenkaya-sorochka-lucilla-s-otkrjtjm-lifom/","9532")</f>
      </c>
      <c r="B5736" s="8" t="s">
        <v>5492</v>
      </c>
      <c r="C5736" s="9">
        <v>1693</v>
      </c>
      <c r="D5736" s="0">
        <v>1</v>
      </c>
      <c r="E5736" s="10">
        <f>HYPERLINK("http://www.lingerieopt.ru/images/original/483b35fb-7d6b-4450-a27a-c4240736b1b4.jpg","Фото")</f>
      </c>
    </row>
    <row r="5737">
      <c r="A5737" s="7">
        <f>HYPERLINK("http://www.lingerieopt.ru/item/9549-kruzhevnaya-sorochka-physis-s-bahromoi/","9549")</f>
      </c>
      <c r="B5737" s="8" t="s">
        <v>5493</v>
      </c>
      <c r="C5737" s="9">
        <v>1267</v>
      </c>
      <c r="D5737" s="0">
        <v>6</v>
      </c>
      <c r="E5737" s="10">
        <f>HYPERLINK("http://www.lingerieopt.ru/images/original/91087119-fc85-4ff1-98fa-f099f4e2c563.jpg","Фото")</f>
      </c>
    </row>
    <row r="5738">
      <c r="A5738" s="7">
        <f>HYPERLINK("http://www.lingerieopt.ru/item/9549-kruzhevnaya-sorochka-physis-s-bahromoi/","9549")</f>
      </c>
      <c r="B5738" s="8" t="s">
        <v>5494</v>
      </c>
      <c r="C5738" s="9">
        <v>1267</v>
      </c>
      <c r="D5738" s="0">
        <v>5</v>
      </c>
      <c r="E5738" s="10">
        <f>HYPERLINK("http://www.lingerieopt.ru/images/original/91087119-fc85-4ff1-98fa-f099f4e2c563.jpg","Фото")</f>
      </c>
    </row>
    <row r="5739">
      <c r="A5739" s="7">
        <f>HYPERLINK("http://www.lingerieopt.ru/item/9549-kruzhevnaya-sorochka-physis-s-bahromoi/","9549")</f>
      </c>
      <c r="B5739" s="8" t="s">
        <v>5495</v>
      </c>
      <c r="C5739" s="9">
        <v>1267</v>
      </c>
      <c r="D5739" s="0">
        <v>6</v>
      </c>
      <c r="E5739" s="10">
        <f>HYPERLINK("http://www.lingerieopt.ru/images/original/91087119-fc85-4ff1-98fa-f099f4e2c563.jpg","Фото")</f>
      </c>
    </row>
    <row r="5740">
      <c r="A5740" s="7">
        <f>HYPERLINK("http://www.lingerieopt.ru/item/9549-kruzhevnaya-sorochka-physis-s-bahromoi/","9549")</f>
      </c>
      <c r="B5740" s="8" t="s">
        <v>5496</v>
      </c>
      <c r="C5740" s="9">
        <v>1267</v>
      </c>
      <c r="D5740" s="0">
        <v>3</v>
      </c>
      <c r="E5740" s="10">
        <f>HYPERLINK("http://www.lingerieopt.ru/images/original/91087119-fc85-4ff1-98fa-f099f4e2c563.jpg","Фото")</f>
      </c>
    </row>
    <row r="5741">
      <c r="A5741" s="7">
        <f>HYPERLINK("http://www.lingerieopt.ru/item/9550-azhurnaya-sorochka-physis-plus-size-s-bahromoi/","9550")</f>
      </c>
      <c r="B5741" s="8" t="s">
        <v>5497</v>
      </c>
      <c r="C5741" s="9">
        <v>1267</v>
      </c>
      <c r="D5741" s="0">
        <v>2</v>
      </c>
      <c r="E5741" s="10">
        <f>HYPERLINK("http://www.lingerieopt.ru/images/original/54856f24-4e65-46a1-b0f3-bc97cc897584.jpg","Фото")</f>
      </c>
    </row>
    <row r="5742">
      <c r="A5742" s="7">
        <f>HYPERLINK("http://www.lingerieopt.ru/item/9550-azhurnaya-sorochka-physis-plus-size-s-bahromoi/","9550")</f>
      </c>
      <c r="B5742" s="8" t="s">
        <v>5498</v>
      </c>
      <c r="C5742" s="9">
        <v>1267</v>
      </c>
      <c r="D5742" s="0">
        <v>3</v>
      </c>
      <c r="E5742" s="10">
        <f>HYPERLINK("http://www.lingerieopt.ru/images/original/54856f24-4e65-46a1-b0f3-bc97cc897584.jpg","Фото")</f>
      </c>
    </row>
    <row r="5743">
      <c r="A5743" s="7">
        <f>HYPERLINK("http://www.lingerieopt.ru/item/9555-oblegayuschaya-sorochka-cylenne-plus-size-iz-azhura/","9555")</f>
      </c>
      <c r="B5743" s="8" t="s">
        <v>5499</v>
      </c>
      <c r="C5743" s="9">
        <v>1902</v>
      </c>
      <c r="D5743" s="0">
        <v>3</v>
      </c>
      <c r="E5743" s="10">
        <f>HYPERLINK("http://www.lingerieopt.ru/images/original/dedc273f-8b05-4a19-86bc-b3247873a7ab.jpg","Фото")</f>
      </c>
    </row>
    <row r="5744">
      <c r="A5744" s="7">
        <f>HYPERLINK("http://www.lingerieopt.ru/item/9555-oblegayuschaya-sorochka-cylenne-plus-size-iz-azhura/","9555")</f>
      </c>
      <c r="B5744" s="8" t="s">
        <v>5500</v>
      </c>
      <c r="C5744" s="9">
        <v>1902</v>
      </c>
      <c r="D5744" s="0">
        <v>3</v>
      </c>
      <c r="E5744" s="10">
        <f>HYPERLINK("http://www.lingerieopt.ru/images/original/dedc273f-8b05-4a19-86bc-b3247873a7ab.jpg","Фото")</f>
      </c>
    </row>
    <row r="5745">
      <c r="A5745" s="7">
        <f>HYPERLINK("http://www.lingerieopt.ru/item/9556-oblegayuschaya-sorochka-cylenne-so-shnurovkami/","9556")</f>
      </c>
      <c r="B5745" s="8" t="s">
        <v>5501</v>
      </c>
      <c r="C5745" s="9">
        <v>1902</v>
      </c>
      <c r="D5745" s="0">
        <v>5</v>
      </c>
      <c r="E5745" s="10">
        <f>HYPERLINK("http://www.lingerieopt.ru/images/original/828fbdad-81ca-4975-a051-15bfe4b8a1b1.jpg","Фото")</f>
      </c>
    </row>
    <row r="5746">
      <c r="A5746" s="7">
        <f>HYPERLINK("http://www.lingerieopt.ru/item/9556-oblegayuschaya-sorochka-cylenne-so-shnurovkami/","9556")</f>
      </c>
      <c r="B5746" s="8" t="s">
        <v>5502</v>
      </c>
      <c r="C5746" s="9">
        <v>1902</v>
      </c>
      <c r="D5746" s="0">
        <v>8</v>
      </c>
      <c r="E5746" s="10">
        <f>HYPERLINK("http://www.lingerieopt.ru/images/original/828fbdad-81ca-4975-a051-15bfe4b8a1b1.jpg","Фото")</f>
      </c>
    </row>
    <row r="5747">
      <c r="A5747" s="7">
        <f>HYPERLINK("http://www.lingerieopt.ru/item/9556-oblegayuschaya-sorochka-cylenne-so-shnurovkami/","9556")</f>
      </c>
      <c r="B5747" s="8" t="s">
        <v>5503</v>
      </c>
      <c r="C5747" s="9">
        <v>1902</v>
      </c>
      <c r="D5747" s="0">
        <v>6</v>
      </c>
      <c r="E5747" s="10">
        <f>HYPERLINK("http://www.lingerieopt.ru/images/original/828fbdad-81ca-4975-a051-15bfe4b8a1b1.jpg","Фото")</f>
      </c>
    </row>
    <row r="5748">
      <c r="A5748" s="7">
        <f>HYPERLINK("http://www.lingerieopt.ru/item/9556-oblegayuschaya-sorochka-cylenne-so-shnurovkami/","9556")</f>
      </c>
      <c r="B5748" s="8" t="s">
        <v>5504</v>
      </c>
      <c r="C5748" s="9">
        <v>1902</v>
      </c>
      <c r="D5748" s="0">
        <v>9</v>
      </c>
      <c r="E5748" s="10">
        <f>HYPERLINK("http://www.lingerieopt.ru/images/original/828fbdad-81ca-4975-a051-15bfe4b8a1b1.jpg","Фото")</f>
      </c>
    </row>
    <row r="5749">
      <c r="A5749" s="7">
        <f>HYPERLINK("http://www.lingerieopt.ru/item/9557-chuvstvennaya-sorochka-sollea-plus-size-so-shnurovkoi-na-spinke/","9557")</f>
      </c>
      <c r="B5749" s="8" t="s">
        <v>5505</v>
      </c>
      <c r="C5749" s="9">
        <v>2072</v>
      </c>
      <c r="D5749" s="0">
        <v>2</v>
      </c>
      <c r="E5749" s="10">
        <f>HYPERLINK("http://www.lingerieopt.ru/images/original/eaf078b0-6173-45e5-904d-24a71c7d772c.jpg","Фото")</f>
      </c>
    </row>
    <row r="5750">
      <c r="A5750" s="7">
        <f>HYPERLINK("http://www.lingerieopt.ru/item/9557-chuvstvennaya-sorochka-sollea-plus-size-so-shnurovkoi-na-spinke/","9557")</f>
      </c>
      <c r="B5750" s="8" t="s">
        <v>5506</v>
      </c>
      <c r="C5750" s="9">
        <v>2072</v>
      </c>
      <c r="D5750" s="0">
        <v>3</v>
      </c>
      <c r="E5750" s="10">
        <f>HYPERLINK("http://www.lingerieopt.ru/images/original/eaf078b0-6173-45e5-904d-24a71c7d772c.jpg","Фото")</f>
      </c>
    </row>
    <row r="5751">
      <c r="A5751" s="7">
        <f>HYPERLINK("http://www.lingerieopt.ru/item/9558-roskoshnaya-sorochka-sollea-iz-tyulya-so-shnurovkoi-szadi/","9558")</f>
      </c>
      <c r="B5751" s="8" t="s">
        <v>5507</v>
      </c>
      <c r="C5751" s="9">
        <v>2072</v>
      </c>
      <c r="D5751" s="0">
        <v>4</v>
      </c>
      <c r="E5751" s="10">
        <f>HYPERLINK("http://www.lingerieopt.ru/images/original/5f526055-cdb6-46f9-8c2b-dc5da3eda4e2.jpg","Фото")</f>
      </c>
    </row>
    <row r="5752">
      <c r="A5752" s="7">
        <f>HYPERLINK("http://www.lingerieopt.ru/item/9558-roskoshnaya-sorochka-sollea-iz-tyulya-so-shnurovkoi-szadi/","9558")</f>
      </c>
      <c r="B5752" s="8" t="s">
        <v>5508</v>
      </c>
      <c r="C5752" s="9">
        <v>2072</v>
      </c>
      <c r="D5752" s="0">
        <v>6</v>
      </c>
      <c r="E5752" s="10">
        <f>HYPERLINK("http://www.lingerieopt.ru/images/original/5f526055-cdb6-46f9-8c2b-dc5da3eda4e2.jpg","Фото")</f>
      </c>
    </row>
    <row r="5753">
      <c r="A5753" s="7">
        <f>HYPERLINK("http://www.lingerieopt.ru/item/9558-roskoshnaya-sorochka-sollea-iz-tyulya-so-shnurovkoi-szadi/","9558")</f>
      </c>
      <c r="B5753" s="8" t="s">
        <v>5509</v>
      </c>
      <c r="C5753" s="9">
        <v>2072</v>
      </c>
      <c r="D5753" s="0">
        <v>10</v>
      </c>
      <c r="E5753" s="10">
        <f>HYPERLINK("http://www.lingerieopt.ru/images/original/5f526055-cdb6-46f9-8c2b-dc5da3eda4e2.jpg","Фото")</f>
      </c>
    </row>
    <row r="5754">
      <c r="A5754" s="7">
        <f>HYPERLINK("http://www.lingerieopt.ru/item/9558-roskoshnaya-sorochka-sollea-iz-tyulya-so-shnurovkoi-szadi/","9558")</f>
      </c>
      <c r="B5754" s="8" t="s">
        <v>5510</v>
      </c>
      <c r="C5754" s="9">
        <v>2072</v>
      </c>
      <c r="D5754" s="0">
        <v>11</v>
      </c>
      <c r="E5754" s="10">
        <f>HYPERLINK("http://www.lingerieopt.ru/images/original/5f526055-cdb6-46f9-8c2b-dc5da3eda4e2.jpg","Фото")</f>
      </c>
    </row>
    <row r="5755">
      <c r="A5755" s="7">
        <f>HYPERLINK("http://www.lingerieopt.ru/item/9560-soblaznitelnaya-sorochka-yammy-iz-poluprozrachnogo-materiala/","9560")</f>
      </c>
      <c r="B5755" s="8" t="s">
        <v>5511</v>
      </c>
      <c r="C5755" s="9">
        <v>1846</v>
      </c>
      <c r="D5755" s="0">
        <v>6</v>
      </c>
      <c r="E5755" s="10">
        <f>HYPERLINK("http://www.lingerieopt.ru/images/original/0cf83e87-f46f-49e6-ac6b-c800798a24d9.jpg","Фото")</f>
      </c>
    </row>
    <row r="5756">
      <c r="A5756" s="7">
        <f>HYPERLINK("http://www.lingerieopt.ru/item/9560-soblaznitelnaya-sorochka-yammy-iz-poluprozrachnogo-materiala/","9560")</f>
      </c>
      <c r="B5756" s="8" t="s">
        <v>5512</v>
      </c>
      <c r="C5756" s="9">
        <v>1846</v>
      </c>
      <c r="D5756" s="0">
        <v>9</v>
      </c>
      <c r="E5756" s="10">
        <f>HYPERLINK("http://www.lingerieopt.ru/images/original/0cf83e87-f46f-49e6-ac6b-c800798a24d9.jpg","Фото")</f>
      </c>
    </row>
    <row r="5757">
      <c r="A5757" s="7">
        <f>HYPERLINK("http://www.lingerieopt.ru/item/9560-soblaznitelnaya-sorochka-yammy-iz-poluprozrachnogo-materiala/","9560")</f>
      </c>
      <c r="B5757" s="8" t="s">
        <v>5513</v>
      </c>
      <c r="C5757" s="9">
        <v>1846</v>
      </c>
      <c r="D5757" s="0">
        <v>4</v>
      </c>
      <c r="E5757" s="10">
        <f>HYPERLINK("http://www.lingerieopt.ru/images/original/0cf83e87-f46f-49e6-ac6b-c800798a24d9.jpg","Фото")</f>
      </c>
    </row>
    <row r="5758">
      <c r="A5758" s="7">
        <f>HYPERLINK("http://www.lingerieopt.ru/item/9563-strastnaya-sorochka-indiana-plus-size-s-pazhami-dlya-chulok/","9563")</f>
      </c>
      <c r="B5758" s="8" t="s">
        <v>5514</v>
      </c>
      <c r="C5758" s="9">
        <v>1636</v>
      </c>
      <c r="D5758" s="0">
        <v>0</v>
      </c>
      <c r="E5758" s="10">
        <f>HYPERLINK("http://www.lingerieopt.ru/images/original/ea151c89-4f1e-4041-b467-983997264aa4.jpg","Фото")</f>
      </c>
    </row>
    <row r="5759">
      <c r="A5759" s="7">
        <f>HYPERLINK("http://www.lingerieopt.ru/item/9563-strastnaya-sorochka-indiana-plus-size-s-pazhami-dlya-chulok/","9563")</f>
      </c>
      <c r="B5759" s="8" t="s">
        <v>5515</v>
      </c>
      <c r="C5759" s="9">
        <v>1636</v>
      </c>
      <c r="D5759" s="0">
        <v>1</v>
      </c>
      <c r="E5759" s="10">
        <f>HYPERLINK("http://www.lingerieopt.ru/images/original/ea151c89-4f1e-4041-b467-983997264aa4.jpg","Фото")</f>
      </c>
    </row>
    <row r="5760">
      <c r="A5760" s="7">
        <f>HYPERLINK("http://www.lingerieopt.ru/item/9567-obolstitelnaya-sorochka-apolonya-s-kruzhevnjm-lifom/","9567")</f>
      </c>
      <c r="B5760" s="8" t="s">
        <v>5516</v>
      </c>
      <c r="C5760" s="9">
        <v>2458</v>
      </c>
      <c r="D5760" s="0">
        <v>2</v>
      </c>
      <c r="E5760" s="10">
        <f>HYPERLINK("http://www.lingerieopt.ru/images/original/23c0719a-773d-43fa-b4a9-769fa3952d56.jpg","Фото")</f>
      </c>
    </row>
    <row r="5761">
      <c r="A5761" s="7">
        <f>HYPERLINK("http://www.lingerieopt.ru/item/9567-obolstitelnaya-sorochka-apolonya-s-kruzhevnjm-lifom/","9567")</f>
      </c>
      <c r="B5761" s="8" t="s">
        <v>5517</v>
      </c>
      <c r="C5761" s="9">
        <v>2458</v>
      </c>
      <c r="D5761" s="0">
        <v>6</v>
      </c>
      <c r="E5761" s="10">
        <f>HYPERLINK("http://www.lingerieopt.ru/images/original/23c0719a-773d-43fa-b4a9-769fa3952d56.jpg","Фото")</f>
      </c>
    </row>
    <row r="5762">
      <c r="A5762" s="7">
        <f>HYPERLINK("http://www.lingerieopt.ru/item/9567-obolstitelnaya-sorochka-apolonya-s-kruzhevnjm-lifom/","9567")</f>
      </c>
      <c r="B5762" s="8" t="s">
        <v>5518</v>
      </c>
      <c r="C5762" s="9">
        <v>2458</v>
      </c>
      <c r="D5762" s="0">
        <v>2</v>
      </c>
      <c r="E5762" s="10">
        <f>HYPERLINK("http://www.lingerieopt.ru/images/original/23c0719a-773d-43fa-b4a9-769fa3952d56.jpg","Фото")</f>
      </c>
    </row>
    <row r="5763">
      <c r="A5763" s="7">
        <f>HYPERLINK("http://www.lingerieopt.ru/item/9567-obolstitelnaya-sorochka-apolonya-s-kruzhevnjm-lifom/","9567")</f>
      </c>
      <c r="B5763" s="8" t="s">
        <v>5519</v>
      </c>
      <c r="C5763" s="9">
        <v>2458</v>
      </c>
      <c r="D5763" s="0">
        <v>3</v>
      </c>
      <c r="E5763" s="10">
        <f>HYPERLINK("http://www.lingerieopt.ru/images/original/23c0719a-773d-43fa-b4a9-769fa3952d56.jpg","Фото")</f>
      </c>
    </row>
    <row r="5764">
      <c r="A5764" s="7">
        <f>HYPERLINK("http://www.lingerieopt.ru/item/9568-dlinnaya-sorochka-apolonya-plus-size-s-kruzhevnjm-lifom/","9568")</f>
      </c>
      <c r="B5764" s="8" t="s">
        <v>5520</v>
      </c>
      <c r="C5764" s="9">
        <v>2458</v>
      </c>
      <c r="D5764" s="0">
        <v>2</v>
      </c>
      <c r="E5764" s="10">
        <f>HYPERLINK("http://www.lingerieopt.ru/images/original/85a7fb9b-f482-4a89-bbf3-d46a68b5927c.jpg","Фото")</f>
      </c>
    </row>
    <row r="5765">
      <c r="A5765" s="7">
        <f>HYPERLINK("http://www.lingerieopt.ru/item/9568-dlinnaya-sorochka-apolonya-plus-size-s-kruzhevnjm-lifom/","9568")</f>
      </c>
      <c r="B5765" s="8" t="s">
        <v>5521</v>
      </c>
      <c r="C5765" s="9">
        <v>2458</v>
      </c>
      <c r="D5765" s="0">
        <v>2</v>
      </c>
      <c r="E5765" s="10">
        <f>HYPERLINK("http://www.lingerieopt.ru/images/original/85a7fb9b-f482-4a89-bbf3-d46a68b5927c.jpg","Фото")</f>
      </c>
    </row>
    <row r="5766">
      <c r="A5766" s="7">
        <f>HYPERLINK("http://www.lingerieopt.ru/item/9571-penyuar-islla-s-zapahom-i-rukavami-1-2/","9571")</f>
      </c>
      <c r="B5766" s="8" t="s">
        <v>5522</v>
      </c>
      <c r="C5766" s="9">
        <v>2570</v>
      </c>
      <c r="D5766" s="0">
        <v>8</v>
      </c>
      <c r="E5766" s="10">
        <f>HYPERLINK("http://www.lingerieopt.ru/images/original/eb5b21bf-aae7-4e36-9fab-b82985cc00d9.jpg","Фото")</f>
      </c>
    </row>
    <row r="5767">
      <c r="A5767" s="7">
        <f>HYPERLINK("http://www.lingerieopt.ru/item/9571-penyuar-islla-s-zapahom-i-rukavami-1-2/","9571")</f>
      </c>
      <c r="B5767" s="8" t="s">
        <v>5523</v>
      </c>
      <c r="C5767" s="9">
        <v>2570</v>
      </c>
      <c r="D5767" s="0">
        <v>7</v>
      </c>
      <c r="E5767" s="10">
        <f>HYPERLINK("http://www.lingerieopt.ru/images/original/eb5b21bf-aae7-4e36-9fab-b82985cc00d9.jpg","Фото")</f>
      </c>
    </row>
    <row r="5768">
      <c r="A5768" s="7">
        <f>HYPERLINK("http://www.lingerieopt.ru/item/9571-penyuar-islla-s-zapahom-i-rukavami-1-2/","9571")</f>
      </c>
      <c r="B5768" s="8" t="s">
        <v>5524</v>
      </c>
      <c r="C5768" s="9">
        <v>2570</v>
      </c>
      <c r="D5768" s="0">
        <v>6</v>
      </c>
      <c r="E5768" s="10">
        <f>HYPERLINK("http://www.lingerieopt.ru/images/original/eb5b21bf-aae7-4e36-9fab-b82985cc00d9.jpg","Фото")</f>
      </c>
    </row>
    <row r="5769">
      <c r="A5769" s="7">
        <f>HYPERLINK("http://www.lingerieopt.ru/item/9572-poluprozrachnji-penyuar-camelie-plus-size-s-rukavami-3-4/","9572")</f>
      </c>
      <c r="B5769" s="8" t="s">
        <v>5525</v>
      </c>
      <c r="C5769" s="9">
        <v>1902</v>
      </c>
      <c r="D5769" s="0">
        <v>2</v>
      </c>
      <c r="E5769" s="10">
        <f>HYPERLINK("http://www.lingerieopt.ru/images/original/11d451ed-56d2-4244-aba4-7ecbf58013a4.jpg","Фото")</f>
      </c>
    </row>
    <row r="5770">
      <c r="A5770" s="7">
        <f>HYPERLINK("http://www.lingerieopt.ru/item/9572-poluprozrachnji-penyuar-camelie-plus-size-s-rukavami-3-4/","9572")</f>
      </c>
      <c r="B5770" s="8" t="s">
        <v>5526</v>
      </c>
      <c r="C5770" s="9">
        <v>1902</v>
      </c>
      <c r="D5770" s="0">
        <v>2</v>
      </c>
      <c r="E5770" s="10">
        <f>HYPERLINK("http://www.lingerieopt.ru/images/original/11d451ed-56d2-4244-aba4-7ecbf58013a4.jpg","Фото")</f>
      </c>
    </row>
    <row r="5771">
      <c r="A5771" s="7">
        <f>HYPERLINK("http://www.lingerieopt.ru/item/9573-prozrachnji-penyuar-na-poyaske-anthis-plus-size-s-otorochkoi-atlasom/","9573")</f>
      </c>
      <c r="B5771" s="8" t="s">
        <v>5527</v>
      </c>
      <c r="C5771" s="9">
        <v>2378</v>
      </c>
      <c r="D5771" s="0">
        <v>0</v>
      </c>
      <c r="E5771" s="10">
        <f>HYPERLINK("http://www.lingerieopt.ru/images/original/07a7fbad-fbe4-4565-8317-5f766d9c9412.jpg","Фото")</f>
      </c>
    </row>
    <row r="5772">
      <c r="A5772" s="7">
        <f>HYPERLINK("http://www.lingerieopt.ru/item/9573-prozrachnji-penyuar-na-poyaske-anthis-plus-size-s-otorochkoi-atlasom/","9573")</f>
      </c>
      <c r="B5772" s="8" t="s">
        <v>5528</v>
      </c>
      <c r="C5772" s="9">
        <v>2378</v>
      </c>
      <c r="D5772" s="0">
        <v>1</v>
      </c>
      <c r="E5772" s="10">
        <f>HYPERLINK("http://www.lingerieopt.ru/images/original/07a7fbad-fbe4-4565-8317-5f766d9c9412.jpg","Фото")</f>
      </c>
    </row>
    <row r="5773">
      <c r="A5773" s="7">
        <f>HYPERLINK("http://www.lingerieopt.ru/item/9577-poluprozrachnji-tyulevji-penyuar-chanice-plus-size/","9577")</f>
      </c>
      <c r="B5773" s="8" t="s">
        <v>5529</v>
      </c>
      <c r="C5773" s="9">
        <v>2458</v>
      </c>
      <c r="D5773" s="0">
        <v>2</v>
      </c>
      <c r="E5773" s="10">
        <f>HYPERLINK("http://www.lingerieopt.ru/images/original/e9017387-a40b-4e25-924e-d6eb24152d18.jpg","Фото")</f>
      </c>
    </row>
    <row r="5774">
      <c r="A5774" s="7">
        <f>HYPERLINK("http://www.lingerieopt.ru/item/9577-poluprozrachnji-tyulevji-penyuar-chanice-plus-size/","9577")</f>
      </c>
      <c r="B5774" s="8" t="s">
        <v>5530</v>
      </c>
      <c r="C5774" s="9">
        <v>2458</v>
      </c>
      <c r="D5774" s="0">
        <v>1</v>
      </c>
      <c r="E5774" s="10">
        <f>HYPERLINK("http://www.lingerieopt.ru/images/original/e9017387-a40b-4e25-924e-d6eb24152d18.jpg","Фото")</f>
      </c>
    </row>
    <row r="5775">
      <c r="A5775" s="7">
        <f>HYPERLINK("http://www.lingerieopt.ru/item/9578-poluprozrachnji-penyuar-chanice-iz-tyulya/","9578")</f>
      </c>
      <c r="B5775" s="8" t="s">
        <v>5531</v>
      </c>
      <c r="C5775" s="9">
        <v>2458</v>
      </c>
      <c r="D5775" s="0">
        <v>3</v>
      </c>
      <c r="E5775" s="10">
        <f>HYPERLINK("http://www.lingerieopt.ru/images/original/82d5cab0-b0e8-4e7f-a28a-1592c2116a5b.jpg","Фото")</f>
      </c>
    </row>
    <row r="5776">
      <c r="A5776" s="7">
        <f>HYPERLINK("http://www.lingerieopt.ru/item/9578-poluprozrachnji-penyuar-chanice-iz-tyulya/","9578")</f>
      </c>
      <c r="B5776" s="8" t="s">
        <v>5532</v>
      </c>
      <c r="C5776" s="9">
        <v>2458</v>
      </c>
      <c r="D5776" s="0">
        <v>3</v>
      </c>
      <c r="E5776" s="10">
        <f>HYPERLINK("http://www.lingerieopt.ru/images/original/82d5cab0-b0e8-4e7f-a28a-1592c2116a5b.jpg","Фото")</f>
      </c>
    </row>
    <row r="5777">
      <c r="A5777" s="7">
        <f>HYPERLINK("http://www.lingerieopt.ru/item/9578-poluprozrachnji-penyuar-chanice-iz-tyulya/","9578")</f>
      </c>
      <c r="B5777" s="8" t="s">
        <v>5533</v>
      </c>
      <c r="C5777" s="9">
        <v>2458</v>
      </c>
      <c r="D5777" s="0">
        <v>4</v>
      </c>
      <c r="E5777" s="10">
        <f>HYPERLINK("http://www.lingerieopt.ru/images/original/82d5cab0-b0e8-4e7f-a28a-1592c2116a5b.jpg","Фото")</f>
      </c>
    </row>
    <row r="5778">
      <c r="A5778" s="7">
        <f>HYPERLINK("http://www.lingerieopt.ru/item/9578-poluprozrachnji-penyuar-chanice-iz-tyulya/","9578")</f>
      </c>
      <c r="B5778" s="8" t="s">
        <v>5534</v>
      </c>
      <c r="C5778" s="9">
        <v>2458</v>
      </c>
      <c r="D5778" s="0">
        <v>2</v>
      </c>
      <c r="E5778" s="10">
        <f>HYPERLINK("http://www.lingerieopt.ru/images/original/82d5cab0-b0e8-4e7f-a28a-1592c2116a5b.jpg","Фото")</f>
      </c>
    </row>
    <row r="5779">
      <c r="A5779" s="7">
        <f>HYPERLINK("http://www.lingerieopt.ru/item/9579-ukorochennji-penyuar-saffie-plus-size-s-zavyazkami-na-life/","9579")</f>
      </c>
      <c r="B5779" s="8" t="s">
        <v>5535</v>
      </c>
      <c r="C5779" s="9">
        <v>1578</v>
      </c>
      <c r="D5779" s="0">
        <v>3</v>
      </c>
      <c r="E5779" s="10">
        <f>HYPERLINK("http://www.lingerieopt.ru/images/original/91a07e7f-2797-4152-9ed5-b6ca70a30f93.jpg","Фото")</f>
      </c>
    </row>
    <row r="5780">
      <c r="A5780" s="7">
        <f>HYPERLINK("http://www.lingerieopt.ru/item/9579-ukorochennji-penyuar-saffie-plus-size-s-zavyazkami-na-life/","9579")</f>
      </c>
      <c r="B5780" s="8" t="s">
        <v>5536</v>
      </c>
      <c r="C5780" s="9">
        <v>1578</v>
      </c>
      <c r="D5780" s="0">
        <v>3</v>
      </c>
      <c r="E5780" s="10">
        <f>HYPERLINK("http://www.lingerieopt.ru/images/original/91a07e7f-2797-4152-9ed5-b6ca70a30f93.jpg","Фото")</f>
      </c>
    </row>
    <row r="5781">
      <c r="A5781" s="7">
        <f>HYPERLINK("http://www.lingerieopt.ru/item/9589-korotenkii-bebi-doll-s-oborkami/","9589")</f>
      </c>
      <c r="B5781" s="8" t="s">
        <v>5537</v>
      </c>
      <c r="C5781" s="9">
        <v>1696</v>
      </c>
      <c r="D5781" s="0">
        <v>4</v>
      </c>
      <c r="E5781" s="10">
        <f>HYPERLINK("http://www.lingerieopt.ru/images/original/1e173546-97dd-4730-8b1f-c6046b3983b4.jpg","Фото")</f>
      </c>
    </row>
    <row r="5782">
      <c r="A5782" s="7">
        <f>HYPERLINK("http://www.lingerieopt.ru/item/9589-korotenkii-bebi-doll-s-oborkami/","9589")</f>
      </c>
      <c r="B5782" s="8" t="s">
        <v>5538</v>
      </c>
      <c r="C5782" s="9">
        <v>1696</v>
      </c>
      <c r="D5782" s="0">
        <v>2</v>
      </c>
      <c r="E5782" s="10">
        <f>HYPERLINK("http://www.lingerieopt.ru/images/original/1e173546-97dd-4730-8b1f-c6046b3983b4.jpg","Фото")</f>
      </c>
    </row>
    <row r="5783">
      <c r="A5783" s="7">
        <f>HYPERLINK("http://www.lingerieopt.ru/item/9590-oblegayuschaya-sorochka-s-oborkami/","9590")</f>
      </c>
      <c r="B5783" s="8" t="s">
        <v>5539</v>
      </c>
      <c r="C5783" s="9">
        <v>1696</v>
      </c>
      <c r="D5783" s="0">
        <v>0</v>
      </c>
      <c r="E5783" s="10">
        <f>HYPERLINK("http://www.lingerieopt.ru/images/original/f88058e2-d8a7-4850-8767-d293c38dd195.jpg","Фото")</f>
      </c>
    </row>
    <row r="5784">
      <c r="A5784" s="7">
        <f>HYPERLINK("http://www.lingerieopt.ru/item/9590-oblegayuschaya-sorochka-s-oborkami/","9590")</f>
      </c>
      <c r="B5784" s="8" t="s">
        <v>5540</v>
      </c>
      <c r="C5784" s="9">
        <v>1696</v>
      </c>
      <c r="D5784" s="0">
        <v>1</v>
      </c>
      <c r="E5784" s="10">
        <f>HYPERLINK("http://www.lingerieopt.ru/images/original/f88058e2-d8a7-4850-8767-d293c38dd195.jpg","Фото")</f>
      </c>
    </row>
    <row r="5785">
      <c r="A5785" s="7">
        <f>HYPERLINK("http://www.lingerieopt.ru/item/9598-originalnaya-poluprozrachnaya-sorochka-elza-s-lifom-serdcem/","9598")</f>
      </c>
      <c r="B5785" s="8" t="s">
        <v>5541</v>
      </c>
      <c r="C5785" s="9">
        <v>1392</v>
      </c>
      <c r="D5785" s="0">
        <v>0</v>
      </c>
      <c r="E5785" s="10">
        <f>HYPERLINK("http://www.lingerieopt.ru/images/original/543ac5ca-bc06-4011-998e-3b4a7326afa5.jpg","Фото")</f>
      </c>
    </row>
    <row r="5786">
      <c r="A5786" s="7">
        <f>HYPERLINK("http://www.lingerieopt.ru/item/9598-originalnaya-poluprozrachnaya-sorochka-elza-s-lifom-serdcem/","9598")</f>
      </c>
      <c r="B5786" s="8" t="s">
        <v>5542</v>
      </c>
      <c r="C5786" s="9">
        <v>1392</v>
      </c>
      <c r="D5786" s="0">
        <v>0</v>
      </c>
      <c r="E5786" s="10">
        <f>HYPERLINK("http://www.lingerieopt.ru/images/original/543ac5ca-bc06-4011-998e-3b4a7326afa5.jpg","Фото")</f>
      </c>
    </row>
    <row r="5787">
      <c r="A5787" s="7">
        <f>HYPERLINK("http://www.lingerieopt.ru/item/9598-originalnaya-poluprozrachnaya-sorochka-elza-s-lifom-serdcem/","9598")</f>
      </c>
      <c r="B5787" s="8" t="s">
        <v>5543</v>
      </c>
      <c r="C5787" s="9">
        <v>1392</v>
      </c>
      <c r="D5787" s="0">
        <v>10</v>
      </c>
      <c r="E5787" s="10">
        <f>HYPERLINK("http://www.lingerieopt.ru/images/original/543ac5ca-bc06-4011-998e-3b4a7326afa5.jpg","Фото")</f>
      </c>
    </row>
    <row r="5788">
      <c r="A5788" s="7">
        <f>HYPERLINK("http://www.lingerieopt.ru/item/9598-originalnaya-poluprozrachnaya-sorochka-elza-s-lifom-serdcem/","9598")</f>
      </c>
      <c r="B5788" s="8" t="s">
        <v>5544</v>
      </c>
      <c r="C5788" s="9">
        <v>1392</v>
      </c>
      <c r="D5788" s="0">
        <v>3</v>
      </c>
      <c r="E5788" s="10">
        <f>HYPERLINK("http://www.lingerieopt.ru/images/original/543ac5ca-bc06-4011-998e-3b4a7326afa5.jpg","Фото")</f>
      </c>
    </row>
    <row r="5789">
      <c r="A5789" s="7">
        <f>HYPERLINK("http://www.lingerieopt.ru/item/9598-originalnaya-poluprozrachnaya-sorochka-elza-s-lifom-serdcem/","9598")</f>
      </c>
      <c r="B5789" s="8" t="s">
        <v>5545</v>
      </c>
      <c r="C5789" s="9">
        <v>1392</v>
      </c>
      <c r="D5789" s="0">
        <v>2</v>
      </c>
      <c r="E5789" s="10">
        <f>HYPERLINK("http://www.lingerieopt.ru/images/original/543ac5ca-bc06-4011-998e-3b4a7326afa5.jpg","Фото")</f>
      </c>
    </row>
    <row r="5790">
      <c r="A5790" s="7">
        <f>HYPERLINK("http://www.lingerieopt.ru/item/9598-originalnaya-poluprozrachnaya-sorochka-elza-s-lifom-serdcem/","9598")</f>
      </c>
      <c r="B5790" s="8" t="s">
        <v>5546</v>
      </c>
      <c r="C5790" s="9">
        <v>1392</v>
      </c>
      <c r="D5790" s="0">
        <v>7</v>
      </c>
      <c r="E5790" s="10">
        <f>HYPERLINK("http://www.lingerieopt.ru/images/original/543ac5ca-bc06-4011-998e-3b4a7326afa5.jpg","Фото")</f>
      </c>
    </row>
    <row r="5791">
      <c r="A5791" s="7">
        <f>HYPERLINK("http://www.lingerieopt.ru/item/9599-originalnaya-poluprozrachnaya-sorochka-elza-plus-size-s-lifom-serdechkom/","9599")</f>
      </c>
      <c r="B5791" s="8" t="s">
        <v>5547</v>
      </c>
      <c r="C5791" s="9">
        <v>1392</v>
      </c>
      <c r="D5791" s="0">
        <v>3</v>
      </c>
      <c r="E5791" s="10">
        <f>HYPERLINK("http://www.lingerieopt.ru/images/original/f7c8c725-c7f7-4991-8ed6-b83658cdc9ff.jpg","Фото")</f>
      </c>
    </row>
    <row r="5792">
      <c r="A5792" s="7">
        <f>HYPERLINK("http://www.lingerieopt.ru/item/9599-originalnaya-poluprozrachnaya-sorochka-elza-plus-size-s-lifom-serdechkom/","9599")</f>
      </c>
      <c r="B5792" s="8" t="s">
        <v>5548</v>
      </c>
      <c r="C5792" s="9">
        <v>1392</v>
      </c>
      <c r="D5792" s="0">
        <v>0</v>
      </c>
      <c r="E5792" s="10">
        <f>HYPERLINK("http://www.lingerieopt.ru/images/original/f7c8c725-c7f7-4991-8ed6-b83658cdc9ff.jpg","Фото")</f>
      </c>
    </row>
    <row r="5793">
      <c r="A5793" s="7">
        <f>HYPERLINK("http://www.lingerieopt.ru/item/9599-originalnaya-poluprozrachnaya-sorochka-elza-plus-size-s-lifom-serdechkom/","9599")</f>
      </c>
      <c r="B5793" s="8" t="s">
        <v>5549</v>
      </c>
      <c r="C5793" s="9">
        <v>1392</v>
      </c>
      <c r="D5793" s="0">
        <v>1</v>
      </c>
      <c r="E5793" s="10">
        <f>HYPERLINK("http://www.lingerieopt.ru/images/original/f7c8c725-c7f7-4991-8ed6-b83658cdc9ff.jpg","Фото")</f>
      </c>
    </row>
    <row r="5794">
      <c r="A5794" s="7">
        <f>HYPERLINK("http://www.lingerieopt.ru/item/9600-ukorochennaya-oblegayuschaya-sorochka-carla-s-otkrjtjm-lifom/","9600")</f>
      </c>
      <c r="B5794" s="8" t="s">
        <v>5550</v>
      </c>
      <c r="C5794" s="9">
        <v>1092</v>
      </c>
      <c r="D5794" s="0">
        <v>1</v>
      </c>
      <c r="E5794" s="10">
        <f>HYPERLINK("http://www.lingerieopt.ru/images/original/bf123164-60d3-461b-ada0-c0e51f09735a.jpg","Фото")</f>
      </c>
    </row>
    <row r="5795">
      <c r="A5795" s="7">
        <f>HYPERLINK("http://www.lingerieopt.ru/item/9600-ukorochennaya-oblegayuschaya-sorochka-carla-s-otkrjtjm-lifom/","9600")</f>
      </c>
      <c r="B5795" s="8" t="s">
        <v>5551</v>
      </c>
      <c r="C5795" s="9">
        <v>1092</v>
      </c>
      <c r="D5795" s="0">
        <v>0</v>
      </c>
      <c r="E5795" s="10">
        <f>HYPERLINK("http://www.lingerieopt.ru/images/original/bf123164-60d3-461b-ada0-c0e51f09735a.jpg","Фото")</f>
      </c>
    </row>
    <row r="5796">
      <c r="A5796" s="7">
        <f>HYPERLINK("http://www.lingerieopt.ru/item/9623-ocharovatelnaya-sorochka-goldie-iz-prozrachnogo-tyulya/","9623")</f>
      </c>
      <c r="B5796" s="8" t="s">
        <v>5552</v>
      </c>
      <c r="C5796" s="9">
        <v>1140</v>
      </c>
      <c r="D5796" s="0">
        <v>5</v>
      </c>
      <c r="E5796" s="10">
        <f>HYPERLINK("http://www.lingerieopt.ru/images/original/b3223729-94a1-4b42-8a57-e788d0483fde.jpg","Фото")</f>
      </c>
    </row>
    <row r="5797">
      <c r="A5797" s="7">
        <f>HYPERLINK("http://www.lingerieopt.ru/item/9623-ocharovatelnaya-sorochka-goldie-iz-prozrachnogo-tyulya/","9623")</f>
      </c>
      <c r="B5797" s="8" t="s">
        <v>5553</v>
      </c>
      <c r="C5797" s="9">
        <v>1140</v>
      </c>
      <c r="D5797" s="0">
        <v>2</v>
      </c>
      <c r="E5797" s="10">
        <f>HYPERLINK("http://www.lingerieopt.ru/images/original/b3223729-94a1-4b42-8a57-e788d0483fde.jpg","Фото")</f>
      </c>
    </row>
    <row r="5798">
      <c r="A5798" s="7">
        <f>HYPERLINK("http://www.lingerieopt.ru/item/9639-neobjchnaya-kruzhevnaya-sorochka-catia-so-shleifom-i-bantikami/","9639")</f>
      </c>
      <c r="B5798" s="8" t="s">
        <v>5554</v>
      </c>
      <c r="C5798" s="9">
        <v>1760</v>
      </c>
      <c r="D5798" s="0">
        <v>6</v>
      </c>
      <c r="E5798" s="10">
        <f>HYPERLINK("http://www.lingerieopt.ru/images/original/5764c290-f003-4886-a80b-796d0a630655.jpg","Фото")</f>
      </c>
    </row>
    <row r="5799">
      <c r="A5799" s="7">
        <f>HYPERLINK("http://www.lingerieopt.ru/item/9639-neobjchnaya-kruzhevnaya-sorochka-catia-so-shleifom-i-bantikami/","9639")</f>
      </c>
      <c r="B5799" s="8" t="s">
        <v>5555</v>
      </c>
      <c r="C5799" s="9">
        <v>1760</v>
      </c>
      <c r="D5799" s="0">
        <v>4</v>
      </c>
      <c r="E5799" s="10">
        <f>HYPERLINK("http://www.lingerieopt.ru/images/original/5764c290-f003-4886-a80b-796d0a630655.jpg","Фото")</f>
      </c>
    </row>
    <row r="5800">
      <c r="A5800" s="7">
        <f>HYPERLINK("http://www.lingerieopt.ru/item/9640-neobjchnaya-kruzhevnaya-sorochka-catia-plus-size-so-shleifom-i-bantikami/","9640")</f>
      </c>
      <c r="B5800" s="8" t="s">
        <v>5556</v>
      </c>
      <c r="C5800" s="9">
        <v>1760</v>
      </c>
      <c r="D5800" s="0">
        <v>3</v>
      </c>
      <c r="E5800" s="10">
        <f>HYPERLINK("http://www.lingerieopt.ru/images/original/bfd778ce-8288-4d37-8d3c-e2a1af49e11e.jpg","Фото")</f>
      </c>
    </row>
    <row r="5801">
      <c r="A5801" s="7">
        <f>HYPERLINK("http://www.lingerieopt.ru/item/9652-sorochka-brasiliana-s-plotnjm-lifom/","9652")</f>
      </c>
      <c r="B5801" s="8" t="s">
        <v>5557</v>
      </c>
      <c r="C5801" s="9">
        <v>1603</v>
      </c>
      <c r="D5801" s="0">
        <v>2</v>
      </c>
      <c r="E5801" s="10">
        <f>HYPERLINK("http://www.lingerieopt.ru/images/original/3b8771f8-4178-4e3e-b2ff-70a2b2113de4.jpg","Фото")</f>
      </c>
    </row>
    <row r="5802">
      <c r="A5802" s="7">
        <f>HYPERLINK("http://www.lingerieopt.ru/item/9652-sorochka-brasiliana-s-plotnjm-lifom/","9652")</f>
      </c>
      <c r="B5802" s="8" t="s">
        <v>5558</v>
      </c>
      <c r="C5802" s="9">
        <v>1603</v>
      </c>
      <c r="D5802" s="0">
        <v>6</v>
      </c>
      <c r="E5802" s="10">
        <f>HYPERLINK("http://www.lingerieopt.ru/images/original/3b8771f8-4178-4e3e-b2ff-70a2b2113de4.jpg","Фото")</f>
      </c>
    </row>
    <row r="5803">
      <c r="A5803" s="7">
        <f>HYPERLINK("http://www.lingerieopt.ru/item/9653-oblegayuschaya-sorochka-eve-s-kruzhevnjm-lifom-na-shnurovke/","9653")</f>
      </c>
      <c r="B5803" s="8" t="s">
        <v>5559</v>
      </c>
      <c r="C5803" s="9">
        <v>2093</v>
      </c>
      <c r="D5803" s="0">
        <v>1</v>
      </c>
      <c r="E5803" s="10">
        <f>HYPERLINK("http://www.lingerieopt.ru/images/original/4326ad3d-7d49-459b-bd4f-a38d6527bc37.jpg","Фото")</f>
      </c>
    </row>
    <row r="5804">
      <c r="A5804" s="7">
        <f>HYPERLINK("http://www.lingerieopt.ru/item/9653-oblegayuschaya-sorochka-eve-s-kruzhevnjm-lifom-na-shnurovke/","9653")</f>
      </c>
      <c r="B5804" s="8" t="s">
        <v>5560</v>
      </c>
      <c r="C5804" s="9">
        <v>2093</v>
      </c>
      <c r="D5804" s="0">
        <v>0</v>
      </c>
      <c r="E5804" s="10">
        <f>HYPERLINK("http://www.lingerieopt.ru/images/original/4326ad3d-7d49-459b-bd4f-a38d6527bc37.jpg","Фото")</f>
      </c>
    </row>
    <row r="5805">
      <c r="A5805" s="7">
        <f>HYPERLINK("http://www.lingerieopt.ru/item/9654-sorochka-fleur-s-poluprozrachnjmi-vstavkami-po-bokam/","9654")</f>
      </c>
      <c r="B5805" s="8" t="s">
        <v>5561</v>
      </c>
      <c r="C5805" s="9">
        <v>1392</v>
      </c>
      <c r="D5805" s="0">
        <v>3</v>
      </c>
      <c r="E5805" s="10">
        <f>HYPERLINK("http://www.lingerieopt.ru/images/original/c5b452b5-db93-4a77-b6f5-607cef2b7c9b.jpg","Фото")</f>
      </c>
    </row>
    <row r="5806">
      <c r="A5806" s="7">
        <f>HYPERLINK("http://www.lingerieopt.ru/item/9654-sorochka-fleur-s-poluprozrachnjmi-vstavkami-po-bokam/","9654")</f>
      </c>
      <c r="B5806" s="8" t="s">
        <v>5562</v>
      </c>
      <c r="C5806" s="9">
        <v>1392</v>
      </c>
      <c r="D5806" s="0">
        <v>2</v>
      </c>
      <c r="E5806" s="10">
        <f>HYPERLINK("http://www.lingerieopt.ru/images/original/c5b452b5-db93-4a77-b6f5-607cef2b7c9b.jpg","Фото")</f>
      </c>
    </row>
    <row r="5807">
      <c r="A5807" s="7">
        <f>HYPERLINK("http://www.lingerieopt.ru/item/9688-tyulevaya-sorochka-amelie-s-kruzhevnjm-lifom-i-otkrjtoi-spinkoi/","9688")</f>
      </c>
      <c r="B5807" s="8" t="s">
        <v>5563</v>
      </c>
      <c r="C5807" s="9">
        <v>1556</v>
      </c>
      <c r="D5807" s="0">
        <v>9</v>
      </c>
      <c r="E5807" s="10">
        <f>HYPERLINK("http://www.lingerieopt.ru/images/original/dcdf388c-22aa-4a96-9f34-1668d93d190a.jpg","Фото")</f>
      </c>
    </row>
    <row r="5808">
      <c r="A5808" s="7">
        <f>HYPERLINK("http://www.lingerieopt.ru/item/9688-tyulevaya-sorochka-amelie-s-kruzhevnjm-lifom-i-otkrjtoi-spinkoi/","9688")</f>
      </c>
      <c r="B5808" s="8" t="s">
        <v>5564</v>
      </c>
      <c r="C5808" s="9">
        <v>1556</v>
      </c>
      <c r="D5808" s="0">
        <v>6</v>
      </c>
      <c r="E5808" s="10">
        <f>HYPERLINK("http://www.lingerieopt.ru/images/original/dcdf388c-22aa-4a96-9f34-1668d93d190a.jpg","Фото")</f>
      </c>
    </row>
    <row r="5809">
      <c r="A5809" s="7">
        <f>HYPERLINK("http://www.lingerieopt.ru/item/9689-tyulevaya-sorochka-amelie-plus-size-s-kruzhevnjm-lifom-i-otkrjtoi-spinkoi/","9689")</f>
      </c>
      <c r="B5809" s="8" t="s">
        <v>5565</v>
      </c>
      <c r="C5809" s="9">
        <v>1556</v>
      </c>
      <c r="D5809" s="0">
        <v>2</v>
      </c>
      <c r="E5809" s="10">
        <f>HYPERLINK("http://www.lingerieopt.ru/images/original/f8f280f9-4d8b-4ca0-b7a1-862ec3f51e0b.jpg","Фото")</f>
      </c>
    </row>
    <row r="5810">
      <c r="A5810" s="7">
        <f>HYPERLINK("http://www.lingerieopt.ru/item/9700-prozrachnji-korotenkii-penyuar-diva-na-zavyazkah/","9700")</f>
      </c>
      <c r="B5810" s="8" t="s">
        <v>5566</v>
      </c>
      <c r="C5810" s="9">
        <v>1509</v>
      </c>
      <c r="D5810" s="0">
        <v>3</v>
      </c>
      <c r="E5810" s="10">
        <f>HYPERLINK("http://www.lingerieopt.ru/images/original/6bcfb6c7-4769-44f4-b189-a647e9f24241.jpg","Фото")</f>
      </c>
    </row>
    <row r="5811">
      <c r="A5811" s="7">
        <f>HYPERLINK("http://www.lingerieopt.ru/item/9700-prozrachnji-korotenkii-penyuar-diva-na-zavyazkah/","9700")</f>
      </c>
      <c r="B5811" s="8" t="s">
        <v>5567</v>
      </c>
      <c r="C5811" s="9">
        <v>1509</v>
      </c>
      <c r="D5811" s="0">
        <v>0</v>
      </c>
      <c r="E5811" s="10">
        <f>HYPERLINK("http://www.lingerieopt.ru/images/original/6bcfb6c7-4769-44f4-b189-a647e9f24241.jpg","Фото")</f>
      </c>
    </row>
    <row r="5812">
      <c r="A5812" s="7">
        <f>HYPERLINK("http://www.lingerieopt.ru/item/9711-poluprozrachnji-bebi-doll-janet-s-kruzhevnjm-lifom/","9711")</f>
      </c>
      <c r="B5812" s="8" t="s">
        <v>5568</v>
      </c>
      <c r="C5812" s="9">
        <v>1299</v>
      </c>
      <c r="D5812" s="0">
        <v>2</v>
      </c>
      <c r="E5812" s="10">
        <f>HYPERLINK("http://www.lingerieopt.ru/images/original/e65db19d-c0db-460b-9768-2f02de13ceee.jpg","Фото")</f>
      </c>
    </row>
    <row r="5813">
      <c r="A5813" s="7">
        <f>HYPERLINK("http://www.lingerieopt.ru/item/9711-poluprozrachnji-bebi-doll-janet-s-kruzhevnjm-lifom/","9711")</f>
      </c>
      <c r="B5813" s="8" t="s">
        <v>5569</v>
      </c>
      <c r="C5813" s="9">
        <v>1299</v>
      </c>
      <c r="D5813" s="0">
        <v>0</v>
      </c>
      <c r="E5813" s="10">
        <f>HYPERLINK("http://www.lingerieopt.ru/images/original/e65db19d-c0db-460b-9768-2f02de13ceee.jpg","Фото")</f>
      </c>
    </row>
    <row r="5814">
      <c r="A5814" s="7">
        <f>HYPERLINK("http://www.lingerieopt.ru/item/9721-kruzhevnaya-sorochka-yolanda-s-shirokim-vjrezom-gorlovinj/","9721")</f>
      </c>
      <c r="B5814" s="8" t="s">
        <v>5570</v>
      </c>
      <c r="C5814" s="9">
        <v>1299</v>
      </c>
      <c r="D5814" s="0">
        <v>3</v>
      </c>
      <c r="E5814" s="10">
        <f>HYPERLINK("http://www.lingerieopt.ru/images/original/bdfd3511-2b8b-44ff-8d19-1620bc01dfea.jpg","Фото")</f>
      </c>
    </row>
    <row r="5815">
      <c r="A5815" s="7">
        <f>HYPERLINK("http://www.lingerieopt.ru/item/9721-kruzhevnaya-sorochka-yolanda-s-shirokim-vjrezom-gorlovinj/","9721")</f>
      </c>
      <c r="B5815" s="8" t="s">
        <v>5571</v>
      </c>
      <c r="C5815" s="9">
        <v>1299</v>
      </c>
      <c r="D5815" s="0">
        <v>1</v>
      </c>
      <c r="E5815" s="10">
        <f>HYPERLINK("http://www.lingerieopt.ru/images/original/bdfd3511-2b8b-44ff-8d19-1620bc01dfea.jpg","Фото")</f>
      </c>
    </row>
    <row r="5816">
      <c r="A5816" s="7">
        <f>HYPERLINK("http://www.lingerieopt.ru/item/9721-kruzhevnaya-sorochka-yolanda-s-shirokim-vjrezom-gorlovinj/","9721")</f>
      </c>
      <c r="B5816" s="8" t="s">
        <v>5572</v>
      </c>
      <c r="C5816" s="9">
        <v>1299</v>
      </c>
      <c r="D5816" s="0">
        <v>1</v>
      </c>
      <c r="E5816" s="10">
        <f>HYPERLINK("http://www.lingerieopt.ru/images/original/bdfd3511-2b8b-44ff-8d19-1620bc01dfea.jpg","Фото")</f>
      </c>
    </row>
    <row r="5817">
      <c r="A5817" s="7">
        <f>HYPERLINK("http://www.lingerieopt.ru/item/9721-kruzhevnaya-sorochka-yolanda-s-shirokim-vjrezom-gorlovinj/","9721")</f>
      </c>
      <c r="B5817" s="8" t="s">
        <v>5573</v>
      </c>
      <c r="C5817" s="9">
        <v>1299</v>
      </c>
      <c r="D5817" s="0">
        <v>3</v>
      </c>
      <c r="E5817" s="10">
        <f>HYPERLINK("http://www.lingerieopt.ru/images/original/bdfd3511-2b8b-44ff-8d19-1620bc01dfea.jpg","Фото")</f>
      </c>
    </row>
    <row r="5818">
      <c r="A5818" s="7">
        <f>HYPERLINK("http://www.lingerieopt.ru/item/9722-azhurnaya-sorochka-yolanda-plus-size-s-shirokim-vjrezom-gorlovinj/","9722")</f>
      </c>
      <c r="B5818" s="8" t="s">
        <v>5574</v>
      </c>
      <c r="C5818" s="9">
        <v>1299</v>
      </c>
      <c r="D5818" s="0">
        <v>2</v>
      </c>
      <c r="E5818" s="10">
        <f>HYPERLINK("http://www.lingerieopt.ru/images/original/6be6b3a6-e079-40ee-8ba3-386df9617ca3.jpg","Фото")</f>
      </c>
    </row>
    <row r="5819">
      <c r="A5819" s="7">
        <f>HYPERLINK("http://www.lingerieopt.ru/item/9722-azhurnaya-sorochka-yolanda-plus-size-s-shirokim-vjrezom-gorlovinj/","9722")</f>
      </c>
      <c r="B5819" s="8" t="s">
        <v>5575</v>
      </c>
      <c r="C5819" s="9">
        <v>1299</v>
      </c>
      <c r="D5819" s="0">
        <v>2</v>
      </c>
      <c r="E5819" s="10">
        <f>HYPERLINK("http://www.lingerieopt.ru/images/original/6be6b3a6-e079-40ee-8ba3-386df9617ca3.jpg","Фото")</f>
      </c>
    </row>
    <row r="5820">
      <c r="A5820" s="7">
        <f>HYPERLINK("http://www.lingerieopt.ru/item/9726-zolotistji-penyuar-goldie-plus-size-s-poyasom-i-korotkimi-shirokimi-rukavchikami/","9726")</f>
      </c>
      <c r="B5820" s="8" t="s">
        <v>5576</v>
      </c>
      <c r="C5820" s="9">
        <v>1650</v>
      </c>
      <c r="D5820" s="0">
        <v>1</v>
      </c>
      <c r="E5820" s="10">
        <f>HYPERLINK("http://www.lingerieopt.ru/images/original/9a094489-8244-43a0-90ef-fbdbb19e5c49.jpg","Фото")</f>
      </c>
    </row>
    <row r="5821">
      <c r="A5821" s="7">
        <f>HYPERLINK("http://www.lingerieopt.ru/item/9794-korotenkaya-sorochka-eleni-so-shnurovkoi-po-vsei-dline/","9794")</f>
      </c>
      <c r="B5821" s="8" t="s">
        <v>5577</v>
      </c>
      <c r="C5821" s="9">
        <v>2300</v>
      </c>
      <c r="D5821" s="0">
        <v>3</v>
      </c>
      <c r="E5821" s="10">
        <f>HYPERLINK("http://www.lingerieopt.ru/images/original/bd21229b-5eae-4447-ab71-a894ec1f5a1d.jpg","Фото")</f>
      </c>
    </row>
    <row r="5822">
      <c r="A5822" s="7">
        <f>HYPERLINK("http://www.lingerieopt.ru/item/9794-korotenkaya-sorochka-eleni-so-shnurovkoi-po-vsei-dline/","9794")</f>
      </c>
      <c r="B5822" s="8" t="s">
        <v>5578</v>
      </c>
      <c r="C5822" s="9">
        <v>2300</v>
      </c>
      <c r="D5822" s="0">
        <v>4</v>
      </c>
      <c r="E5822" s="10">
        <f>HYPERLINK("http://www.lingerieopt.ru/images/original/bd21229b-5eae-4447-ab71-a894ec1f5a1d.jpg","Фото")</f>
      </c>
    </row>
    <row r="5823">
      <c r="A5823" s="7">
        <f>HYPERLINK("http://www.lingerieopt.ru/item/9818-romantichnaya-sorochka-celia-plus-size-iz-poluprozrachnogo-materiala/","9818")</f>
      </c>
      <c r="B5823" s="8" t="s">
        <v>5579</v>
      </c>
      <c r="C5823" s="9">
        <v>1302</v>
      </c>
      <c r="D5823" s="0">
        <v>2</v>
      </c>
      <c r="E5823" s="10">
        <f>HYPERLINK("http://www.lingerieopt.ru/images/original/68a385ba-fc60-4545-a107-f6232796b507.jpg","Фото")</f>
      </c>
    </row>
    <row r="5824">
      <c r="A5824" s="7">
        <f>HYPERLINK("http://www.lingerieopt.ru/item/9818-romantichnaya-sorochka-celia-plus-size-iz-poluprozrachnogo-materiala/","9818")</f>
      </c>
      <c r="B5824" s="8" t="s">
        <v>5580</v>
      </c>
      <c r="C5824" s="9">
        <v>1302</v>
      </c>
      <c r="D5824" s="0">
        <v>1</v>
      </c>
      <c r="E5824" s="10">
        <f>HYPERLINK("http://www.lingerieopt.ru/images/original/68a385ba-fc60-4545-a107-f6232796b507.jpg","Фото")</f>
      </c>
    </row>
    <row r="5825">
      <c r="A5825" s="7">
        <f>HYPERLINK("http://www.lingerieopt.ru/item/9827-korotenkaya-sorochka-blink-s-legkoi-kruzhevnoi-otorochkoi-lifa-i-bantom/","9827")</f>
      </c>
      <c r="B5825" s="8" t="s">
        <v>5581</v>
      </c>
      <c r="C5825" s="9">
        <v>1371</v>
      </c>
      <c r="D5825" s="0">
        <v>3</v>
      </c>
      <c r="E5825" s="10">
        <f>HYPERLINK("http://www.lingerieopt.ru/images/original/01305a1c-fbf7-4e34-9012-1b2897da9b3f.jpg","Фото")</f>
      </c>
    </row>
    <row r="5826">
      <c r="A5826" s="7">
        <f>HYPERLINK("http://www.lingerieopt.ru/item/9827-korotenkaya-sorochka-blink-s-legkoi-kruzhevnoi-otorochkoi-lifa-i-bantom/","9827")</f>
      </c>
      <c r="B5826" s="8" t="s">
        <v>5582</v>
      </c>
      <c r="C5826" s="9">
        <v>1371</v>
      </c>
      <c r="D5826" s="0">
        <v>3</v>
      </c>
      <c r="E5826" s="10">
        <f>HYPERLINK("http://www.lingerieopt.ru/images/original/01305a1c-fbf7-4e34-9012-1b2897da9b3f.jpg","Фото")</f>
      </c>
    </row>
    <row r="5827">
      <c r="A5827" s="7">
        <f>HYPERLINK("http://www.lingerieopt.ru/item/9828-kruzhevnaya-sorochka-daiva-plus-size-na-tonkih-bretelyah/","9828")</f>
      </c>
      <c r="B5827" s="8" t="s">
        <v>5583</v>
      </c>
      <c r="C5827" s="9">
        <v>1291</v>
      </c>
      <c r="D5827" s="0">
        <v>0</v>
      </c>
      <c r="E5827" s="10">
        <f>HYPERLINK("http://www.lingerieopt.ru/images/original/7359257f-5b50-43ca-8671-131404fd95b9.jpg","Фото")</f>
      </c>
    </row>
    <row r="5828">
      <c r="A5828" s="7">
        <f>HYPERLINK("http://www.lingerieopt.ru/item/9828-kruzhevnaya-sorochka-daiva-plus-size-na-tonkih-bretelyah/","9828")</f>
      </c>
      <c r="B5828" s="8" t="s">
        <v>5584</v>
      </c>
      <c r="C5828" s="9">
        <v>1291</v>
      </c>
      <c r="D5828" s="0">
        <v>1</v>
      </c>
      <c r="E5828" s="10">
        <f>HYPERLINK("http://www.lingerieopt.ru/images/original/7359257f-5b50-43ca-8671-131404fd95b9.jpg","Фото")</f>
      </c>
    </row>
    <row r="5829">
      <c r="A5829" s="7">
        <f>HYPERLINK("http://www.lingerieopt.ru/item/9839-sorochka-nora-plus-size-s-otkrjtoi-spinoi-i-poluprozrachnjmi-vstavkami/","9839")</f>
      </c>
      <c r="B5829" s="8" t="s">
        <v>5585</v>
      </c>
      <c r="C5829" s="9">
        <v>1255</v>
      </c>
      <c r="D5829" s="0">
        <v>3</v>
      </c>
      <c r="E5829" s="10">
        <f>HYPERLINK("http://www.lingerieopt.ru/images/original/3a7a1edc-cf2d-444b-aa39-9904af82b7b4.jpg","Фото")</f>
      </c>
    </row>
    <row r="5830">
      <c r="A5830" s="7">
        <f>HYPERLINK("http://www.lingerieopt.ru/item/9843-tyulevaya-sorochka-sienna-s-poluotkrjtoi-spinkoi/","9843")</f>
      </c>
      <c r="B5830" s="8" t="s">
        <v>5586</v>
      </c>
      <c r="C5830" s="9">
        <v>1232</v>
      </c>
      <c r="D5830" s="0">
        <v>5</v>
      </c>
      <c r="E5830" s="10">
        <f>HYPERLINK("http://www.lingerieopt.ru/images/original/4d76084b-8104-4d0b-9a0c-fe6cfa0389a2.jpg","Фото")</f>
      </c>
    </row>
    <row r="5831">
      <c r="A5831" s="7">
        <f>HYPERLINK("http://www.lingerieopt.ru/item/9843-tyulevaya-sorochka-sienna-s-poluotkrjtoi-spinkoi/","9843")</f>
      </c>
      <c r="B5831" s="8" t="s">
        <v>5587</v>
      </c>
      <c r="C5831" s="9">
        <v>1232</v>
      </c>
      <c r="D5831" s="0">
        <v>6</v>
      </c>
      <c r="E5831" s="10">
        <f>HYPERLINK("http://www.lingerieopt.ru/images/original/4d76084b-8104-4d0b-9a0c-fe6cfa0389a2.jpg","Фото")</f>
      </c>
    </row>
    <row r="5832">
      <c r="A5832" s="7">
        <f>HYPERLINK("http://www.lingerieopt.ru/item/9849-poluprozrachnaya-sorochka-vasper-plus-size-so-sborkami-i-shnurovkami/","9849")</f>
      </c>
      <c r="B5832" s="8" t="s">
        <v>5588</v>
      </c>
      <c r="C5832" s="9">
        <v>1210</v>
      </c>
      <c r="D5832" s="0">
        <v>1</v>
      </c>
      <c r="E5832" s="10">
        <f>HYPERLINK("http://www.lingerieopt.ru/images/original/ee918027-8067-4a9d-9848-49ebfce24f74.jpg","Фото")</f>
      </c>
    </row>
    <row r="5833">
      <c r="A5833" s="7">
        <f>HYPERLINK("http://www.lingerieopt.ru/item/9852-poluprozrachnaya-sorochka-ana-s-rombovidnjm-uzorom/","9852")</f>
      </c>
      <c r="B5833" s="8" t="s">
        <v>5589</v>
      </c>
      <c r="C5833" s="9">
        <v>1299</v>
      </c>
      <c r="D5833" s="0">
        <v>5</v>
      </c>
      <c r="E5833" s="10">
        <f>HYPERLINK("http://www.lingerieopt.ru/images/original/aeeae1c1-230f-47b1-8429-d0753872a639.jpg","Фото")</f>
      </c>
    </row>
    <row r="5834">
      <c r="A5834" s="7">
        <f>HYPERLINK("http://www.lingerieopt.ru/item/9852-poluprozrachnaya-sorochka-ana-s-rombovidnjm-uzorom/","9852")</f>
      </c>
      <c r="B5834" s="8" t="s">
        <v>5590</v>
      </c>
      <c r="C5834" s="9">
        <v>1299</v>
      </c>
      <c r="D5834" s="0">
        <v>6</v>
      </c>
      <c r="E5834" s="10">
        <f>HYPERLINK("http://www.lingerieopt.ru/images/original/aeeae1c1-230f-47b1-8429-d0753872a639.jpg","Фото")</f>
      </c>
    </row>
    <row r="5835">
      <c r="A5835" s="7">
        <f>HYPERLINK("http://www.lingerieopt.ru/item/9853-oblegayuschaya-sorochka-ana-plus-size-s-rombovidnjm-uzorom/","9853")</f>
      </c>
      <c r="B5835" s="8" t="s">
        <v>5591</v>
      </c>
      <c r="C5835" s="9">
        <v>1299</v>
      </c>
      <c r="D5835" s="0">
        <v>2</v>
      </c>
      <c r="E5835" s="10">
        <f>HYPERLINK("http://www.lingerieopt.ru/images/original/98edbd65-685f-4fb5-9568-afc5b576a8c6.jpg","Фото")</f>
      </c>
    </row>
    <row r="5836">
      <c r="A5836" s="7">
        <f>HYPERLINK("http://www.lingerieopt.ru/item/9856-poluprozrachnaya-sorochka-enrica-s-aloi-lentoi-pod-grudyu/","9856")</f>
      </c>
      <c r="B5836" s="8" t="s">
        <v>5592</v>
      </c>
      <c r="C5836" s="9">
        <v>1299</v>
      </c>
      <c r="D5836" s="0">
        <v>3</v>
      </c>
      <c r="E5836" s="10">
        <f>HYPERLINK("http://www.lingerieopt.ru/images/original/3afc32ee-56af-4f0d-bce8-dc5206b6011e.jpg","Фото")</f>
      </c>
    </row>
    <row r="5837">
      <c r="A5837" s="7">
        <f>HYPERLINK("http://www.lingerieopt.ru/item/9856-poluprozrachnaya-sorochka-enrica-s-aloi-lentoi-pod-grudyu/","9856")</f>
      </c>
      <c r="B5837" s="8" t="s">
        <v>5593</v>
      </c>
      <c r="C5837" s="9">
        <v>1299</v>
      </c>
      <c r="D5837" s="0">
        <v>3</v>
      </c>
      <c r="E5837" s="10">
        <f>HYPERLINK("http://www.lingerieopt.ru/images/original/3afc32ee-56af-4f0d-bce8-dc5206b6011e.jpg","Фото")</f>
      </c>
    </row>
    <row r="5838">
      <c r="A5838" s="7">
        <f>HYPERLINK("http://www.lingerieopt.ru/item/9868-poluprozrachnaya-sorochka-luiza-s-melkimi-ryushami-i-bantom/","9868")</f>
      </c>
      <c r="B5838" s="8" t="s">
        <v>5594</v>
      </c>
      <c r="C5838" s="9">
        <v>1299</v>
      </c>
      <c r="D5838" s="0">
        <v>6</v>
      </c>
      <c r="E5838" s="10">
        <f>HYPERLINK("http://www.lingerieopt.ru/images/original/107e639a-f8cf-4fc0-8a9a-eedd2ab66a55.jpg","Фото")</f>
      </c>
    </row>
    <row r="5839">
      <c r="A5839" s="7">
        <f>HYPERLINK("http://www.lingerieopt.ru/item/9868-poluprozrachnaya-sorochka-luiza-s-melkimi-ryushami-i-bantom/","9868")</f>
      </c>
      <c r="B5839" s="8" t="s">
        <v>5595</v>
      </c>
      <c r="C5839" s="9">
        <v>1299</v>
      </c>
      <c r="D5839" s="0">
        <v>4</v>
      </c>
      <c r="E5839" s="10">
        <f>HYPERLINK("http://www.lingerieopt.ru/images/original/107e639a-f8cf-4fc0-8a9a-eedd2ab66a55.jpg","Фото")</f>
      </c>
    </row>
    <row r="5840">
      <c r="A5840" s="7">
        <f>HYPERLINK("http://www.lingerieopt.ru/item/9871-oblegayuschaya-sorochka-lumia-s-bantami-zavyazkami-na-life/","9871")</f>
      </c>
      <c r="B5840" s="8" t="s">
        <v>5596</v>
      </c>
      <c r="C5840" s="9">
        <v>1299</v>
      </c>
      <c r="D5840" s="0">
        <v>1</v>
      </c>
      <c r="E5840" s="10">
        <f>HYPERLINK("http://www.lingerieopt.ru/images/original/4a640b79-bd5e-4fa6-a981-47245ed552bd.jpg","Фото")</f>
      </c>
    </row>
    <row r="5841">
      <c r="A5841" s="7">
        <f>HYPERLINK("http://www.lingerieopt.ru/item/9871-oblegayuschaya-sorochka-lumia-s-bantami-zavyazkami-na-life/","9871")</f>
      </c>
      <c r="B5841" s="8" t="s">
        <v>5597</v>
      </c>
      <c r="C5841" s="9">
        <v>1299</v>
      </c>
      <c r="D5841" s="0">
        <v>0</v>
      </c>
      <c r="E5841" s="10">
        <f>HYPERLINK("http://www.lingerieopt.ru/images/original/4a640b79-bd5e-4fa6-a981-47245ed552bd.jpg","Фото")</f>
      </c>
    </row>
    <row r="5842">
      <c r="A5842" s="7">
        <f>HYPERLINK("http://www.lingerieopt.ru/item/9874-korotenkaya-sorochka-margarida-s-otkrjtjmi-plechami-i-ryushevoi-otdelkoi/","9874")</f>
      </c>
      <c r="B5842" s="8" t="s">
        <v>5598</v>
      </c>
      <c r="C5842" s="9">
        <v>1299</v>
      </c>
      <c r="D5842" s="0">
        <v>4</v>
      </c>
      <c r="E5842" s="10">
        <f>HYPERLINK("http://www.lingerieopt.ru/images/original/c6fa1193-4cd6-483e-8940-c741d3302d73.jpg","Фото")</f>
      </c>
    </row>
    <row r="5843">
      <c r="A5843" s="7">
        <f>HYPERLINK("http://www.lingerieopt.ru/item/9874-korotenkaya-sorochka-margarida-s-otkrjtjmi-plechami-i-ryushevoi-otdelkoi/","9874")</f>
      </c>
      <c r="B5843" s="8" t="s">
        <v>5599</v>
      </c>
      <c r="C5843" s="9">
        <v>1299</v>
      </c>
      <c r="D5843" s="0">
        <v>3</v>
      </c>
      <c r="E5843" s="10">
        <f>HYPERLINK("http://www.lingerieopt.ru/images/original/c6fa1193-4cd6-483e-8940-c741d3302d73.jpg","Фото")</f>
      </c>
    </row>
    <row r="5844">
      <c r="A5844" s="7">
        <f>HYPERLINK("http://www.lingerieopt.ru/item/9875-poluprozrachnaya-sorochka-margarida-plus-size-s-otkrjtjmi-plechami-i-ryushevoi-otdelkoi/","9875")</f>
      </c>
      <c r="B5844" s="8" t="s">
        <v>5600</v>
      </c>
      <c r="C5844" s="9">
        <v>1299</v>
      </c>
      <c r="D5844" s="0">
        <v>2</v>
      </c>
      <c r="E5844" s="10">
        <f>HYPERLINK("http://www.lingerieopt.ru/images/original/1a0333cc-c356-498c-a5ac-ad4e96ed7d36.jpg","Фото")</f>
      </c>
    </row>
    <row r="5845">
      <c r="A5845" s="7">
        <f>HYPERLINK("http://www.lingerieopt.ru/item/9883-oblegayuschaya-sorochka-pauline-plus-size-s-kruzhevnoi-vstavkoi-po-centru/","9883")</f>
      </c>
      <c r="B5845" s="8" t="s">
        <v>5601</v>
      </c>
      <c r="C5845" s="9">
        <v>1299</v>
      </c>
      <c r="D5845" s="0">
        <v>3</v>
      </c>
      <c r="E5845" s="10">
        <f>HYPERLINK("http://www.lingerieopt.ru/images/original/cc48d1e3-acc7-44a8-8844-b2261131dd54.jpg","Фото")</f>
      </c>
    </row>
    <row r="5846">
      <c r="A5846" s="7">
        <f>HYPERLINK("http://www.lingerieopt.ru/item/9889-poluprozrachnaya-sorochka-aurora-plus-size-s-cvetochnjm-risunkom/","9889")</f>
      </c>
      <c r="B5846" s="8" t="s">
        <v>5602</v>
      </c>
      <c r="C5846" s="9">
        <v>1509</v>
      </c>
      <c r="D5846" s="0">
        <v>2</v>
      </c>
      <c r="E5846" s="10">
        <f>HYPERLINK("http://www.lingerieopt.ru/images/original/ff3120af-bc03-414c-a0f3-17bbd33e3524.jpg","Фото")</f>
      </c>
    </row>
    <row r="5847">
      <c r="A5847" s="7">
        <f>HYPERLINK("http://www.lingerieopt.ru/item/9903-oblegayuschaya-sorochka-lovia-plus-size-s-prozrachnjmi-detalyami/","9903")</f>
      </c>
      <c r="B5847" s="8" t="s">
        <v>5603</v>
      </c>
      <c r="C5847" s="9">
        <v>1647</v>
      </c>
      <c r="D5847" s="0">
        <v>3</v>
      </c>
      <c r="E5847" s="10">
        <f>HYPERLINK("http://www.lingerieopt.ru/images/original/fadc4538-2738-4b17-819a-5917e35af8e9.jpg","Фото")</f>
      </c>
    </row>
    <row r="5848">
      <c r="A5848" s="7">
        <f>HYPERLINK("http://www.lingerieopt.ru/item/9903-oblegayuschaya-sorochka-lovia-plus-size-s-prozrachnjmi-detalyami/","9903")</f>
      </c>
      <c r="B5848" s="8" t="s">
        <v>5604</v>
      </c>
      <c r="C5848" s="9">
        <v>1647</v>
      </c>
      <c r="D5848" s="0">
        <v>2</v>
      </c>
      <c r="E5848" s="10">
        <f>HYPERLINK("http://www.lingerieopt.ru/images/original/fadc4538-2738-4b17-819a-5917e35af8e9.jpg","Фото")</f>
      </c>
    </row>
    <row r="5849">
      <c r="A5849" s="7">
        <f>HYPERLINK("http://www.lingerieopt.ru/item/9904-kruzhevnaya-sorochka-aras-s-atlasnjm-lifom/","9904")</f>
      </c>
      <c r="B5849" s="8" t="s">
        <v>5605</v>
      </c>
      <c r="C5849" s="9">
        <v>1651</v>
      </c>
      <c r="D5849" s="0">
        <v>0</v>
      </c>
      <c r="E5849" s="10">
        <f>HYPERLINK("http://www.lingerieopt.ru/images/original/19fa44f9-d427-4a42-8e4b-0499f7cb8cf8.jpg","Фото")</f>
      </c>
    </row>
    <row r="5850">
      <c r="A5850" s="7">
        <f>HYPERLINK("http://www.lingerieopt.ru/item/9904-kruzhevnaya-sorochka-aras-s-atlasnjm-lifom/","9904")</f>
      </c>
      <c r="B5850" s="8" t="s">
        <v>5606</v>
      </c>
      <c r="C5850" s="9">
        <v>1651</v>
      </c>
      <c r="D5850" s="0">
        <v>1</v>
      </c>
      <c r="E5850" s="10">
        <f>HYPERLINK("http://www.lingerieopt.ru/images/original/19fa44f9-d427-4a42-8e4b-0499f7cb8cf8.jpg","Фото")</f>
      </c>
    </row>
    <row r="5851">
      <c r="A5851" s="7">
        <f>HYPERLINK("http://www.lingerieopt.ru/item/9908-sorochka-effi-plus-size-v-melkii-goroh/","9908")</f>
      </c>
      <c r="B5851" s="8" t="s">
        <v>5607</v>
      </c>
      <c r="C5851" s="9">
        <v>1647</v>
      </c>
      <c r="D5851" s="0">
        <v>2</v>
      </c>
      <c r="E5851" s="10">
        <f>HYPERLINK("http://www.lingerieopt.ru/images/original/acf6e1a9-0068-48ff-a169-849447b78b76.jpg","Фото")</f>
      </c>
    </row>
    <row r="5852">
      <c r="A5852" s="7">
        <f>HYPERLINK("http://www.lingerieopt.ru/item/9908-sorochka-effi-plus-size-v-melkii-goroh/","9908")</f>
      </c>
      <c r="B5852" s="8" t="s">
        <v>5608</v>
      </c>
      <c r="C5852" s="9">
        <v>1647</v>
      </c>
      <c r="D5852" s="0">
        <v>2</v>
      </c>
      <c r="E5852" s="10">
        <f>HYPERLINK("http://www.lingerieopt.ru/images/original/acf6e1a9-0068-48ff-a169-849447b78b76.jpg","Фото")</f>
      </c>
    </row>
    <row r="5853">
      <c r="A5853" s="7">
        <f>HYPERLINK("http://www.lingerieopt.ru/item/9916-sorochka-v-tonkuyu-polosku-larisa-s-kruzhevnjm-lifom/","9916")</f>
      </c>
      <c r="B5853" s="8" t="s">
        <v>5609</v>
      </c>
      <c r="C5853" s="9">
        <v>2162</v>
      </c>
      <c r="D5853" s="0">
        <v>2</v>
      </c>
      <c r="E5853" s="10">
        <f>HYPERLINK("http://www.lingerieopt.ru/images/original/891e257a-a7d5-432e-adbd-d6fb34bf278b.jpg","Фото")</f>
      </c>
    </row>
    <row r="5854">
      <c r="A5854" s="7">
        <f>HYPERLINK("http://www.lingerieopt.ru/item/9916-sorochka-v-tonkuyu-polosku-larisa-s-kruzhevnjm-lifom/","9916")</f>
      </c>
      <c r="B5854" s="8" t="s">
        <v>5610</v>
      </c>
      <c r="C5854" s="9">
        <v>2162</v>
      </c>
      <c r="D5854" s="0">
        <v>2</v>
      </c>
      <c r="E5854" s="10">
        <f>HYPERLINK("http://www.lingerieopt.ru/images/original/891e257a-a7d5-432e-adbd-d6fb34bf278b.jpg","Фото")</f>
      </c>
    </row>
    <row r="5855">
      <c r="A5855" s="7">
        <f>HYPERLINK("http://www.lingerieopt.ru/item/9916-sorochka-v-tonkuyu-polosku-larisa-s-kruzhevnjm-lifom/","9916")</f>
      </c>
      <c r="B5855" s="8" t="s">
        <v>5611</v>
      </c>
      <c r="C5855" s="9">
        <v>2162</v>
      </c>
      <c r="D5855" s="0">
        <v>0</v>
      </c>
      <c r="E5855" s="10">
        <f>HYPERLINK("http://www.lingerieopt.ru/images/original/891e257a-a7d5-432e-adbd-d6fb34bf278b.jpg","Фото")</f>
      </c>
    </row>
    <row r="5856">
      <c r="A5856" s="7">
        <f>HYPERLINK("http://www.lingerieopt.ru/item/9920-sorochka-larisa-v-tonkuyu-polosku-s-kruzhevnjm-lifom/","9920")</f>
      </c>
      <c r="B5856" s="8" t="s">
        <v>5612</v>
      </c>
      <c r="C5856" s="9">
        <v>1416</v>
      </c>
      <c r="D5856" s="0">
        <v>7</v>
      </c>
      <c r="E5856" s="10">
        <f>HYPERLINK("http://www.lingerieopt.ru/images/original/a1380f43-8554-4e3a-a8a1-5fd501b8dd15.jpg","Фото")</f>
      </c>
    </row>
    <row r="5857">
      <c r="A5857" s="7">
        <f>HYPERLINK("http://www.lingerieopt.ru/item/9920-sorochka-larisa-v-tonkuyu-polosku-s-kruzhevnjm-lifom/","9920")</f>
      </c>
      <c r="B5857" s="8" t="s">
        <v>5613</v>
      </c>
      <c r="C5857" s="9">
        <v>1416</v>
      </c>
      <c r="D5857" s="0">
        <v>8</v>
      </c>
      <c r="E5857" s="10">
        <f>HYPERLINK("http://www.lingerieopt.ru/images/original/a1380f43-8554-4e3a-a8a1-5fd501b8dd15.jpg","Фото")</f>
      </c>
    </row>
    <row r="5858">
      <c r="A5858" s="7">
        <f>HYPERLINK("http://www.lingerieopt.ru/item/9923-penyuar-federica-s-cvetochnjm-kruzhevom/","9923")</f>
      </c>
      <c r="B5858" s="8" t="s">
        <v>5614</v>
      </c>
      <c r="C5858" s="9">
        <v>2772</v>
      </c>
      <c r="D5858" s="0">
        <v>6</v>
      </c>
      <c r="E5858" s="10">
        <f>HYPERLINK("http://www.lingerieopt.ru/images/original/2da68ffd-0a1a-40ed-b62e-f13c48b99d03.jpg","Фото")</f>
      </c>
    </row>
    <row r="5859">
      <c r="A5859" s="7">
        <f>HYPERLINK("http://www.lingerieopt.ru/item/9923-penyuar-federica-s-cvetochnjm-kruzhevom/","9923")</f>
      </c>
      <c r="B5859" s="8" t="s">
        <v>5615</v>
      </c>
      <c r="C5859" s="9">
        <v>2772</v>
      </c>
      <c r="D5859" s="0">
        <v>3</v>
      </c>
      <c r="E5859" s="10">
        <f>HYPERLINK("http://www.lingerieopt.ru/images/original/2da68ffd-0a1a-40ed-b62e-f13c48b99d03.jpg","Фото")</f>
      </c>
    </row>
    <row r="5860">
      <c r="A5860" s="7">
        <f>HYPERLINK("http://www.lingerieopt.ru/item/9923-penyuar-federica-s-cvetochnjm-kruzhevom/","9923")</f>
      </c>
      <c r="B5860" s="8" t="s">
        <v>5616</v>
      </c>
      <c r="C5860" s="9">
        <v>2772</v>
      </c>
      <c r="D5860" s="0">
        <v>6</v>
      </c>
      <c r="E5860" s="10">
        <f>HYPERLINK("http://www.lingerieopt.ru/images/original/2da68ffd-0a1a-40ed-b62e-f13c48b99d03.jpg","Фото")</f>
      </c>
    </row>
    <row r="5861">
      <c r="A5861" s="7">
        <f>HYPERLINK("http://www.lingerieopt.ru/item/9923-penyuar-federica-s-cvetochnjm-kruzhevom/","9923")</f>
      </c>
      <c r="B5861" s="8" t="s">
        <v>5617</v>
      </c>
      <c r="C5861" s="9">
        <v>2772</v>
      </c>
      <c r="D5861" s="0">
        <v>4</v>
      </c>
      <c r="E5861" s="10">
        <f>HYPERLINK("http://www.lingerieopt.ru/images/original/2da68ffd-0a1a-40ed-b62e-f13c48b99d03.jpg","Фото")</f>
      </c>
    </row>
    <row r="5862">
      <c r="A5862" s="7">
        <f>HYPERLINK("http://www.lingerieopt.ru/item/9924-soblaznitelnaya-sorochka-lena-s-otkrjtoi-spinkoi-i-sborkoi-na-popke/","9924")</f>
      </c>
      <c r="B5862" s="8" t="s">
        <v>5618</v>
      </c>
      <c r="C5862" s="9">
        <v>2036</v>
      </c>
      <c r="D5862" s="0">
        <v>4</v>
      </c>
      <c r="E5862" s="10">
        <f>HYPERLINK("http://www.lingerieopt.ru/images/original/5e4f0326-c54e-4f94-9494-f9582bf9df28.jpg","Фото")</f>
      </c>
    </row>
    <row r="5863">
      <c r="A5863" s="7">
        <f>HYPERLINK("http://www.lingerieopt.ru/item/9924-soblaznitelnaya-sorochka-lena-s-otkrjtoi-spinkoi-i-sborkoi-na-popke/","9924")</f>
      </c>
      <c r="B5863" s="8" t="s">
        <v>5619</v>
      </c>
      <c r="C5863" s="9">
        <v>2036</v>
      </c>
      <c r="D5863" s="0">
        <v>5</v>
      </c>
      <c r="E5863" s="10">
        <f>HYPERLINK("http://www.lingerieopt.ru/images/original/5e4f0326-c54e-4f94-9494-f9582bf9df28.jpg","Фото")</f>
      </c>
    </row>
    <row r="5864">
      <c r="A5864" s="7">
        <f>HYPERLINK("http://www.lingerieopt.ru/item/9926-oblegayuschaya-sorochka-zoja-so-shnurovkoi-na-spinke/","9926")</f>
      </c>
      <c r="B5864" s="8" t="s">
        <v>5620</v>
      </c>
      <c r="C5864" s="9">
        <v>2220</v>
      </c>
      <c r="D5864" s="0">
        <v>7</v>
      </c>
      <c r="E5864" s="10">
        <f>HYPERLINK("http://www.lingerieopt.ru/images/original/dd48413a-96c7-4ee2-a860-8d3acae10a16.jpg","Фото")</f>
      </c>
    </row>
    <row r="5865">
      <c r="A5865" s="7">
        <f>HYPERLINK("http://www.lingerieopt.ru/item/9926-oblegayuschaya-sorochka-zoja-so-shnurovkoi-na-spinke/","9926")</f>
      </c>
      <c r="B5865" s="8" t="s">
        <v>5621</v>
      </c>
      <c r="C5865" s="9">
        <v>2220</v>
      </c>
      <c r="D5865" s="0">
        <v>6</v>
      </c>
      <c r="E5865" s="10">
        <f>HYPERLINK("http://www.lingerieopt.ru/images/original/dd48413a-96c7-4ee2-a860-8d3acae10a16.jpg","Фото")</f>
      </c>
    </row>
    <row r="5866">
      <c r="A5866" s="7">
        <f>HYPERLINK("http://www.lingerieopt.ru/item/9926-oblegayuschaya-sorochka-zoja-so-shnurovkoi-na-spinke/","9926")</f>
      </c>
      <c r="B5866" s="8" t="s">
        <v>5622</v>
      </c>
      <c r="C5866" s="9">
        <v>2220</v>
      </c>
      <c r="D5866" s="0">
        <v>3</v>
      </c>
      <c r="E5866" s="10">
        <f>HYPERLINK("http://www.lingerieopt.ru/images/original/dd48413a-96c7-4ee2-a860-8d3acae10a16.jpg","Фото")</f>
      </c>
    </row>
    <row r="5867">
      <c r="A5867" s="7">
        <f>HYPERLINK("http://www.lingerieopt.ru/item/9931-oblegayuschaya-sorochka-zoja-so-shnurovkoi-na-spinke/","9931")</f>
      </c>
      <c r="B5867" s="8" t="s">
        <v>5623</v>
      </c>
      <c r="C5867" s="9">
        <v>2012</v>
      </c>
      <c r="D5867" s="0">
        <v>3</v>
      </c>
      <c r="E5867" s="10">
        <f>HYPERLINK("http://www.lingerieopt.ru/images/original/494ab8a6-f4b3-4ed2-8e46-92f6cbc8b1d1.jpg","Фото")</f>
      </c>
    </row>
    <row r="5868">
      <c r="A5868" s="7">
        <f>HYPERLINK("http://www.lingerieopt.ru/item/9931-oblegayuschaya-sorochka-zoja-so-shnurovkoi-na-spinke/","9931")</f>
      </c>
      <c r="B5868" s="8" t="s">
        <v>5624</v>
      </c>
      <c r="C5868" s="9">
        <v>2012</v>
      </c>
      <c r="D5868" s="0">
        <v>2</v>
      </c>
      <c r="E5868" s="10">
        <f>HYPERLINK("http://www.lingerieopt.ru/images/original/494ab8a6-f4b3-4ed2-8e46-92f6cbc8b1d1.jpg","Фото")</f>
      </c>
    </row>
    <row r="5869">
      <c r="A5869" s="7">
        <f>HYPERLINK("http://www.lingerieopt.ru/item/10028-korotenkaya-sorochka-denver-s-vjrezami-na-life/","10028")</f>
      </c>
      <c r="B5869" s="8" t="s">
        <v>5625</v>
      </c>
      <c r="C5869" s="9">
        <v>1509</v>
      </c>
      <c r="D5869" s="0">
        <v>9</v>
      </c>
      <c r="E5869" s="10">
        <f>HYPERLINK("http://www.lingerieopt.ru/images/original/5de315d7-faa3-4388-94b6-857a96d1a1b1.jpg","Фото")</f>
      </c>
    </row>
    <row r="5870">
      <c r="A5870" s="7">
        <f>HYPERLINK("http://www.lingerieopt.ru/item/10028-korotenkaya-sorochka-denver-s-vjrezami-na-life/","10028")</f>
      </c>
      <c r="B5870" s="8" t="s">
        <v>5626</v>
      </c>
      <c r="C5870" s="9">
        <v>1509</v>
      </c>
      <c r="D5870" s="0">
        <v>7</v>
      </c>
      <c r="E5870" s="10">
        <f>HYPERLINK("http://www.lingerieopt.ru/images/original/5de315d7-faa3-4388-94b6-857a96d1a1b1.jpg","Фото")</f>
      </c>
    </row>
    <row r="5871">
      <c r="A5871" s="7">
        <f>HYPERLINK("http://www.lingerieopt.ru/item/10052-oblegayuschaya-sorochka-avril-s-kruzhevom-i-poyaskom/","10052")</f>
      </c>
      <c r="B5871" s="8" t="s">
        <v>5627</v>
      </c>
      <c r="C5871" s="9">
        <v>1708</v>
      </c>
      <c r="D5871" s="0">
        <v>3</v>
      </c>
      <c r="E5871" s="10">
        <f>HYPERLINK("http://www.lingerieopt.ru/images/original/e72a3ba8-5b33-43d8-b509-d716b4ce4f84.jpg","Фото")</f>
      </c>
    </row>
    <row r="5872">
      <c r="A5872" s="7">
        <f>HYPERLINK("http://www.lingerieopt.ru/item/10052-oblegayuschaya-sorochka-avril-s-kruzhevom-i-poyaskom/","10052")</f>
      </c>
      <c r="B5872" s="8" t="s">
        <v>5628</v>
      </c>
      <c r="C5872" s="9">
        <v>1708</v>
      </c>
      <c r="D5872" s="0">
        <v>6</v>
      </c>
      <c r="E5872" s="10">
        <f>HYPERLINK("http://www.lingerieopt.ru/images/original/e72a3ba8-5b33-43d8-b509-d716b4ce4f84.jpg","Фото")</f>
      </c>
    </row>
    <row r="5873">
      <c r="A5873" s="7">
        <f>HYPERLINK("http://www.lingerieopt.ru/item/10060-poluprozrachnaya-sorochka-beryl-iz-tyulya/","10060")</f>
      </c>
      <c r="B5873" s="8" t="s">
        <v>5629</v>
      </c>
      <c r="C5873" s="9">
        <v>1299</v>
      </c>
      <c r="D5873" s="0">
        <v>5</v>
      </c>
      <c r="E5873" s="10">
        <f>HYPERLINK("http://www.lingerieopt.ru/images/original/dec300a7-b70a-4b43-a673-de0dbea60a67.jpg","Фото")</f>
      </c>
    </row>
    <row r="5874">
      <c r="A5874" s="7">
        <f>HYPERLINK("http://www.lingerieopt.ru/item/10060-poluprozrachnaya-sorochka-beryl-iz-tyulya/","10060")</f>
      </c>
      <c r="B5874" s="8" t="s">
        <v>5630</v>
      </c>
      <c r="C5874" s="9">
        <v>1299</v>
      </c>
      <c r="D5874" s="0">
        <v>2</v>
      </c>
      <c r="E5874" s="10">
        <f>HYPERLINK("http://www.lingerieopt.ru/images/original/dec300a7-b70a-4b43-a673-de0dbea60a67.jpg","Фото")</f>
      </c>
    </row>
    <row r="5875">
      <c r="A5875" s="7">
        <f>HYPERLINK("http://www.lingerieopt.ru/item/10062-oblegayuschaya-sorochka-chelsa-s-prozrachnjm-lifom-iz-tyulya/","10062")</f>
      </c>
      <c r="B5875" s="8" t="s">
        <v>5631</v>
      </c>
      <c r="C5875" s="9">
        <v>984</v>
      </c>
      <c r="D5875" s="0">
        <v>3</v>
      </c>
      <c r="E5875" s="10">
        <f>HYPERLINK("http://www.lingerieopt.ru/images/original/5fb0bf4d-bdfc-45a3-a507-c02e96730ba9.jpg","Фото")</f>
      </c>
    </row>
    <row r="5876">
      <c r="A5876" s="7">
        <f>HYPERLINK("http://www.lingerieopt.ru/item/10062-oblegayuschaya-sorochka-chelsa-s-prozrachnjm-lifom-iz-tyulya/","10062")</f>
      </c>
      <c r="B5876" s="8" t="s">
        <v>5632</v>
      </c>
      <c r="C5876" s="9">
        <v>984</v>
      </c>
      <c r="D5876" s="0">
        <v>5</v>
      </c>
      <c r="E5876" s="10">
        <f>HYPERLINK("http://www.lingerieopt.ru/images/original/5fb0bf4d-bdfc-45a3-a507-c02e96730ba9.jpg","Фото")</f>
      </c>
    </row>
    <row r="5877">
      <c r="A5877" s="7">
        <f>HYPERLINK("http://www.lingerieopt.ru/item/10073-poluprozrachnaya-tyulevaya-sorochka-obsydian-v-komplekte-s-otkrjtjmi-trusikami/","10073")</f>
      </c>
      <c r="B5877" s="8" t="s">
        <v>5633</v>
      </c>
      <c r="C5877" s="9">
        <v>1299</v>
      </c>
      <c r="D5877" s="0">
        <v>4</v>
      </c>
      <c r="E5877" s="10">
        <f>HYPERLINK("http://www.lingerieopt.ru/images/original/d1d9ddb0-2f71-4eec-95a5-1488d464e876.jpg","Фото")</f>
      </c>
    </row>
    <row r="5878">
      <c r="A5878" s="7">
        <f>HYPERLINK("http://www.lingerieopt.ru/item/10073-poluprozrachnaya-tyulevaya-sorochka-obsydian-v-komplekte-s-otkrjtjmi-trusikami/","10073")</f>
      </c>
      <c r="B5878" s="8" t="s">
        <v>5634</v>
      </c>
      <c r="C5878" s="9">
        <v>1299</v>
      </c>
      <c r="D5878" s="0">
        <v>5</v>
      </c>
      <c r="E5878" s="10">
        <f>HYPERLINK("http://www.lingerieopt.ru/images/original/d1d9ddb0-2f71-4eec-95a5-1488d464e876.jpg","Фото")</f>
      </c>
    </row>
    <row r="5879">
      <c r="A5879" s="7">
        <f>HYPERLINK("http://www.lingerieopt.ru/item/10088-oblegayuschaya-sorochka-maddie-s-cvetochnjm-kruzhevom/","10088")</f>
      </c>
      <c r="B5879" s="8" t="s">
        <v>5635</v>
      </c>
      <c r="C5879" s="9">
        <v>1299</v>
      </c>
      <c r="D5879" s="0">
        <v>5</v>
      </c>
      <c r="E5879" s="10">
        <f>HYPERLINK("http://www.lingerieopt.ru/images/original/2964a111-8e0b-4551-881b-00a2d2c1b0a2.jpg","Фото")</f>
      </c>
    </row>
    <row r="5880">
      <c r="A5880" s="7">
        <f>HYPERLINK("http://www.lingerieopt.ru/item/10088-oblegayuschaya-sorochka-maddie-s-cvetochnjm-kruzhevom/","10088")</f>
      </c>
      <c r="B5880" s="8" t="s">
        <v>5636</v>
      </c>
      <c r="C5880" s="9">
        <v>1299</v>
      </c>
      <c r="D5880" s="0">
        <v>8</v>
      </c>
      <c r="E5880" s="10">
        <f>HYPERLINK("http://www.lingerieopt.ru/images/original/2964a111-8e0b-4551-881b-00a2d2c1b0a2.jpg","Фото")</f>
      </c>
    </row>
    <row r="5881">
      <c r="A5881" s="7">
        <f>HYPERLINK("http://www.lingerieopt.ru/item/10092-oblegayuschaya-sorochka-nanna-s-kruzhevnoi-otorochkoi/","10092")</f>
      </c>
      <c r="B5881" s="8" t="s">
        <v>5637</v>
      </c>
      <c r="C5881" s="9">
        <v>1299</v>
      </c>
      <c r="D5881" s="0">
        <v>2</v>
      </c>
      <c r="E5881" s="10">
        <f>HYPERLINK("http://www.lingerieopt.ru/images/original/9200b8a7-7fe3-416d-82ea-3b66b053efe1.jpg","Фото")</f>
      </c>
    </row>
    <row r="5882">
      <c r="A5882" s="7">
        <f>HYPERLINK("http://www.lingerieopt.ru/item/10092-oblegayuschaya-sorochka-nanna-s-kruzhevnoi-otorochkoi/","10092")</f>
      </c>
      <c r="B5882" s="8" t="s">
        <v>5638</v>
      </c>
      <c r="C5882" s="9">
        <v>1299</v>
      </c>
      <c r="D5882" s="0">
        <v>2</v>
      </c>
      <c r="E5882" s="10">
        <f>HYPERLINK("http://www.lingerieopt.ru/images/original/9200b8a7-7fe3-416d-82ea-3b66b053efe1.jpg","Фото")</f>
      </c>
    </row>
    <row r="5883">
      <c r="A5883" s="7">
        <f>HYPERLINK("http://www.lingerieopt.ru/item/10093-oblegayuschaya-sorochka-nanna-plus-size-s-kruzhevnoi-otdelkoi/","10093")</f>
      </c>
      <c r="B5883" s="8" t="s">
        <v>5639</v>
      </c>
      <c r="C5883" s="9">
        <v>1299</v>
      </c>
      <c r="D5883" s="0">
        <v>2</v>
      </c>
      <c r="E5883" s="10">
        <f>HYPERLINK("http://www.lingerieopt.ru/images/original/5cd1a04b-e3ef-449d-b0c0-d82a82e28988.jpg","Фото")</f>
      </c>
    </row>
    <row r="5884">
      <c r="A5884" s="7">
        <f>HYPERLINK("http://www.lingerieopt.ru/item/10105-soblaznitelnji-penyuar-fabienne-s-kruzhevom/","10105")</f>
      </c>
      <c r="B5884" s="8" t="s">
        <v>5640</v>
      </c>
      <c r="C5884" s="9">
        <v>2518</v>
      </c>
      <c r="D5884" s="0">
        <v>5</v>
      </c>
      <c r="E5884" s="10">
        <f>HYPERLINK("http://www.lingerieopt.ru/images/original/40e0d0dc-9aca-4cbb-a54f-c0483e62e1b3.jpg","Фото")</f>
      </c>
    </row>
    <row r="5885">
      <c r="A5885" s="7">
        <f>HYPERLINK("http://www.lingerieopt.ru/item/10105-soblaznitelnji-penyuar-fabienne-s-kruzhevom/","10105")</f>
      </c>
      <c r="B5885" s="8" t="s">
        <v>5641</v>
      </c>
      <c r="C5885" s="9">
        <v>2518</v>
      </c>
      <c r="D5885" s="0">
        <v>5</v>
      </c>
      <c r="E5885" s="10">
        <f>HYPERLINK("http://www.lingerieopt.ru/images/original/40e0d0dc-9aca-4cbb-a54f-c0483e62e1b3.jpg","Фото")</f>
      </c>
    </row>
    <row r="5886">
      <c r="A5886" s="7">
        <f>HYPERLINK("http://www.lingerieopt.ru/item/10105-soblaznitelnji-penyuar-fabienne-s-kruzhevom/","10105")</f>
      </c>
      <c r="B5886" s="8" t="s">
        <v>5642</v>
      </c>
      <c r="C5886" s="9">
        <v>2518</v>
      </c>
      <c r="D5886" s="0">
        <v>4</v>
      </c>
      <c r="E5886" s="10">
        <f>HYPERLINK("http://www.lingerieopt.ru/images/original/40e0d0dc-9aca-4cbb-a54f-c0483e62e1b3.jpg","Фото")</f>
      </c>
    </row>
    <row r="5887">
      <c r="A5887" s="7">
        <f>HYPERLINK("http://www.lingerieopt.ru/item/10105-soblaznitelnji-penyuar-fabienne-s-kruzhevom/","10105")</f>
      </c>
      <c r="B5887" s="8" t="s">
        <v>5643</v>
      </c>
      <c r="C5887" s="9">
        <v>2518</v>
      </c>
      <c r="D5887" s="0">
        <v>5</v>
      </c>
      <c r="E5887" s="10">
        <f>HYPERLINK("http://www.lingerieopt.ru/images/original/40e0d0dc-9aca-4cbb-a54f-c0483e62e1b3.jpg","Фото")</f>
      </c>
    </row>
    <row r="5888">
      <c r="A5888" s="7">
        <f>HYPERLINK("http://www.lingerieopt.ru/item/10107-soblaznitelnji-penyuar-magnolia-s-cvetochnjm-kruzhevom/","10107")</f>
      </c>
      <c r="B5888" s="8" t="s">
        <v>5644</v>
      </c>
      <c r="C5888" s="9">
        <v>2438</v>
      </c>
      <c r="D5888" s="0">
        <v>0</v>
      </c>
      <c r="E5888" s="10">
        <f>HYPERLINK("http://www.lingerieopt.ru/images/original/792c4ef5-68cc-4e3e-b72b-c73c399d8e2b.jpg","Фото")</f>
      </c>
    </row>
    <row r="5889">
      <c r="A5889" s="7">
        <f>HYPERLINK("http://www.lingerieopt.ru/item/10107-soblaznitelnji-penyuar-magnolia-s-cvetochnjm-kruzhevom/","10107")</f>
      </c>
      <c r="B5889" s="8" t="s">
        <v>5645</v>
      </c>
      <c r="C5889" s="9">
        <v>2438</v>
      </c>
      <c r="D5889" s="0">
        <v>2</v>
      </c>
      <c r="E5889" s="10">
        <f>HYPERLINK("http://www.lingerieopt.ru/images/original/792c4ef5-68cc-4e3e-b72b-c73c399d8e2b.jpg","Фото")</f>
      </c>
    </row>
    <row r="5890">
      <c r="A5890" s="7">
        <f>HYPERLINK("http://www.lingerieopt.ru/item/10139-sorochka-alexandra-s-kruzhevnoi-vstavkoi-po-centru/","10139")</f>
      </c>
      <c r="B5890" s="8" t="s">
        <v>5646</v>
      </c>
      <c r="C5890" s="9">
        <v>1427</v>
      </c>
      <c r="D5890" s="0">
        <v>1</v>
      </c>
      <c r="E5890" s="10">
        <f>HYPERLINK("http://www.lingerieopt.ru/images/original/3b541e13-dc74-475b-843f-335e9635d9d5.jpg","Фото")</f>
      </c>
    </row>
    <row r="5891">
      <c r="A5891" s="7">
        <f>HYPERLINK("http://www.lingerieopt.ru/item/10139-sorochka-alexandra-s-kruzhevnoi-vstavkoi-po-centru/","10139")</f>
      </c>
      <c r="B5891" s="8" t="s">
        <v>5647</v>
      </c>
      <c r="C5891" s="9">
        <v>1427</v>
      </c>
      <c r="D5891" s="0">
        <v>0</v>
      </c>
      <c r="E5891" s="10">
        <f>HYPERLINK("http://www.lingerieopt.ru/images/original/3b541e13-dc74-475b-843f-335e9635d9d5.jpg","Фото")</f>
      </c>
    </row>
    <row r="5892">
      <c r="A5892" s="7">
        <f>HYPERLINK("http://www.lingerieopt.ru/item/10139-sorochka-alexandra-s-kruzhevnoi-vstavkoi-po-centru/","10139")</f>
      </c>
      <c r="B5892" s="8" t="s">
        <v>5648</v>
      </c>
      <c r="C5892" s="9">
        <v>1427</v>
      </c>
      <c r="D5892" s="0">
        <v>2</v>
      </c>
      <c r="E5892" s="10">
        <f>HYPERLINK("http://www.lingerieopt.ru/images/original/3b541e13-dc74-475b-843f-335e9635d9d5.jpg","Фото")</f>
      </c>
    </row>
    <row r="5893">
      <c r="A5893" s="7">
        <f>HYPERLINK("http://www.lingerieopt.ru/item/10139-sorochka-alexandra-s-kruzhevnoi-vstavkoi-po-centru/","10139")</f>
      </c>
      <c r="B5893" s="8" t="s">
        <v>5649</v>
      </c>
      <c r="C5893" s="9">
        <v>1427</v>
      </c>
      <c r="D5893" s="0">
        <v>0</v>
      </c>
      <c r="E5893" s="10">
        <f>HYPERLINK("http://www.lingerieopt.ru/images/original/3b541e13-dc74-475b-843f-335e9635d9d5.jpg","Фото")</f>
      </c>
    </row>
    <row r="5894">
      <c r="A5894" s="7">
        <f>HYPERLINK("http://www.lingerieopt.ru/item/10140-penyuar-alexandra-s-kruzhevnjmi-vstavkami-na-rukavah/","10140")</f>
      </c>
      <c r="B5894" s="8" t="s">
        <v>5650</v>
      </c>
      <c r="C5894" s="9">
        <v>1580</v>
      </c>
      <c r="D5894" s="0">
        <v>2</v>
      </c>
      <c r="E5894" s="10">
        <f>HYPERLINK("http://www.lingerieopt.ru/images/original/a828211b-59b0-49c9-a002-3b13eba7a331.jpg","Фото")</f>
      </c>
    </row>
    <row r="5895">
      <c r="A5895" s="7">
        <f>HYPERLINK("http://www.lingerieopt.ru/item/10140-penyuar-alexandra-s-kruzhevnjmi-vstavkami-na-rukavah/","10140")</f>
      </c>
      <c r="B5895" s="8" t="s">
        <v>5651</v>
      </c>
      <c r="C5895" s="9">
        <v>1580</v>
      </c>
      <c r="D5895" s="0">
        <v>0</v>
      </c>
      <c r="E5895" s="10">
        <f>HYPERLINK("http://www.lingerieopt.ru/images/original/a828211b-59b0-49c9-a002-3b13eba7a331.jpg","Фото")</f>
      </c>
    </row>
    <row r="5896">
      <c r="A5896" s="7">
        <f>HYPERLINK("http://www.lingerieopt.ru/item/10140-penyuar-alexandra-s-kruzhevnjmi-vstavkami-na-rukavah/","10140")</f>
      </c>
      <c r="B5896" s="8" t="s">
        <v>5652</v>
      </c>
      <c r="C5896" s="9">
        <v>1580</v>
      </c>
      <c r="D5896" s="0">
        <v>0</v>
      </c>
      <c r="E5896" s="10">
        <f>HYPERLINK("http://www.lingerieopt.ru/images/original/a828211b-59b0-49c9-a002-3b13eba7a331.jpg","Фото")</f>
      </c>
    </row>
    <row r="5897">
      <c r="A5897" s="7">
        <f>HYPERLINK("http://www.lingerieopt.ru/item/10140-penyuar-alexandra-s-kruzhevnjmi-vstavkami-na-rukavah/","10140")</f>
      </c>
      <c r="B5897" s="8" t="s">
        <v>5653</v>
      </c>
      <c r="C5897" s="9">
        <v>1580</v>
      </c>
      <c r="D5897" s="0">
        <v>3</v>
      </c>
      <c r="E5897" s="10">
        <f>HYPERLINK("http://www.lingerieopt.ru/images/original/a828211b-59b0-49c9-a002-3b13eba7a331.jpg","Фото")</f>
      </c>
    </row>
    <row r="5898">
      <c r="A5898" s="7">
        <f>HYPERLINK("http://www.lingerieopt.ru/item/10141-penyuar-ambrosia-s-kruzhevnoi-otorochkoi-i-pikantnjmi-vjrezami/","10141")</f>
      </c>
      <c r="B5898" s="8" t="s">
        <v>5654</v>
      </c>
      <c r="C5898" s="9">
        <v>2772</v>
      </c>
      <c r="D5898" s="0">
        <v>5</v>
      </c>
      <c r="E5898" s="10">
        <f>HYPERLINK("http://www.lingerieopt.ru/images/original/8071212b-71a8-4788-a2a7-3b1e55663fc8.jpg","Фото")</f>
      </c>
    </row>
    <row r="5899">
      <c r="A5899" s="7">
        <f>HYPERLINK("http://www.lingerieopt.ru/item/10141-penyuar-ambrosia-s-kruzhevnoi-otorochkoi-i-pikantnjmi-vjrezami/","10141")</f>
      </c>
      <c r="B5899" s="8" t="s">
        <v>5655</v>
      </c>
      <c r="C5899" s="9">
        <v>2772</v>
      </c>
      <c r="D5899" s="0">
        <v>3</v>
      </c>
      <c r="E5899" s="10">
        <f>HYPERLINK("http://www.lingerieopt.ru/images/original/8071212b-71a8-4788-a2a7-3b1e55663fc8.jpg","Фото")</f>
      </c>
    </row>
    <row r="5900">
      <c r="A5900" s="7">
        <f>HYPERLINK("http://www.lingerieopt.ru/item/10141-penyuar-ambrosia-s-kruzhevnoi-otorochkoi-i-pikantnjmi-vjrezami/","10141")</f>
      </c>
      <c r="B5900" s="8" t="s">
        <v>5656</v>
      </c>
      <c r="C5900" s="9">
        <v>2772</v>
      </c>
      <c r="D5900" s="0">
        <v>5</v>
      </c>
      <c r="E5900" s="10">
        <f>HYPERLINK("http://www.lingerieopt.ru/images/original/8071212b-71a8-4788-a2a7-3b1e55663fc8.jpg","Фото")</f>
      </c>
    </row>
    <row r="5901">
      <c r="A5901" s="7">
        <f>HYPERLINK("http://www.lingerieopt.ru/item/10141-penyuar-ambrosia-s-kruzhevnoi-otorochkoi-i-pikantnjmi-vjrezami/","10141")</f>
      </c>
      <c r="B5901" s="8" t="s">
        <v>5657</v>
      </c>
      <c r="C5901" s="9">
        <v>2772</v>
      </c>
      <c r="D5901" s="0">
        <v>4</v>
      </c>
      <c r="E5901" s="10">
        <f>HYPERLINK("http://www.lingerieopt.ru/images/original/8071212b-71a8-4788-a2a7-3b1e55663fc8.jpg","Фото")</f>
      </c>
    </row>
    <row r="5902">
      <c r="A5902" s="7">
        <f>HYPERLINK("http://www.lingerieopt.ru/item/10142-chuvstvennaya-azhurnaya-sorochka-ravenna-s-pazhami/","10142")</f>
      </c>
      <c r="B5902" s="8" t="s">
        <v>5658</v>
      </c>
      <c r="C5902" s="9">
        <v>1760</v>
      </c>
      <c r="D5902" s="0">
        <v>8</v>
      </c>
      <c r="E5902" s="10">
        <f>HYPERLINK("http://www.lingerieopt.ru/images/original/fa970ea1-2f81-421e-8a2b-7e4394c6d914.jpg","Фото")</f>
      </c>
    </row>
    <row r="5903">
      <c r="A5903" s="7">
        <f>HYPERLINK("http://www.lingerieopt.ru/item/10142-chuvstvennaya-azhurnaya-sorochka-ravenna-s-pazhami/","10142")</f>
      </c>
      <c r="B5903" s="8" t="s">
        <v>5659</v>
      </c>
      <c r="C5903" s="9">
        <v>1760</v>
      </c>
      <c r="D5903" s="0">
        <v>14</v>
      </c>
      <c r="E5903" s="10">
        <f>HYPERLINK("http://www.lingerieopt.ru/images/original/fa970ea1-2f81-421e-8a2b-7e4394c6d914.jpg","Фото")</f>
      </c>
    </row>
    <row r="5904">
      <c r="A5904" s="7">
        <f>HYPERLINK("http://www.lingerieopt.ru/item/10142-chuvstvennaya-azhurnaya-sorochka-ravenna-s-pazhami/","10142")</f>
      </c>
      <c r="B5904" s="8" t="s">
        <v>5660</v>
      </c>
      <c r="C5904" s="9">
        <v>1760</v>
      </c>
      <c r="D5904" s="0">
        <v>4</v>
      </c>
      <c r="E5904" s="10">
        <f>HYPERLINK("http://www.lingerieopt.ru/images/original/fa970ea1-2f81-421e-8a2b-7e4394c6d914.jpg","Фото")</f>
      </c>
    </row>
    <row r="5905">
      <c r="A5905" s="7">
        <f>HYPERLINK("http://www.lingerieopt.ru/item/10142-chuvstvennaya-azhurnaya-sorochka-ravenna-s-pazhami/","10142")</f>
      </c>
      <c r="B5905" s="8" t="s">
        <v>5661</v>
      </c>
      <c r="C5905" s="9">
        <v>1760</v>
      </c>
      <c r="D5905" s="0">
        <v>5</v>
      </c>
      <c r="E5905" s="10">
        <f>HYPERLINK("http://www.lingerieopt.ru/images/original/fa970ea1-2f81-421e-8a2b-7e4394c6d914.jpg","Фото")</f>
      </c>
    </row>
    <row r="5906">
      <c r="A5906" s="7">
        <f>HYPERLINK("http://www.lingerieopt.ru/item/10146-dlinnji-penyuar-bouquet-s-poyasom/","10146")</f>
      </c>
      <c r="B5906" s="8" t="s">
        <v>5662</v>
      </c>
      <c r="C5906" s="9">
        <v>2346</v>
      </c>
      <c r="D5906" s="0">
        <v>4</v>
      </c>
      <c r="E5906" s="10">
        <f>HYPERLINK("http://www.lingerieopt.ru/images/original/9f2d403e-757d-421c-ae67-f3a32cdaccf4.jpg","Фото")</f>
      </c>
    </row>
    <row r="5907">
      <c r="A5907" s="7">
        <f>HYPERLINK("http://www.lingerieopt.ru/item/10146-dlinnji-penyuar-bouquet-s-poyasom/","10146")</f>
      </c>
      <c r="B5907" s="8" t="s">
        <v>5663</v>
      </c>
      <c r="C5907" s="9">
        <v>2346</v>
      </c>
      <c r="D5907" s="0">
        <v>2</v>
      </c>
      <c r="E5907" s="10">
        <f>HYPERLINK("http://www.lingerieopt.ru/images/original/9f2d403e-757d-421c-ae67-f3a32cdaccf4.jpg","Фото")</f>
      </c>
    </row>
    <row r="5908">
      <c r="A5908" s="7">
        <f>HYPERLINK("http://www.lingerieopt.ru/item/10146-dlinnji-penyuar-bouquet-s-poyasom/","10146")</f>
      </c>
      <c r="B5908" s="8" t="s">
        <v>5664</v>
      </c>
      <c r="C5908" s="9">
        <v>2346</v>
      </c>
      <c r="D5908" s="0">
        <v>8</v>
      </c>
      <c r="E5908" s="10">
        <f>HYPERLINK("http://www.lingerieopt.ru/images/original/9f2d403e-757d-421c-ae67-f3a32cdaccf4.jpg","Фото")</f>
      </c>
    </row>
    <row r="5909">
      <c r="A5909" s="7">
        <f>HYPERLINK("http://www.lingerieopt.ru/item/10146-dlinnji-penyuar-bouquet-s-poyasom/","10146")</f>
      </c>
      <c r="B5909" s="8" t="s">
        <v>5665</v>
      </c>
      <c r="C5909" s="9">
        <v>2346</v>
      </c>
      <c r="D5909" s="0">
        <v>11</v>
      </c>
      <c r="E5909" s="10">
        <f>HYPERLINK("http://www.lingerieopt.ru/images/original/9f2d403e-757d-421c-ae67-f3a32cdaccf4.jpg","Фото")</f>
      </c>
    </row>
    <row r="5910">
      <c r="A5910" s="7">
        <f>HYPERLINK("http://www.lingerieopt.ru/item/10146-dlinnji-penyuar-bouquet-s-poyasom/","10146")</f>
      </c>
      <c r="B5910" s="8" t="s">
        <v>5666</v>
      </c>
      <c r="C5910" s="9">
        <v>2346</v>
      </c>
      <c r="D5910" s="0">
        <v>3</v>
      </c>
      <c r="E5910" s="10">
        <f>HYPERLINK("http://www.lingerieopt.ru/images/original/9f2d403e-757d-421c-ae67-f3a32cdaccf4.jpg","Фото")</f>
      </c>
    </row>
    <row r="5911">
      <c r="A5911" s="7">
        <f>HYPERLINK("http://www.lingerieopt.ru/item/10146-dlinnji-penyuar-bouquet-s-poyasom/","10146")</f>
      </c>
      <c r="B5911" s="8" t="s">
        <v>5667</v>
      </c>
      <c r="C5911" s="9">
        <v>2346</v>
      </c>
      <c r="D5911" s="0">
        <v>9</v>
      </c>
      <c r="E5911" s="10">
        <f>HYPERLINK("http://www.lingerieopt.ru/images/original/9f2d403e-757d-421c-ae67-f3a32cdaccf4.jpg","Фото")</f>
      </c>
    </row>
    <row r="5912">
      <c r="A5912" s="7">
        <f>HYPERLINK("http://www.lingerieopt.ru/item/10149-originalnji-penyuar-electra-s-kruzhevami-i-kapyushonom/","10149")</f>
      </c>
      <c r="B5912" s="8" t="s">
        <v>5668</v>
      </c>
      <c r="C5912" s="9">
        <v>2772</v>
      </c>
      <c r="D5912" s="0">
        <v>3</v>
      </c>
      <c r="E5912" s="10">
        <f>HYPERLINK("http://www.lingerieopt.ru/images/original/729ecc31-04ca-489a-9a9b-cb0c09d831ce.jpg","Фото")</f>
      </c>
    </row>
    <row r="5913">
      <c r="A5913" s="7">
        <f>HYPERLINK("http://www.lingerieopt.ru/item/10149-originalnji-penyuar-electra-s-kruzhevami-i-kapyushonom/","10149")</f>
      </c>
      <c r="B5913" s="8" t="s">
        <v>5669</v>
      </c>
      <c r="C5913" s="9">
        <v>2772</v>
      </c>
      <c r="D5913" s="0">
        <v>4</v>
      </c>
      <c r="E5913" s="10">
        <f>HYPERLINK("http://www.lingerieopt.ru/images/original/729ecc31-04ca-489a-9a9b-cb0c09d831ce.jpg","Фото")</f>
      </c>
    </row>
    <row r="5914">
      <c r="A5914" s="7">
        <f>HYPERLINK("http://www.lingerieopt.ru/item/10154-roskoshnaya-sorochka-michele-s-kruzhevami/","10154")</f>
      </c>
      <c r="B5914" s="8" t="s">
        <v>5670</v>
      </c>
      <c r="C5914" s="9">
        <v>1580</v>
      </c>
      <c r="D5914" s="0">
        <v>0</v>
      </c>
      <c r="E5914" s="10">
        <f>HYPERLINK("http://www.lingerieopt.ru/images/original/9a219b14-c4b6-491a-b4ed-b995b7073904.jpg","Фото")</f>
      </c>
    </row>
    <row r="5915">
      <c r="A5915" s="7">
        <f>HYPERLINK("http://www.lingerieopt.ru/item/10154-roskoshnaya-sorochka-michele-s-kruzhevami/","10154")</f>
      </c>
      <c r="B5915" s="8" t="s">
        <v>5671</v>
      </c>
      <c r="C5915" s="9">
        <v>1580</v>
      </c>
      <c r="D5915" s="0">
        <v>0</v>
      </c>
      <c r="E5915" s="10">
        <f>HYPERLINK("http://www.lingerieopt.ru/images/original/9a219b14-c4b6-491a-b4ed-b995b7073904.jpg","Фото")</f>
      </c>
    </row>
    <row r="5916">
      <c r="A5916" s="7">
        <f>HYPERLINK("http://www.lingerieopt.ru/item/10154-roskoshnaya-sorochka-michele-s-kruzhevami/","10154")</f>
      </c>
      <c r="B5916" s="8" t="s">
        <v>5672</v>
      </c>
      <c r="C5916" s="9">
        <v>1580</v>
      </c>
      <c r="D5916" s="0">
        <v>0</v>
      </c>
      <c r="E5916" s="10">
        <f>HYPERLINK("http://www.lingerieopt.ru/images/original/9a219b14-c4b6-491a-b4ed-b995b7073904.jpg","Фото")</f>
      </c>
    </row>
    <row r="5917">
      <c r="A5917" s="7">
        <f>HYPERLINK("http://www.lingerieopt.ru/item/10154-roskoshnaya-sorochka-michele-s-kruzhevami/","10154")</f>
      </c>
      <c r="B5917" s="8" t="s">
        <v>5673</v>
      </c>
      <c r="C5917" s="9">
        <v>1580</v>
      </c>
      <c r="D5917" s="0">
        <v>1</v>
      </c>
      <c r="E5917" s="10">
        <f>HYPERLINK("http://www.lingerieopt.ru/images/original/9a219b14-c4b6-491a-b4ed-b995b7073904.jpg","Фото")</f>
      </c>
    </row>
    <row r="5918">
      <c r="A5918" s="7">
        <f>HYPERLINK("http://www.lingerieopt.ru/item/10154-roskoshnaya-sorochka-michele-s-kruzhevami/","10154")</f>
      </c>
      <c r="B5918" s="8" t="s">
        <v>5674</v>
      </c>
      <c r="C5918" s="9">
        <v>1580</v>
      </c>
      <c r="D5918" s="0">
        <v>8</v>
      </c>
      <c r="E5918" s="10">
        <f>HYPERLINK("http://www.lingerieopt.ru/images/original/9a219b14-c4b6-491a-b4ed-b995b7073904.jpg","Фото")</f>
      </c>
    </row>
    <row r="5919">
      <c r="A5919" s="7">
        <f>HYPERLINK("http://www.lingerieopt.ru/item/10154-roskoshnaya-sorochka-michele-s-kruzhevami/","10154")</f>
      </c>
      <c r="B5919" s="8" t="s">
        <v>5675</v>
      </c>
      <c r="C5919" s="9">
        <v>1580</v>
      </c>
      <c r="D5919" s="0">
        <v>3</v>
      </c>
      <c r="E5919" s="10">
        <f>HYPERLINK("http://www.lingerieopt.ru/images/original/9a219b14-c4b6-491a-b4ed-b995b7073904.jpg","Фото")</f>
      </c>
    </row>
    <row r="5920">
      <c r="A5920" s="7">
        <f>HYPERLINK("http://www.lingerieopt.ru/item/10154-roskoshnaya-sorochka-michele-s-kruzhevami/","10154")</f>
      </c>
      <c r="B5920" s="8" t="s">
        <v>5676</v>
      </c>
      <c r="C5920" s="9">
        <v>1580</v>
      </c>
      <c r="D5920" s="0">
        <v>7</v>
      </c>
      <c r="E5920" s="10">
        <f>HYPERLINK("http://www.lingerieopt.ru/images/original/9a219b14-c4b6-491a-b4ed-b995b7073904.jpg","Фото")</f>
      </c>
    </row>
    <row r="5921">
      <c r="A5921" s="7">
        <f>HYPERLINK("http://www.lingerieopt.ru/item/10154-roskoshnaya-sorochka-michele-s-kruzhevami/","10154")</f>
      </c>
      <c r="B5921" s="8" t="s">
        <v>5677</v>
      </c>
      <c r="C5921" s="9">
        <v>1580</v>
      </c>
      <c r="D5921" s="0">
        <v>1</v>
      </c>
      <c r="E5921" s="10">
        <f>HYPERLINK("http://www.lingerieopt.ru/images/original/9a219b14-c4b6-491a-b4ed-b995b7073904.jpg","Фото")</f>
      </c>
    </row>
    <row r="5922">
      <c r="A5922" s="7">
        <f>HYPERLINK("http://www.lingerieopt.ru/item/10156-penyuar-prilance-s-kruzhevami-v-verhnei-chasti/","10156")</f>
      </c>
      <c r="B5922" s="8" t="s">
        <v>5678</v>
      </c>
      <c r="C5922" s="9">
        <v>1369</v>
      </c>
      <c r="D5922" s="0">
        <v>0</v>
      </c>
      <c r="E5922" s="10">
        <f>HYPERLINK("http://www.lingerieopt.ru/images/original/ea46547d-6805-4591-b524-9c9d361edffd.jpg","Фото")</f>
      </c>
    </row>
    <row r="5923">
      <c r="A5923" s="7">
        <f>HYPERLINK("http://www.lingerieopt.ru/item/10156-penyuar-prilance-s-kruzhevami-v-verhnei-chasti/","10156")</f>
      </c>
      <c r="B5923" s="8" t="s">
        <v>5679</v>
      </c>
      <c r="C5923" s="9">
        <v>1369</v>
      </c>
      <c r="D5923" s="0">
        <v>18</v>
      </c>
      <c r="E5923" s="10">
        <f>HYPERLINK("http://www.lingerieopt.ru/images/original/ea46547d-6805-4591-b524-9c9d361edffd.jpg","Фото")</f>
      </c>
    </row>
    <row r="5924">
      <c r="A5924" s="7">
        <f>HYPERLINK("http://www.lingerieopt.ru/item/10156-penyuar-prilance-s-kruzhevami-v-verhnei-chasti/","10156")</f>
      </c>
      <c r="B5924" s="8" t="s">
        <v>5680</v>
      </c>
      <c r="C5924" s="9">
        <v>1369</v>
      </c>
      <c r="D5924" s="0">
        <v>9</v>
      </c>
      <c r="E5924" s="10">
        <f>HYPERLINK("http://www.lingerieopt.ru/images/original/ea46547d-6805-4591-b524-9c9d361edffd.jpg","Фото")</f>
      </c>
    </row>
    <row r="5925">
      <c r="A5925" s="7">
        <f>HYPERLINK("http://www.lingerieopt.ru/item/10157-roskoshnji-penyuar-prilance-plus-size-s-kruzhevami/","10157")</f>
      </c>
      <c r="B5925" s="8" t="s">
        <v>5681</v>
      </c>
      <c r="C5925" s="9">
        <v>1369</v>
      </c>
      <c r="D5925" s="0">
        <v>7</v>
      </c>
      <c r="E5925" s="10">
        <f>HYPERLINK("http://www.lingerieopt.ru/images/original/ebb0c204-138b-4c95-a4ed-93085eb15475.jpg","Фото")</f>
      </c>
    </row>
    <row r="5926">
      <c r="A5926" s="7">
        <f>HYPERLINK("http://www.lingerieopt.ru/item/10157-roskoshnji-penyuar-prilance-plus-size-s-kruzhevami/","10157")</f>
      </c>
      <c r="B5926" s="8" t="s">
        <v>5682</v>
      </c>
      <c r="C5926" s="9">
        <v>1369</v>
      </c>
      <c r="D5926" s="0">
        <v>10</v>
      </c>
      <c r="E5926" s="10">
        <f>HYPERLINK("http://www.lingerieopt.ru/images/original/ebb0c204-138b-4c95-a4ed-93085eb15475.jpg","Фото")</f>
      </c>
    </row>
    <row r="5927">
      <c r="A5927" s="7">
        <f>HYPERLINK("http://www.lingerieopt.ru/item/10157-roskoshnji-penyuar-prilance-plus-size-s-kruzhevami/","10157")</f>
      </c>
      <c r="B5927" s="8" t="s">
        <v>5683</v>
      </c>
      <c r="C5927" s="9">
        <v>1369</v>
      </c>
      <c r="D5927" s="0">
        <v>2</v>
      </c>
      <c r="E5927" s="10">
        <f>HYPERLINK("http://www.lingerieopt.ru/images/original/ebb0c204-138b-4c95-a4ed-93085eb15475.jpg","Фото")</f>
      </c>
    </row>
    <row r="5928">
      <c r="A5928" s="7">
        <f>HYPERLINK("http://www.lingerieopt.ru/item/10159-ukorochennaya-svobodnaya-sorochka-malvine-s-kruzhevami/","10159")</f>
      </c>
      <c r="B5928" s="8" t="s">
        <v>5684</v>
      </c>
      <c r="C5928" s="9">
        <v>1828</v>
      </c>
      <c r="D5928" s="0">
        <v>0</v>
      </c>
      <c r="E5928" s="10">
        <f>HYPERLINK("http://www.lingerieopt.ru/images/original/09a44cc3-3bd8-4884-a6bf-f326af9f2ab1.jpg","Фото")</f>
      </c>
    </row>
    <row r="5929">
      <c r="A5929" s="7">
        <f>HYPERLINK("http://www.lingerieopt.ru/item/10159-ukorochennaya-svobodnaya-sorochka-malvine-s-kruzhevami/","10159")</f>
      </c>
      <c r="B5929" s="8" t="s">
        <v>5685</v>
      </c>
      <c r="C5929" s="9">
        <v>1828</v>
      </c>
      <c r="D5929" s="0">
        <v>0</v>
      </c>
      <c r="E5929" s="10">
        <f>HYPERLINK("http://www.lingerieopt.ru/images/original/09a44cc3-3bd8-4884-a6bf-f326af9f2ab1.jpg","Фото")</f>
      </c>
    </row>
    <row r="5930">
      <c r="A5930" s="7">
        <f>HYPERLINK("http://www.lingerieopt.ru/item/10159-ukorochennaya-svobodnaya-sorochka-malvine-s-kruzhevami/","10159")</f>
      </c>
      <c r="B5930" s="8" t="s">
        <v>5686</v>
      </c>
      <c r="C5930" s="9">
        <v>1828</v>
      </c>
      <c r="D5930" s="0">
        <v>1</v>
      </c>
      <c r="E5930" s="10">
        <f>HYPERLINK("http://www.lingerieopt.ru/images/original/09a44cc3-3bd8-4884-a6bf-f326af9f2ab1.jpg","Фото")</f>
      </c>
    </row>
    <row r="5931">
      <c r="A5931" s="7">
        <f>HYPERLINK("http://www.lingerieopt.ru/item/10159-ukorochennaya-svobodnaya-sorochka-malvine-s-kruzhevami/","10159")</f>
      </c>
      <c r="B5931" s="8" t="s">
        <v>5687</v>
      </c>
      <c r="C5931" s="9">
        <v>1828</v>
      </c>
      <c r="D5931" s="0">
        <v>0</v>
      </c>
      <c r="E5931" s="10">
        <f>HYPERLINK("http://www.lingerieopt.ru/images/original/09a44cc3-3bd8-4884-a6bf-f326af9f2ab1.jpg","Фото")</f>
      </c>
    </row>
    <row r="5932">
      <c r="A5932" s="7">
        <f>HYPERLINK("http://www.lingerieopt.ru/item/10160-pikantnaya-sorochka-petra-s-kruzhevnjmi-vstavkami/","10160")</f>
      </c>
      <c r="B5932" s="8" t="s">
        <v>5688</v>
      </c>
      <c r="C5932" s="9">
        <v>2266</v>
      </c>
      <c r="D5932" s="0">
        <v>0</v>
      </c>
      <c r="E5932" s="10">
        <f>HYPERLINK("http://www.lingerieopt.ru/images/original/5c3c18c6-abe8-4d88-a150-8ccee17ec4f5.jpg","Фото")</f>
      </c>
    </row>
    <row r="5933">
      <c r="A5933" s="7">
        <f>HYPERLINK("http://www.lingerieopt.ru/item/10160-pikantnaya-sorochka-petra-s-kruzhevnjmi-vstavkami/","10160")</f>
      </c>
      <c r="B5933" s="8" t="s">
        <v>5689</v>
      </c>
      <c r="C5933" s="9">
        <v>2266</v>
      </c>
      <c r="D5933" s="0">
        <v>0</v>
      </c>
      <c r="E5933" s="10">
        <f>HYPERLINK("http://www.lingerieopt.ru/images/original/5c3c18c6-abe8-4d88-a150-8ccee17ec4f5.jpg","Фото")</f>
      </c>
    </row>
    <row r="5934">
      <c r="A5934" s="7">
        <f>HYPERLINK("http://www.lingerieopt.ru/item/10160-pikantnaya-sorochka-petra-s-kruzhevnjmi-vstavkami/","10160")</f>
      </c>
      <c r="B5934" s="8" t="s">
        <v>5690</v>
      </c>
      <c r="C5934" s="9">
        <v>2266</v>
      </c>
      <c r="D5934" s="0">
        <v>1</v>
      </c>
      <c r="E5934" s="10">
        <f>HYPERLINK("http://www.lingerieopt.ru/images/original/5c3c18c6-abe8-4d88-a150-8ccee17ec4f5.jpg","Фото")</f>
      </c>
    </row>
    <row r="5935">
      <c r="A5935" s="7">
        <f>HYPERLINK("http://www.lingerieopt.ru/item/10160-pikantnaya-sorochka-petra-s-kruzhevnjmi-vstavkami/","10160")</f>
      </c>
      <c r="B5935" s="8" t="s">
        <v>5691</v>
      </c>
      <c r="C5935" s="9">
        <v>2266</v>
      </c>
      <c r="D5935" s="0">
        <v>0</v>
      </c>
      <c r="E5935" s="10">
        <f>HYPERLINK("http://www.lingerieopt.ru/images/original/5c3c18c6-abe8-4d88-a150-8ccee17ec4f5.jpg","Фото")</f>
      </c>
    </row>
    <row r="5936">
      <c r="A5936" s="7">
        <f>HYPERLINK("http://www.lingerieopt.ru/item/10162-sorochka-shannon-na-tonkih-bretelyah/","10162")</f>
      </c>
      <c r="B5936" s="8" t="s">
        <v>5692</v>
      </c>
      <c r="C5936" s="9">
        <v>1638</v>
      </c>
      <c r="D5936" s="0">
        <v>4</v>
      </c>
      <c r="E5936" s="10">
        <f>HYPERLINK("http://www.lingerieopt.ru/images/original/08de2624-18ce-4e3c-819d-de98a906a0a6.jpg","Фото")</f>
      </c>
    </row>
    <row r="5937">
      <c r="A5937" s="7">
        <f>HYPERLINK("http://www.lingerieopt.ru/item/10162-sorochka-shannon-na-tonkih-bretelyah/","10162")</f>
      </c>
      <c r="B5937" s="8" t="s">
        <v>5693</v>
      </c>
      <c r="C5937" s="9">
        <v>1638</v>
      </c>
      <c r="D5937" s="0">
        <v>5</v>
      </c>
      <c r="E5937" s="10">
        <f>HYPERLINK("http://www.lingerieopt.ru/images/original/08de2624-18ce-4e3c-819d-de98a906a0a6.jpg","Фото")</f>
      </c>
    </row>
    <row r="5938">
      <c r="A5938" s="7">
        <f>HYPERLINK("http://www.lingerieopt.ru/item/10162-sorochka-shannon-na-tonkih-bretelyah/","10162")</f>
      </c>
      <c r="B5938" s="8" t="s">
        <v>5694</v>
      </c>
      <c r="C5938" s="9">
        <v>1638</v>
      </c>
      <c r="D5938" s="0">
        <v>3</v>
      </c>
      <c r="E5938" s="10">
        <f>HYPERLINK("http://www.lingerieopt.ru/images/original/08de2624-18ce-4e3c-819d-de98a906a0a6.jpg","Фото")</f>
      </c>
    </row>
    <row r="5939">
      <c r="A5939" s="7">
        <f>HYPERLINK("http://www.lingerieopt.ru/item/10162-sorochka-shannon-na-tonkih-bretelyah/","10162")</f>
      </c>
      <c r="B5939" s="8" t="s">
        <v>5695</v>
      </c>
      <c r="C5939" s="9">
        <v>1638</v>
      </c>
      <c r="D5939" s="0">
        <v>6</v>
      </c>
      <c r="E5939" s="10">
        <f>HYPERLINK("http://www.lingerieopt.ru/images/original/08de2624-18ce-4e3c-819d-de98a906a0a6.jpg","Фото")</f>
      </c>
    </row>
    <row r="5940">
      <c r="A5940" s="7">
        <f>HYPERLINK("http://www.lingerieopt.ru/item/10163-penyuar-shannon-s-kruzhevnjmi-vstavkami/","10163")</f>
      </c>
      <c r="B5940" s="8" t="s">
        <v>5696</v>
      </c>
      <c r="C5940" s="9">
        <v>2438</v>
      </c>
      <c r="D5940" s="0">
        <v>7</v>
      </c>
      <c r="E5940" s="10">
        <f>HYPERLINK("http://www.lingerieopt.ru/images/original/d1d2a12e-0f2c-4ae3-aead-c58c7f97ea7f.jpg","Фото")</f>
      </c>
    </row>
    <row r="5941">
      <c r="A5941" s="7">
        <f>HYPERLINK("http://www.lingerieopt.ru/item/10163-penyuar-shannon-s-kruzhevnjmi-vstavkami/","10163")</f>
      </c>
      <c r="B5941" s="8" t="s">
        <v>5697</v>
      </c>
      <c r="C5941" s="9">
        <v>2438</v>
      </c>
      <c r="D5941" s="0">
        <v>7</v>
      </c>
      <c r="E5941" s="10">
        <f>HYPERLINK("http://www.lingerieopt.ru/images/original/d1d2a12e-0f2c-4ae3-aead-c58c7f97ea7f.jpg","Фото")</f>
      </c>
    </row>
    <row r="5942">
      <c r="A5942" s="7">
        <f>HYPERLINK("http://www.lingerieopt.ru/item/10163-penyuar-shannon-s-kruzhevnjmi-vstavkami/","10163")</f>
      </c>
      <c r="B5942" s="8" t="s">
        <v>5698</v>
      </c>
      <c r="C5942" s="9">
        <v>2438</v>
      </c>
      <c r="D5942" s="0">
        <v>7</v>
      </c>
      <c r="E5942" s="10">
        <f>HYPERLINK("http://www.lingerieopt.ru/images/original/d1d2a12e-0f2c-4ae3-aead-c58c7f97ea7f.jpg","Фото")</f>
      </c>
    </row>
    <row r="5943">
      <c r="A5943" s="7">
        <f>HYPERLINK("http://www.lingerieopt.ru/item/10163-penyuar-shannon-s-kruzhevnjmi-vstavkami/","10163")</f>
      </c>
      <c r="B5943" s="8" t="s">
        <v>5699</v>
      </c>
      <c r="C5943" s="9">
        <v>2438</v>
      </c>
      <c r="D5943" s="0">
        <v>4</v>
      </c>
      <c r="E5943" s="10">
        <f>HYPERLINK("http://www.lingerieopt.ru/images/original/d1d2a12e-0f2c-4ae3-aead-c58c7f97ea7f.jpg","Фото")</f>
      </c>
    </row>
    <row r="5944">
      <c r="A5944" s="7">
        <f>HYPERLINK("http://www.lingerieopt.ru/item/10167-oblegayuschaya-sorochka-adelaide-s-kruzhevom/","10167")</f>
      </c>
      <c r="B5944" s="8" t="s">
        <v>5700</v>
      </c>
      <c r="C5944" s="9">
        <v>1708</v>
      </c>
      <c r="D5944" s="0">
        <v>0</v>
      </c>
      <c r="E5944" s="10">
        <f>HYPERLINK("http://www.lingerieopt.ru/images/original/dc57b682-28c8-450f-93ca-528bca24d2d4.jpg","Фото")</f>
      </c>
    </row>
    <row r="5945">
      <c r="A5945" s="7">
        <f>HYPERLINK("http://www.lingerieopt.ru/item/10167-oblegayuschaya-sorochka-adelaide-s-kruzhevom/","10167")</f>
      </c>
      <c r="B5945" s="8" t="s">
        <v>5701</v>
      </c>
      <c r="C5945" s="9">
        <v>1708</v>
      </c>
      <c r="D5945" s="0">
        <v>6</v>
      </c>
      <c r="E5945" s="10">
        <f>HYPERLINK("http://www.lingerieopt.ru/images/original/dc57b682-28c8-450f-93ca-528bca24d2d4.jpg","Фото")</f>
      </c>
    </row>
    <row r="5946">
      <c r="A5946" s="7">
        <f>HYPERLINK("http://www.lingerieopt.ru/item/10167-oblegayuschaya-sorochka-adelaide-s-kruzhevom/","10167")</f>
      </c>
      <c r="B5946" s="8" t="s">
        <v>5702</v>
      </c>
      <c r="C5946" s="9">
        <v>1708</v>
      </c>
      <c r="D5946" s="0">
        <v>5</v>
      </c>
      <c r="E5946" s="10">
        <f>HYPERLINK("http://www.lingerieopt.ru/images/original/dc57b682-28c8-450f-93ca-528bca24d2d4.jpg","Фото")</f>
      </c>
    </row>
    <row r="5947">
      <c r="A5947" s="7">
        <f>HYPERLINK("http://www.lingerieopt.ru/item/10167-oblegayuschaya-sorochka-adelaide-s-kruzhevom/","10167")</f>
      </c>
      <c r="B5947" s="8" t="s">
        <v>5703</v>
      </c>
      <c r="C5947" s="9">
        <v>1708</v>
      </c>
      <c r="D5947" s="0">
        <v>5</v>
      </c>
      <c r="E5947" s="10">
        <f>HYPERLINK("http://www.lingerieopt.ru/images/original/dc57b682-28c8-450f-93ca-528bca24d2d4.jpg","Фото")</f>
      </c>
    </row>
    <row r="5948">
      <c r="A5948" s="7">
        <f>HYPERLINK("http://www.lingerieopt.ru/item/10167-oblegayuschaya-sorochka-adelaide-s-kruzhevom/","10167")</f>
      </c>
      <c r="B5948" s="8" t="s">
        <v>5704</v>
      </c>
      <c r="C5948" s="9">
        <v>1708</v>
      </c>
      <c r="D5948" s="0">
        <v>1</v>
      </c>
      <c r="E5948" s="10">
        <f>HYPERLINK("http://www.lingerieopt.ru/images/original/dc57b682-28c8-450f-93ca-528bca24d2d4.jpg","Фото")</f>
      </c>
    </row>
    <row r="5949">
      <c r="A5949" s="7">
        <f>HYPERLINK("http://www.lingerieopt.ru/item/10167-oblegayuschaya-sorochka-adelaide-s-kruzhevom/","10167")</f>
      </c>
      <c r="B5949" s="8" t="s">
        <v>5705</v>
      </c>
      <c r="C5949" s="9">
        <v>1708</v>
      </c>
      <c r="D5949" s="0">
        <v>9</v>
      </c>
      <c r="E5949" s="10">
        <f>HYPERLINK("http://www.lingerieopt.ru/images/original/dc57b682-28c8-450f-93ca-528bca24d2d4.jpg","Фото")</f>
      </c>
    </row>
    <row r="5950">
      <c r="A5950" s="7">
        <f>HYPERLINK("http://www.lingerieopt.ru/item/10194-oblegayuschaya-sorochka-brida-s-kruzhevnjm-lifom-i-vjrezom-na-spinke/","10194")</f>
      </c>
      <c r="B5950" s="8" t="s">
        <v>5706</v>
      </c>
      <c r="C5950" s="9">
        <v>2082</v>
      </c>
      <c r="D5950" s="0">
        <v>3</v>
      </c>
      <c r="E5950" s="10">
        <f>HYPERLINK("http://www.lingerieopt.ru/images/original/2dc4c558-b8be-4554-bd96-ffd2d1674d88.jpg","Фото")</f>
      </c>
    </row>
    <row r="5951">
      <c r="A5951" s="7">
        <f>HYPERLINK("http://www.lingerieopt.ru/item/10194-oblegayuschaya-sorochka-brida-s-kruzhevnjm-lifom-i-vjrezom-na-spinke/","10194")</f>
      </c>
      <c r="B5951" s="8" t="s">
        <v>5707</v>
      </c>
      <c r="C5951" s="9">
        <v>2082</v>
      </c>
      <c r="D5951" s="0">
        <v>4</v>
      </c>
      <c r="E5951" s="10">
        <f>HYPERLINK("http://www.lingerieopt.ru/images/original/2dc4c558-b8be-4554-bd96-ffd2d1674d88.jpg","Фото")</f>
      </c>
    </row>
    <row r="5952">
      <c r="A5952" s="7">
        <f>HYPERLINK("http://www.lingerieopt.ru/item/10194-oblegayuschaya-sorochka-brida-s-kruzhevnjm-lifom-i-vjrezom-na-spinke/","10194")</f>
      </c>
      <c r="B5952" s="8" t="s">
        <v>5708</v>
      </c>
      <c r="C5952" s="9">
        <v>2082</v>
      </c>
      <c r="D5952" s="0">
        <v>4</v>
      </c>
      <c r="E5952" s="10">
        <f>HYPERLINK("http://www.lingerieopt.ru/images/original/2dc4c558-b8be-4554-bd96-ffd2d1674d88.jpg","Фото")</f>
      </c>
    </row>
    <row r="5953">
      <c r="A5953" s="7">
        <f>HYPERLINK("http://www.lingerieopt.ru/item/10194-oblegayuschaya-sorochka-brida-s-kruzhevnjm-lifom-i-vjrezom-na-spinke/","10194")</f>
      </c>
      <c r="B5953" s="8" t="s">
        <v>5709</v>
      </c>
      <c r="C5953" s="9">
        <v>2082</v>
      </c>
      <c r="D5953" s="0">
        <v>4</v>
      </c>
      <c r="E5953" s="10">
        <f>HYPERLINK("http://www.lingerieopt.ru/images/original/2dc4c558-b8be-4554-bd96-ffd2d1674d88.jpg","Фото")</f>
      </c>
    </row>
    <row r="5954">
      <c r="A5954" s="7">
        <f>HYPERLINK("http://www.lingerieopt.ru/item/10201-soblaznitelnji-penyuar-stephanie/","10201")</f>
      </c>
      <c r="B5954" s="8" t="s">
        <v>5710</v>
      </c>
      <c r="C5954" s="9">
        <v>1932</v>
      </c>
      <c r="D5954" s="0">
        <v>8</v>
      </c>
      <c r="E5954" s="10">
        <f>HYPERLINK("http://www.lingerieopt.ru/images/original/b14b3352-ffb9-4c76-83cb-4df383b49b8b.jpg","Фото")</f>
      </c>
    </row>
    <row r="5955">
      <c r="A5955" s="7">
        <f>HYPERLINK("http://www.lingerieopt.ru/item/10201-soblaznitelnji-penyuar-stephanie/","10201")</f>
      </c>
      <c r="B5955" s="8" t="s">
        <v>5711</v>
      </c>
      <c r="C5955" s="9">
        <v>1932</v>
      </c>
      <c r="D5955" s="0">
        <v>5</v>
      </c>
      <c r="E5955" s="10">
        <f>HYPERLINK("http://www.lingerieopt.ru/images/original/b14b3352-ffb9-4c76-83cb-4df383b49b8b.jpg","Фото")</f>
      </c>
    </row>
    <row r="5956">
      <c r="A5956" s="7">
        <f>HYPERLINK("http://www.lingerieopt.ru/item/10201-soblaznitelnji-penyuar-stephanie/","10201")</f>
      </c>
      <c r="B5956" s="8" t="s">
        <v>5712</v>
      </c>
      <c r="C5956" s="9">
        <v>1932</v>
      </c>
      <c r="D5956" s="0">
        <v>10</v>
      </c>
      <c r="E5956" s="10">
        <f>HYPERLINK("http://www.lingerieopt.ru/images/original/b14b3352-ffb9-4c76-83cb-4df383b49b8b.jpg","Фото")</f>
      </c>
    </row>
    <row r="5957">
      <c r="A5957" s="7">
        <f>HYPERLINK("http://www.lingerieopt.ru/item/10201-soblaznitelnji-penyuar-stephanie/","10201")</f>
      </c>
      <c r="B5957" s="8" t="s">
        <v>5713</v>
      </c>
      <c r="C5957" s="9">
        <v>1932</v>
      </c>
      <c r="D5957" s="0">
        <v>5</v>
      </c>
      <c r="E5957" s="10">
        <f>HYPERLINK("http://www.lingerieopt.ru/images/original/b14b3352-ffb9-4c76-83cb-4df383b49b8b.jpg","Фото")</f>
      </c>
    </row>
    <row r="5958">
      <c r="A5958" s="7">
        <f>HYPERLINK("http://www.lingerieopt.ru/item/10201-soblaznitelnji-penyuar-stephanie/","10201")</f>
      </c>
      <c r="B5958" s="8" t="s">
        <v>5714</v>
      </c>
      <c r="C5958" s="9">
        <v>1932</v>
      </c>
      <c r="D5958" s="0">
        <v>7</v>
      </c>
      <c r="E5958" s="10">
        <f>HYPERLINK("http://www.lingerieopt.ru/images/original/b14b3352-ffb9-4c76-83cb-4df383b49b8b.jpg","Фото")</f>
      </c>
    </row>
    <row r="5959">
      <c r="A5959" s="7">
        <f>HYPERLINK("http://www.lingerieopt.ru/item/10201-soblaznitelnji-penyuar-stephanie/","10201")</f>
      </c>
      <c r="B5959" s="8" t="s">
        <v>5715</v>
      </c>
      <c r="C5959" s="9">
        <v>1932</v>
      </c>
      <c r="D5959" s="0">
        <v>6</v>
      </c>
      <c r="E5959" s="10">
        <f>HYPERLINK("http://www.lingerieopt.ru/images/original/b14b3352-ffb9-4c76-83cb-4df383b49b8b.jpg","Фото")</f>
      </c>
    </row>
    <row r="5960">
      <c r="A5960" s="7">
        <f>HYPERLINK("http://www.lingerieopt.ru/item/10222-nezhnaya-sorochka-bianca-plus-sizes-aksessuarami-dlya-igrj/","10222")</f>
      </c>
      <c r="B5960" s="8" t="s">
        <v>5716</v>
      </c>
      <c r="C5960" s="9">
        <v>1509</v>
      </c>
      <c r="D5960" s="0">
        <v>3</v>
      </c>
      <c r="E5960" s="10">
        <f>HYPERLINK("http://www.lingerieopt.ru/images/original/75d88517-af23-41db-9497-3425cf3136c8.jpg","Фото")</f>
      </c>
    </row>
    <row r="5961">
      <c r="A5961" s="7">
        <f>HYPERLINK("http://www.lingerieopt.ru/item/10224-originalnji-penyuar-s-poyasom-florence-plus-size/","10224")</f>
      </c>
      <c r="B5961" s="8" t="s">
        <v>5717</v>
      </c>
      <c r="C5961" s="9">
        <v>1416</v>
      </c>
      <c r="D5961" s="0">
        <v>0</v>
      </c>
      <c r="E5961" s="10">
        <f>HYPERLINK("http://www.lingerieopt.ru/images/original/4eff33dc-44fb-45c9-aa50-2e3f3c7fd46c.jpg","Фото")</f>
      </c>
    </row>
    <row r="5962">
      <c r="A5962" s="7">
        <f>HYPERLINK("http://www.lingerieopt.ru/item/10224-originalnji-penyuar-s-poyasom-florence-plus-size/","10224")</f>
      </c>
      <c r="B5962" s="8" t="s">
        <v>5718</v>
      </c>
      <c r="C5962" s="9">
        <v>1416</v>
      </c>
      <c r="D5962" s="0">
        <v>1</v>
      </c>
      <c r="E5962" s="10">
        <f>HYPERLINK("http://www.lingerieopt.ru/images/original/4eff33dc-44fb-45c9-aa50-2e3f3c7fd46c.jpg","Фото")</f>
      </c>
    </row>
    <row r="5963">
      <c r="A5963" s="7">
        <f>HYPERLINK("http://www.lingerieopt.ru/item/10224-originalnji-penyuar-s-poyasom-florence-plus-size/","10224")</f>
      </c>
      <c r="B5963" s="8" t="s">
        <v>5719</v>
      </c>
      <c r="C5963" s="9">
        <v>1416</v>
      </c>
      <c r="D5963" s="0">
        <v>2</v>
      </c>
      <c r="E5963" s="10">
        <f>HYPERLINK("http://www.lingerieopt.ru/images/original/4eff33dc-44fb-45c9-aa50-2e3f3c7fd46c.jpg","Фото")</f>
      </c>
    </row>
    <row r="5964">
      <c r="A5964" s="7">
        <f>HYPERLINK("http://www.lingerieopt.ru/item/10225-dlinnaya-azhurnaya-sorochka-truba-branca-v-komplekte-s-perchatkami/","10225")</f>
      </c>
      <c r="B5964" s="8" t="s">
        <v>5720</v>
      </c>
      <c r="C5964" s="9">
        <v>1863</v>
      </c>
      <c r="D5964" s="0">
        <v>0</v>
      </c>
      <c r="E5964" s="10">
        <f>HYPERLINK("http://www.lingerieopt.ru/images/original/5496a320-b13e-48b0-96f6-91778ff178e9.jpg","Фото")</f>
      </c>
    </row>
    <row r="5965">
      <c r="A5965" s="7">
        <f>HYPERLINK("http://www.lingerieopt.ru/item/10225-dlinnaya-azhurnaya-sorochka-truba-branca-v-komplekte-s-perchatkami/","10225")</f>
      </c>
      <c r="B5965" s="8" t="s">
        <v>5721</v>
      </c>
      <c r="C5965" s="9">
        <v>1863</v>
      </c>
      <c r="D5965" s="0">
        <v>2</v>
      </c>
      <c r="E5965" s="10">
        <f>HYPERLINK("http://www.lingerieopt.ru/images/original/5496a320-b13e-48b0-96f6-91778ff178e9.jpg","Фото")</f>
      </c>
    </row>
    <row r="5966">
      <c r="A5966" s="7">
        <f>HYPERLINK("http://www.lingerieopt.ru/item/10225-dlinnaya-azhurnaya-sorochka-truba-branca-v-komplekte-s-perchatkami/","10225")</f>
      </c>
      <c r="B5966" s="8" t="s">
        <v>5722</v>
      </c>
      <c r="C5966" s="9">
        <v>1863</v>
      </c>
      <c r="D5966" s="0">
        <v>0</v>
      </c>
      <c r="E5966" s="10">
        <f>HYPERLINK("http://www.lingerieopt.ru/images/original/5496a320-b13e-48b0-96f6-91778ff178e9.jpg","Фото")</f>
      </c>
    </row>
    <row r="5967">
      <c r="A5967" s="7">
        <f>HYPERLINK("http://www.lingerieopt.ru/item/10225-dlinnaya-azhurnaya-sorochka-truba-branca-v-komplekte-s-perchatkami/","10225")</f>
      </c>
      <c r="B5967" s="8" t="s">
        <v>5723</v>
      </c>
      <c r="C5967" s="9">
        <v>1863</v>
      </c>
      <c r="D5967" s="0">
        <v>5</v>
      </c>
      <c r="E5967" s="10">
        <f>HYPERLINK("http://www.lingerieopt.ru/images/original/5496a320-b13e-48b0-96f6-91778ff178e9.jpg","Фото")</f>
      </c>
    </row>
    <row r="5968">
      <c r="A5968" s="7">
        <f>HYPERLINK("http://www.lingerieopt.ru/item/10250-originalnji-penyuar-florence-s-poyasom/","10250")</f>
      </c>
      <c r="B5968" s="8" t="s">
        <v>5724</v>
      </c>
      <c r="C5968" s="9">
        <v>1416</v>
      </c>
      <c r="D5968" s="0">
        <v>8</v>
      </c>
      <c r="E5968" s="10">
        <f>HYPERLINK("http://www.lingerieopt.ru/images/original/b88fb6b1-2bf6-4ecd-9fdb-7299c2c6f07b.jpg","Фото")</f>
      </c>
    </row>
    <row r="5969">
      <c r="A5969" s="7">
        <f>HYPERLINK("http://www.lingerieopt.ru/item/10250-originalnji-penyuar-florence-s-poyasom/","10250")</f>
      </c>
      <c r="B5969" s="8" t="s">
        <v>5725</v>
      </c>
      <c r="C5969" s="9">
        <v>1416</v>
      </c>
      <c r="D5969" s="0">
        <v>3</v>
      </c>
      <c r="E5969" s="10">
        <f>HYPERLINK("http://www.lingerieopt.ru/images/original/b88fb6b1-2bf6-4ecd-9fdb-7299c2c6f07b.jpg","Фото")</f>
      </c>
    </row>
    <row r="5970">
      <c r="A5970" s="7">
        <f>HYPERLINK("http://www.lingerieopt.ru/item/10250-originalnji-penyuar-florence-s-poyasom/","10250")</f>
      </c>
      <c r="B5970" s="8" t="s">
        <v>5726</v>
      </c>
      <c r="C5970" s="9">
        <v>1416</v>
      </c>
      <c r="D5970" s="0">
        <v>8</v>
      </c>
      <c r="E5970" s="10">
        <f>HYPERLINK("http://www.lingerieopt.ru/images/original/b88fb6b1-2bf6-4ecd-9fdb-7299c2c6f07b.jpg","Фото")</f>
      </c>
    </row>
    <row r="5971">
      <c r="A5971" s="7">
        <f>HYPERLINK("http://www.lingerieopt.ru/item/10250-originalnji-penyuar-florence-s-poyasom/","10250")</f>
      </c>
      <c r="B5971" s="8" t="s">
        <v>5727</v>
      </c>
      <c r="C5971" s="9">
        <v>1416</v>
      </c>
      <c r="D5971" s="0">
        <v>8</v>
      </c>
      <c r="E5971" s="10">
        <f>HYPERLINK("http://www.lingerieopt.ru/images/original/b88fb6b1-2bf6-4ecd-9fdb-7299c2c6f07b.jpg","Фото")</f>
      </c>
    </row>
    <row r="5972">
      <c r="A5972" s="7">
        <f>HYPERLINK("http://www.lingerieopt.ru/item/10250-originalnji-penyuar-florence-s-poyasom/","10250")</f>
      </c>
      <c r="B5972" s="8" t="s">
        <v>5728</v>
      </c>
      <c r="C5972" s="9">
        <v>1416</v>
      </c>
      <c r="D5972" s="0">
        <v>5</v>
      </c>
      <c r="E5972" s="10">
        <f>HYPERLINK("http://www.lingerieopt.ru/images/original/b88fb6b1-2bf6-4ecd-9fdb-7299c2c6f07b.jpg","Фото")</f>
      </c>
    </row>
    <row r="5973">
      <c r="A5973" s="7">
        <f>HYPERLINK("http://www.lingerieopt.ru/item/10250-originalnji-penyuar-florence-s-poyasom/","10250")</f>
      </c>
      <c r="B5973" s="8" t="s">
        <v>5729</v>
      </c>
      <c r="C5973" s="9">
        <v>1416</v>
      </c>
      <c r="D5973" s="0">
        <v>4</v>
      </c>
      <c r="E5973" s="10">
        <f>HYPERLINK("http://www.lingerieopt.ru/images/original/b88fb6b1-2bf6-4ecd-9fdb-7299c2c6f07b.jpg","Фото")</f>
      </c>
    </row>
    <row r="5974">
      <c r="A5974" s="7">
        <f>HYPERLINK("http://www.lingerieopt.ru/item/10311-soblaznitelnaya-sorochka-amara-s-cvetochnjm-kruzhevom-i-razrezom/","10311")</f>
      </c>
      <c r="B5974" s="8" t="s">
        <v>5730</v>
      </c>
      <c r="C5974" s="9">
        <v>1299</v>
      </c>
      <c r="D5974" s="0">
        <v>1</v>
      </c>
      <c r="E5974" s="10">
        <f>HYPERLINK("http://www.lingerieopt.ru/images/original/25f028c6-adeb-427e-877f-40a138aa4a62.jpg","Фото")</f>
      </c>
    </row>
    <row r="5975">
      <c r="A5975" s="7">
        <f>HYPERLINK("http://www.lingerieopt.ru/item/10311-soblaznitelnaya-sorochka-amara-s-cvetochnjm-kruzhevom-i-razrezom/","10311")</f>
      </c>
      <c r="B5975" s="8" t="s">
        <v>5731</v>
      </c>
      <c r="C5975" s="9">
        <v>1299</v>
      </c>
      <c r="D5975" s="0">
        <v>5</v>
      </c>
      <c r="E5975" s="10">
        <f>HYPERLINK("http://www.lingerieopt.ru/images/original/25f028c6-adeb-427e-877f-40a138aa4a62.jpg","Фото")</f>
      </c>
    </row>
    <row r="5976">
      <c r="A5976" s="7">
        <f>HYPERLINK("http://www.lingerieopt.ru/item/10316-korotenkaya-sorochka-blink-plus-size-s-legkoi-kruzhevnoi-otorochkoi-lifa-i-bantom/","10316")</f>
      </c>
      <c r="B5976" s="8" t="s">
        <v>5732</v>
      </c>
      <c r="C5976" s="9">
        <v>1371</v>
      </c>
      <c r="D5976" s="0">
        <v>2</v>
      </c>
      <c r="E5976" s="10">
        <f>HYPERLINK("http://www.lingerieopt.ru/images/original/b3f69e0c-c185-48cf-8aba-87ec6824946a.jpg","Фото")</f>
      </c>
    </row>
    <row r="5977">
      <c r="A5977" s="7">
        <f>HYPERLINK("http://www.lingerieopt.ru/item/10318-belaya-sorochka-catalina-plus-size-s-poluotkrjtoi-spinoi/","10318")</f>
      </c>
      <c r="B5977" s="8" t="s">
        <v>5733</v>
      </c>
      <c r="C5977" s="9">
        <v>1602</v>
      </c>
      <c r="D5977" s="0">
        <v>3</v>
      </c>
      <c r="E5977" s="10">
        <f>HYPERLINK("http://www.lingerieopt.ru/images/original/7243bc46-df95-4224-aeb6-dfb7a852adbc.jpg","Фото")</f>
      </c>
    </row>
    <row r="5978">
      <c r="A5978" s="7">
        <f>HYPERLINK("http://www.lingerieopt.ru/item/10324-oblegayuschaya-sorochka-brida-plus-size-s-kruzhevnjm-lifom-i-vjrezom-na-spine/","10324")</f>
      </c>
      <c r="B5978" s="8" t="s">
        <v>5734</v>
      </c>
      <c r="C5978" s="9">
        <v>2082</v>
      </c>
      <c r="D5978" s="0">
        <v>1</v>
      </c>
      <c r="E5978" s="10">
        <f>HYPERLINK("http://www.lingerieopt.ru/images/original/06c8352c-f52d-47be-b4f2-50e80149c7dd.jpg","Фото")</f>
      </c>
    </row>
    <row r="5979">
      <c r="A5979" s="7">
        <f>HYPERLINK("http://www.lingerieopt.ru/item/10324-oblegayuschaya-sorochka-brida-plus-size-s-kruzhevnjm-lifom-i-vjrezom-na-spine/","10324")</f>
      </c>
      <c r="B5979" s="8" t="s">
        <v>5735</v>
      </c>
      <c r="C5979" s="9">
        <v>2082</v>
      </c>
      <c r="D5979" s="0">
        <v>2</v>
      </c>
      <c r="E5979" s="10">
        <f>HYPERLINK("http://www.lingerieopt.ru/images/original/06c8352c-f52d-47be-b4f2-50e80149c7dd.jpg","Фото")</f>
      </c>
    </row>
    <row r="5980">
      <c r="A5980" s="7">
        <f>HYPERLINK("http://www.lingerieopt.ru/item/10330-poluprozrachnaya-sorochka-enrica-plus-size-s-aloi-lentoi-pod-grudyu/","10330")</f>
      </c>
      <c r="B5980" s="8" t="s">
        <v>5736</v>
      </c>
      <c r="C5980" s="9">
        <v>1299</v>
      </c>
      <c r="D5980" s="0">
        <v>1</v>
      </c>
      <c r="E5980" s="10">
        <f>HYPERLINK("http://www.lingerieopt.ru/images/original/f6188577-716f-4012-b759-fd7f2e7cf0de.jpg","Фото")</f>
      </c>
    </row>
    <row r="5981">
      <c r="A5981" s="7">
        <f>HYPERLINK("http://www.lingerieopt.ru/item/10334-soblaznitelnaya-sorochka-enna-plus-size-s-prozrachnjm-lifom-bez-kostochek/","10334")</f>
      </c>
      <c r="B5981" s="8" t="s">
        <v>5737</v>
      </c>
      <c r="C5981" s="9">
        <v>1647</v>
      </c>
      <c r="D5981" s="0">
        <v>2</v>
      </c>
      <c r="E5981" s="10">
        <f>HYPERLINK("http://www.lingerieopt.ru/images/original/042a1cd1-039e-470c-a4d2-2bcf3d78d902.jpg","Фото")</f>
      </c>
    </row>
    <row r="5982">
      <c r="A5982" s="7">
        <f>HYPERLINK("http://www.lingerieopt.ru/item/10349-korotenkaya-sorochka-lucilla-plus-size-s-otkrjtjm-lifom/","10349")</f>
      </c>
      <c r="B5982" s="8" t="s">
        <v>5738</v>
      </c>
      <c r="C5982" s="9">
        <v>1693</v>
      </c>
      <c r="D5982" s="0">
        <v>1</v>
      </c>
      <c r="E5982" s="10">
        <f>HYPERLINK("http://www.lingerieopt.ru/images/original/46876d89-2fde-42ec-ac27-3bb8a083b491.jpg","Фото")</f>
      </c>
    </row>
    <row r="5983">
      <c r="A5983" s="7">
        <f>HYPERLINK("http://www.lingerieopt.ru/item/10349-korotenkaya-sorochka-lucilla-plus-size-s-otkrjtjm-lifom/","10349")</f>
      </c>
      <c r="B5983" s="8" t="s">
        <v>5739</v>
      </c>
      <c r="C5983" s="9">
        <v>1693</v>
      </c>
      <c r="D5983" s="0">
        <v>2</v>
      </c>
      <c r="E5983" s="10">
        <f>HYPERLINK("http://www.lingerieopt.ru/images/original/46876d89-2fde-42ec-ac27-3bb8a083b491.jpg","Фото")</f>
      </c>
    </row>
    <row r="5984">
      <c r="A5984" s="7">
        <f>HYPERLINK("http://www.lingerieopt.ru/item/10427-yarkii-bebi-doll-s-izjskannjm-cvetochnjm-kruzhevom/","10427")</f>
      </c>
      <c r="B5984" s="8" t="s">
        <v>5740</v>
      </c>
      <c r="C5984" s="9">
        <v>1880</v>
      </c>
      <c r="D5984" s="0">
        <v>10</v>
      </c>
      <c r="E5984" s="10">
        <f>HYPERLINK("http://www.lingerieopt.ru/images/original/0fe7811b-5594-46f2-8f42-1f074d7d8e58.jpg","Фото")</f>
      </c>
    </row>
    <row r="5985">
      <c r="A5985" s="7">
        <f>HYPERLINK("http://www.lingerieopt.ru/item/10427-yarkii-bebi-doll-s-izjskannjm-cvetochnjm-kruzhevom/","10427")</f>
      </c>
      <c r="B5985" s="8" t="s">
        <v>5741</v>
      </c>
      <c r="C5985" s="9">
        <v>1880</v>
      </c>
      <c r="D5985" s="0">
        <v>10</v>
      </c>
      <c r="E5985" s="10">
        <f>HYPERLINK("http://www.lingerieopt.ru/images/original/0fe7811b-5594-46f2-8f42-1f074d7d8e58.jpg","Фото")</f>
      </c>
    </row>
    <row r="5986">
      <c r="A5986" s="7">
        <f>HYPERLINK("http://www.lingerieopt.ru/item/10432-korotenkaya-prozrachnaya-sorochka-mia/","10432")</f>
      </c>
      <c r="B5986" s="8" t="s">
        <v>5742</v>
      </c>
      <c r="C5986" s="9">
        <v>1032</v>
      </c>
      <c r="D5986" s="0">
        <v>4</v>
      </c>
      <c r="E5986" s="10">
        <f>HYPERLINK("http://www.lingerieopt.ru/images/original/390a8955-a2b2-4696-aa73-4b88bf512503.jpg","Фото")</f>
      </c>
    </row>
    <row r="5987">
      <c r="A5987" s="7">
        <f>HYPERLINK("http://www.lingerieopt.ru/item/10432-korotenkaya-prozrachnaya-sorochka-mia/","10432")</f>
      </c>
      <c r="B5987" s="8" t="s">
        <v>5743</v>
      </c>
      <c r="C5987" s="9">
        <v>1032</v>
      </c>
      <c r="D5987" s="0">
        <v>6</v>
      </c>
      <c r="E5987" s="10">
        <f>HYPERLINK("http://www.lingerieopt.ru/images/original/390a8955-a2b2-4696-aa73-4b88bf512503.jpg","Фото")</f>
      </c>
    </row>
    <row r="5988">
      <c r="A5988" s="7">
        <f>HYPERLINK("http://www.lingerieopt.ru/item/10432-korotenkaya-prozrachnaya-sorochka-mia/","10432")</f>
      </c>
      <c r="B5988" s="8" t="s">
        <v>5744</v>
      </c>
      <c r="C5988" s="9">
        <v>1032</v>
      </c>
      <c r="D5988" s="0">
        <v>5</v>
      </c>
      <c r="E5988" s="10">
        <f>HYPERLINK("http://www.lingerieopt.ru/images/original/390a8955-a2b2-4696-aa73-4b88bf512503.jpg","Фото")</f>
      </c>
    </row>
    <row r="5989">
      <c r="A5989" s="7">
        <f>HYPERLINK("http://www.lingerieopt.ru/item/10432-korotenkaya-prozrachnaya-sorochka-mia/","10432")</f>
      </c>
      <c r="B5989" s="8" t="s">
        <v>5745</v>
      </c>
      <c r="C5989" s="9">
        <v>1032</v>
      </c>
      <c r="D5989" s="0">
        <v>5</v>
      </c>
      <c r="E5989" s="10">
        <f>HYPERLINK("http://www.lingerieopt.ru/images/original/390a8955-a2b2-4696-aa73-4b88bf512503.jpg","Фото")</f>
      </c>
    </row>
    <row r="5990">
      <c r="A5990" s="7">
        <f>HYPERLINK("http://www.lingerieopt.ru/item/10433-korotenkaya-prozrachnaya-sorochka-mia-plus-size-na-tonkih-bretelyah/","10433")</f>
      </c>
      <c r="B5990" s="8" t="s">
        <v>5746</v>
      </c>
      <c r="C5990" s="9">
        <v>1032</v>
      </c>
      <c r="D5990" s="0">
        <v>3</v>
      </c>
      <c r="E5990" s="10">
        <f>HYPERLINK("http://www.lingerieopt.ru/images/original/3d21efff-032d-4bfa-a915-8bc224356925.jpg","Фото")</f>
      </c>
    </row>
    <row r="5991">
      <c r="A5991" s="7">
        <f>HYPERLINK("http://www.lingerieopt.ru/item/10433-korotenkaya-prozrachnaya-sorochka-mia-plus-size-na-tonkih-bretelyah/","10433")</f>
      </c>
      <c r="B5991" s="8" t="s">
        <v>5747</v>
      </c>
      <c r="C5991" s="9">
        <v>1032</v>
      </c>
      <c r="D5991" s="0">
        <v>2</v>
      </c>
      <c r="E5991" s="10">
        <f>HYPERLINK("http://www.lingerieopt.ru/images/original/3d21efff-032d-4bfa-a915-8bc224356925.jpg","Фото")</f>
      </c>
    </row>
    <row r="5992">
      <c r="A5992" s="7">
        <f>HYPERLINK("http://www.lingerieopt.ru/item/10436-konturnaya-sorochka-selma-iz-lent-i-oborok/","10436")</f>
      </c>
      <c r="B5992" s="8" t="s">
        <v>5748</v>
      </c>
      <c r="C5992" s="9">
        <v>1228</v>
      </c>
      <c r="D5992" s="0">
        <v>5</v>
      </c>
      <c r="E5992" s="10">
        <f>HYPERLINK("http://www.lingerieopt.ru/images/original/749016c3-b317-4639-bbea-3d79ee026886.jpg","Фото")</f>
      </c>
    </row>
    <row r="5993">
      <c r="A5993" s="7">
        <f>HYPERLINK("http://www.lingerieopt.ru/item/10436-konturnaya-sorochka-selma-iz-lent-i-oborok/","10436")</f>
      </c>
      <c r="B5993" s="8" t="s">
        <v>5749</v>
      </c>
      <c r="C5993" s="9">
        <v>1228</v>
      </c>
      <c r="D5993" s="0">
        <v>6</v>
      </c>
      <c r="E5993" s="10">
        <f>HYPERLINK("http://www.lingerieopt.ru/images/original/749016c3-b317-4639-bbea-3d79ee026886.jpg","Фото")</f>
      </c>
    </row>
    <row r="5994">
      <c r="A5994" s="7">
        <f>HYPERLINK("http://www.lingerieopt.ru/item/10438-korotkaya-sorochka-julia/","10438")</f>
      </c>
      <c r="B5994" s="8" t="s">
        <v>5750</v>
      </c>
      <c r="C5994" s="9">
        <v>1451</v>
      </c>
      <c r="D5994" s="0">
        <v>0</v>
      </c>
      <c r="E5994" s="10">
        <f>HYPERLINK("http://www.lingerieopt.ru/images/original/d5caafa0-359f-4a33-9670-fccf36755dbf.jpg","Фото")</f>
      </c>
    </row>
    <row r="5995">
      <c r="A5995" s="7">
        <f>HYPERLINK("http://www.lingerieopt.ru/item/10438-korotkaya-sorochka-julia/","10438")</f>
      </c>
      <c r="B5995" s="8" t="s">
        <v>5751</v>
      </c>
      <c r="C5995" s="9">
        <v>1451</v>
      </c>
      <c r="D5995" s="0">
        <v>4</v>
      </c>
      <c r="E5995" s="10">
        <f>HYPERLINK("http://www.lingerieopt.ru/images/original/d5caafa0-359f-4a33-9670-fccf36755dbf.jpg","Фото")</f>
      </c>
    </row>
    <row r="5996">
      <c r="A5996" s="7">
        <f>HYPERLINK("http://www.lingerieopt.ru/item/10439-oblegayuschaya-poluprozrachnaya-sorochka-palmira/","10439")</f>
      </c>
      <c r="B5996" s="8" t="s">
        <v>5752</v>
      </c>
      <c r="C5996" s="9">
        <v>780</v>
      </c>
      <c r="D5996" s="0">
        <v>2</v>
      </c>
      <c r="E5996" s="10">
        <f>HYPERLINK("http://www.lingerieopt.ru/images/original/59342b52-9b30-4c3d-8e2d-3db33f030ef1.jpg","Фото")</f>
      </c>
    </row>
    <row r="5997">
      <c r="A5997" s="7">
        <f>HYPERLINK("http://www.lingerieopt.ru/item/10439-oblegayuschaya-poluprozrachnaya-sorochka-palmira/","10439")</f>
      </c>
      <c r="B5997" s="8" t="s">
        <v>5753</v>
      </c>
      <c r="C5997" s="9">
        <v>780</v>
      </c>
      <c r="D5997" s="0">
        <v>2</v>
      </c>
      <c r="E5997" s="10">
        <f>HYPERLINK("http://www.lingerieopt.ru/images/original/59342b52-9b30-4c3d-8e2d-3db33f030ef1.jpg","Фото")</f>
      </c>
    </row>
    <row r="5998">
      <c r="A5998" s="7">
        <f>HYPERLINK("http://www.lingerieopt.ru/item/10439-oblegayuschaya-poluprozrachnaya-sorochka-palmira/","10439")</f>
      </c>
      <c r="B5998" s="8" t="s">
        <v>5754</v>
      </c>
      <c r="C5998" s="9">
        <v>780</v>
      </c>
      <c r="D5998" s="0">
        <v>1</v>
      </c>
      <c r="E5998" s="10">
        <f>HYPERLINK("http://www.lingerieopt.ru/images/original/59342b52-9b30-4c3d-8e2d-3db33f030ef1.jpg","Фото")</f>
      </c>
    </row>
    <row r="5999">
      <c r="A5999" s="7">
        <f>HYPERLINK("http://www.lingerieopt.ru/item/10439-oblegayuschaya-poluprozrachnaya-sorochka-palmira/","10439")</f>
      </c>
      <c r="B5999" s="8" t="s">
        <v>5755</v>
      </c>
      <c r="C5999" s="9">
        <v>780</v>
      </c>
      <c r="D5999" s="0">
        <v>0</v>
      </c>
      <c r="E5999" s="10">
        <f>HYPERLINK("http://www.lingerieopt.ru/images/original/59342b52-9b30-4c3d-8e2d-3db33f030ef1.jpg","Фото")</f>
      </c>
    </row>
    <row r="6000">
      <c r="A6000" s="7">
        <f>HYPERLINK("http://www.lingerieopt.ru/item/10439-oblegayuschaya-poluprozrachnaya-sorochka-palmira/","10439")</f>
      </c>
      <c r="B6000" s="8" t="s">
        <v>5756</v>
      </c>
      <c r="C6000" s="9">
        <v>780</v>
      </c>
      <c r="D6000" s="0">
        <v>0</v>
      </c>
      <c r="E6000" s="10">
        <f>HYPERLINK("http://www.lingerieopt.ru/images/original/59342b52-9b30-4c3d-8e2d-3db33f030ef1.jpg","Фото")</f>
      </c>
    </row>
    <row r="6001">
      <c r="A6001" s="7">
        <f>HYPERLINK("http://www.lingerieopt.ru/item/10455-ukorochennaya-sorochka-mila-s-kruzhevnjm-lifom/","10455")</f>
      </c>
      <c r="B6001" s="8" t="s">
        <v>5757</v>
      </c>
      <c r="C6001" s="9">
        <v>1252</v>
      </c>
      <c r="D6001" s="0">
        <v>0</v>
      </c>
      <c r="E6001" s="10">
        <f>HYPERLINK("http://www.lingerieopt.ru/images/original/3031f852-57d9-4b43-8274-7cfbf055aa06.jpg","Фото")</f>
      </c>
    </row>
    <row r="6002">
      <c r="A6002" s="7">
        <f>HYPERLINK("http://www.lingerieopt.ru/item/10455-ukorochennaya-sorochka-mila-s-kruzhevnjm-lifom/","10455")</f>
      </c>
      <c r="B6002" s="8" t="s">
        <v>5758</v>
      </c>
      <c r="C6002" s="9">
        <v>1252</v>
      </c>
      <c r="D6002" s="0">
        <v>0</v>
      </c>
      <c r="E6002" s="10">
        <f>HYPERLINK("http://www.lingerieopt.ru/images/original/3031f852-57d9-4b43-8274-7cfbf055aa06.jpg","Фото")</f>
      </c>
    </row>
    <row r="6003">
      <c r="A6003" s="7">
        <f>HYPERLINK("http://www.lingerieopt.ru/item/10455-ukorochennaya-sorochka-mila-s-kruzhevnjm-lifom/","10455")</f>
      </c>
      <c r="B6003" s="8" t="s">
        <v>5759</v>
      </c>
      <c r="C6003" s="9">
        <v>1252</v>
      </c>
      <c r="D6003" s="0">
        <v>0</v>
      </c>
      <c r="E6003" s="10">
        <f>HYPERLINK("http://www.lingerieopt.ru/images/original/3031f852-57d9-4b43-8274-7cfbf055aa06.jpg","Фото")</f>
      </c>
    </row>
    <row r="6004">
      <c r="A6004" s="7">
        <f>HYPERLINK("http://www.lingerieopt.ru/item/10455-ukorochennaya-sorochka-mila-s-kruzhevnjm-lifom/","10455")</f>
      </c>
      <c r="B6004" s="8" t="s">
        <v>5760</v>
      </c>
      <c r="C6004" s="9">
        <v>1252</v>
      </c>
      <c r="D6004" s="0">
        <v>2</v>
      </c>
      <c r="E6004" s="10">
        <f>HYPERLINK("http://www.lingerieopt.ru/images/original/3031f852-57d9-4b43-8274-7cfbf055aa06.jpg","Фото")</f>
      </c>
    </row>
    <row r="6005">
      <c r="A6005" s="7">
        <f>HYPERLINK("http://www.lingerieopt.ru/item/10455-ukorochennaya-sorochka-mila-s-kruzhevnjm-lifom/","10455")</f>
      </c>
      <c r="B6005" s="8" t="s">
        <v>5761</v>
      </c>
      <c r="C6005" s="9">
        <v>1252</v>
      </c>
      <c r="D6005" s="0">
        <v>0</v>
      </c>
      <c r="E6005" s="10">
        <f>HYPERLINK("http://www.lingerieopt.ru/images/original/3031f852-57d9-4b43-8274-7cfbf055aa06.jpg","Фото")</f>
      </c>
    </row>
    <row r="6006">
      <c r="A6006" s="7">
        <f>HYPERLINK("http://www.lingerieopt.ru/item/10456-ukorochennaya-sorochka-mila-plus-size-s-kruzhevnjm-lifom/","10456")</f>
      </c>
      <c r="B6006" s="8" t="s">
        <v>5762</v>
      </c>
      <c r="C6006" s="9">
        <v>1252</v>
      </c>
      <c r="D6006" s="0">
        <v>0</v>
      </c>
      <c r="E6006" s="10">
        <f>HYPERLINK("http://www.lingerieopt.ru/images/original/68baa5a5-a538-463b-8387-a81e33f937e9.jpg","Фото")</f>
      </c>
    </row>
    <row r="6007">
      <c r="A6007" s="7">
        <f>HYPERLINK("http://www.lingerieopt.ru/item/10456-ukorochennaya-sorochka-mila-plus-size-s-kruzhevnjm-lifom/","10456")</f>
      </c>
      <c r="B6007" s="8" t="s">
        <v>5763</v>
      </c>
      <c r="C6007" s="9">
        <v>1252</v>
      </c>
      <c r="D6007" s="0">
        <v>0</v>
      </c>
      <c r="E6007" s="10">
        <f>HYPERLINK("http://www.lingerieopt.ru/images/original/68baa5a5-a538-463b-8387-a81e33f937e9.jpg","Фото")</f>
      </c>
    </row>
    <row r="6008">
      <c r="A6008" s="7">
        <f>HYPERLINK("http://www.lingerieopt.ru/item/10456-ukorochennaya-sorochka-mila-plus-size-s-kruzhevnjm-lifom/","10456")</f>
      </c>
      <c r="B6008" s="8" t="s">
        <v>5764</v>
      </c>
      <c r="C6008" s="9">
        <v>1252</v>
      </c>
      <c r="D6008" s="0">
        <v>1</v>
      </c>
      <c r="E6008" s="10">
        <f>HYPERLINK("http://www.lingerieopt.ru/images/original/68baa5a5-a538-463b-8387-a81e33f937e9.jpg","Фото")</f>
      </c>
    </row>
    <row r="6009">
      <c r="A6009" s="7">
        <f>HYPERLINK("http://www.lingerieopt.ru/item/10465-yarkaya-sorochka-bebi-doll-plus-size-s-izjskannjm-cvetochnjm-kruzhevom/","10465")</f>
      </c>
      <c r="B6009" s="8" t="s">
        <v>5765</v>
      </c>
      <c r="C6009" s="9">
        <v>1870</v>
      </c>
      <c r="D6009" s="0">
        <v>10</v>
      </c>
      <c r="E6009" s="10">
        <f>HYPERLINK("http://www.lingerieopt.ru/images/original/177ee25e-8549-4635-b88d-db3e7cc97a26.jpg","Фото")</f>
      </c>
    </row>
    <row r="6010">
      <c r="A6010" s="7">
        <f>HYPERLINK("http://www.lingerieopt.ru/item/10491-originalnji-poluprozrachnji-penyuar-izmira-s-kapyushonom/","10491")</f>
      </c>
      <c r="B6010" s="8" t="s">
        <v>5766</v>
      </c>
      <c r="C6010" s="9">
        <v>2772</v>
      </c>
      <c r="D6010" s="0">
        <v>7</v>
      </c>
      <c r="E6010" s="10">
        <f>HYPERLINK("http://www.lingerieopt.ru/images/original/123f361a-6c4c-4547-aafa-9d5eeff80d83.jpg","Фото")</f>
      </c>
    </row>
    <row r="6011">
      <c r="A6011" s="7">
        <f>HYPERLINK("http://www.lingerieopt.ru/item/10491-originalnji-poluprozrachnji-penyuar-izmira-s-kapyushonom/","10491")</f>
      </c>
      <c r="B6011" s="8" t="s">
        <v>5767</v>
      </c>
      <c r="C6011" s="9">
        <v>2772</v>
      </c>
      <c r="D6011" s="0">
        <v>3</v>
      </c>
      <c r="E6011" s="10">
        <f>HYPERLINK("http://www.lingerieopt.ru/images/original/123f361a-6c4c-4547-aafa-9d5eeff80d83.jpg","Фото")</f>
      </c>
    </row>
    <row r="6012">
      <c r="A6012" s="7">
        <f>HYPERLINK("http://www.lingerieopt.ru/item/10494-poluprozrachnaya-sorochka-renee-s-kruzhevnoi-otdelkoi/","10494")</f>
      </c>
      <c r="B6012" s="8" t="s">
        <v>5768</v>
      </c>
      <c r="C6012" s="9">
        <v>1603</v>
      </c>
      <c r="D6012" s="0">
        <v>4</v>
      </c>
      <c r="E6012" s="10">
        <f>HYPERLINK("http://www.lingerieopt.ru/images/original/063f9eb0-6879-468b-893f-b51e6b9bb788.jpg","Фото")</f>
      </c>
    </row>
    <row r="6013">
      <c r="A6013" s="7">
        <f>HYPERLINK("http://www.lingerieopt.ru/item/10494-poluprozrachnaya-sorochka-renee-s-kruzhevnoi-otdelkoi/","10494")</f>
      </c>
      <c r="B6013" s="8" t="s">
        <v>5769</v>
      </c>
      <c r="C6013" s="9">
        <v>1603</v>
      </c>
      <c r="D6013" s="0">
        <v>9</v>
      </c>
      <c r="E6013" s="10">
        <f>HYPERLINK("http://www.lingerieopt.ru/images/original/063f9eb0-6879-468b-893f-b51e6b9bb788.jpg","Фото")</f>
      </c>
    </row>
    <row r="6014">
      <c r="A6014" s="7">
        <f>HYPERLINK("http://www.lingerieopt.ru/item/10496-sorochka-severine-s-v-obraznjm-vjrezom/","10496")</f>
      </c>
      <c r="B6014" s="8" t="s">
        <v>5770</v>
      </c>
      <c r="C6014" s="9">
        <v>1603</v>
      </c>
      <c r="D6014" s="0">
        <v>12</v>
      </c>
      <c r="E6014" s="10">
        <f>HYPERLINK("http://www.lingerieopt.ru/images/original/6d85aa15-e38b-48bd-868b-63401249629e.jpg","Фото")</f>
      </c>
    </row>
    <row r="6015">
      <c r="A6015" s="7">
        <f>HYPERLINK("http://www.lingerieopt.ru/item/10496-sorochka-severine-s-v-obraznjm-vjrezom/","10496")</f>
      </c>
      <c r="B6015" s="8" t="s">
        <v>5771</v>
      </c>
      <c r="C6015" s="9">
        <v>1603</v>
      </c>
      <c r="D6015" s="0">
        <v>2</v>
      </c>
      <c r="E6015" s="10">
        <f>HYPERLINK("http://www.lingerieopt.ru/images/original/6d85aa15-e38b-48bd-868b-63401249629e.jpg","Фото")</f>
      </c>
    </row>
    <row r="6016">
      <c r="A6016" s="7">
        <f>HYPERLINK("http://www.lingerieopt.ru/item/10499-sorochka-truba-sibille-iz-shirokih-kruzhevnjh-lent/","10499")</f>
      </c>
      <c r="B6016" s="8" t="s">
        <v>5772</v>
      </c>
      <c r="C6016" s="9">
        <v>1275</v>
      </c>
      <c r="D6016" s="0">
        <v>3</v>
      </c>
      <c r="E6016" s="10">
        <f>HYPERLINK("http://www.lingerieopt.ru/images/original/81077dbc-d892-4889-a737-6578da381bcd.jpg","Фото")</f>
      </c>
    </row>
    <row r="6017">
      <c r="A6017" s="7">
        <f>HYPERLINK("http://www.lingerieopt.ru/item/10499-sorochka-truba-sibille-iz-shirokih-kruzhevnjh-lent/","10499")</f>
      </c>
      <c r="B6017" s="8" t="s">
        <v>5773</v>
      </c>
      <c r="C6017" s="9">
        <v>1275</v>
      </c>
      <c r="D6017" s="0">
        <v>3</v>
      </c>
      <c r="E6017" s="10">
        <f>HYPERLINK("http://www.lingerieopt.ru/images/original/81077dbc-d892-4889-a737-6578da381bcd.jpg","Фото")</f>
      </c>
    </row>
    <row r="6018">
      <c r="A6018" s="7">
        <f>HYPERLINK("http://www.lingerieopt.ru/item/10511-kruzhevnoi-penyuar-genevieve-fasona-letuchaya-mjsh/","10511")</f>
      </c>
      <c r="B6018" s="8" t="s">
        <v>5774</v>
      </c>
      <c r="C6018" s="9">
        <v>2036</v>
      </c>
      <c r="D6018" s="0">
        <v>1</v>
      </c>
      <c r="E6018" s="10">
        <f>HYPERLINK("http://www.lingerieopt.ru/images/original/6035e405-5821-4042-8fb5-5de8bc6d8599.jpg","Фото")</f>
      </c>
    </row>
    <row r="6019">
      <c r="A6019" s="7">
        <f>HYPERLINK("http://www.lingerieopt.ru/item/10514-chuvstvennaya-sorochka-mystique-s-razrezami/","10514")</f>
      </c>
      <c r="B6019" s="8" t="s">
        <v>5775</v>
      </c>
      <c r="C6019" s="9">
        <v>1217</v>
      </c>
      <c r="D6019" s="0">
        <v>3</v>
      </c>
      <c r="E6019" s="10">
        <f>HYPERLINK("http://www.lingerieopt.ru/images/original/1d0aa1d3-698b-4bc8-a9f8-335e9f6d58c5.jpg","Фото")</f>
      </c>
    </row>
    <row r="6020">
      <c r="A6020" s="7">
        <f>HYPERLINK("http://www.lingerieopt.ru/item/10514-chuvstvennaya-sorochka-mystique-s-razrezami/","10514")</f>
      </c>
      <c r="B6020" s="8" t="s">
        <v>5776</v>
      </c>
      <c r="C6020" s="9">
        <v>1217</v>
      </c>
      <c r="D6020" s="0">
        <v>6</v>
      </c>
      <c r="E6020" s="10">
        <f>HYPERLINK("http://www.lingerieopt.ru/images/original/1d0aa1d3-698b-4bc8-a9f8-335e9f6d58c5.jpg","Фото")</f>
      </c>
    </row>
    <row r="6021">
      <c r="A6021" s="7">
        <f>HYPERLINK("http://www.lingerieopt.ru/item/10515-kruzhevnoi-penyuar-genevieve-fasona-letuchaya-mjsh/","10515")</f>
      </c>
      <c r="B6021" s="8" t="s">
        <v>5777</v>
      </c>
      <c r="C6021" s="9">
        <v>2036</v>
      </c>
      <c r="D6021" s="0">
        <v>8</v>
      </c>
      <c r="E6021" s="10">
        <f>HYPERLINK("http://www.lingerieopt.ru/images/original/3935ed61-e314-4a66-a34a-45353791ded2.jpg","Фото")</f>
      </c>
    </row>
    <row r="6022">
      <c r="A6022" s="7">
        <f>HYPERLINK("http://www.lingerieopt.ru/item/10517-kruzhevnoi-penyuar-paulette-s-dlinnjmi-rukavami/","10517")</f>
      </c>
      <c r="B6022" s="8" t="s">
        <v>5778</v>
      </c>
      <c r="C6022" s="9">
        <v>1760</v>
      </c>
      <c r="D6022" s="0">
        <v>1</v>
      </c>
      <c r="E6022" s="10">
        <f>HYPERLINK("http://www.lingerieopt.ru/images/original/1848f02a-ba48-4278-836e-8204fe8269bb.jpg","Фото")</f>
      </c>
    </row>
    <row r="6023">
      <c r="A6023" s="7">
        <f>HYPERLINK("http://www.lingerieopt.ru/item/10517-kruzhevnoi-penyuar-paulette-s-dlinnjmi-rukavami/","10517")</f>
      </c>
      <c r="B6023" s="8" t="s">
        <v>5779</v>
      </c>
      <c r="C6023" s="9">
        <v>1760</v>
      </c>
      <c r="D6023" s="0">
        <v>0</v>
      </c>
      <c r="E6023" s="10">
        <f>HYPERLINK("http://www.lingerieopt.ru/images/original/1848f02a-ba48-4278-836e-8204fe8269bb.jpg","Фото")</f>
      </c>
    </row>
    <row r="6024">
      <c r="A6024" s="7">
        <f>HYPERLINK("http://www.lingerieopt.ru/item/10517-kruzhevnoi-penyuar-paulette-s-dlinnjmi-rukavami/","10517")</f>
      </c>
      <c r="B6024" s="8" t="s">
        <v>5780</v>
      </c>
      <c r="C6024" s="9">
        <v>1760</v>
      </c>
      <c r="D6024" s="0">
        <v>0</v>
      </c>
      <c r="E6024" s="10">
        <f>HYPERLINK("http://www.lingerieopt.ru/images/original/1848f02a-ba48-4278-836e-8204fe8269bb.jpg","Фото")</f>
      </c>
    </row>
    <row r="6025">
      <c r="A6025" s="7">
        <f>HYPERLINK("http://www.lingerieopt.ru/item/10520-roskoshnaya-sorochka-peyton-iz-nezhnogo-kruzheva/","10520")</f>
      </c>
      <c r="B6025" s="8" t="s">
        <v>5781</v>
      </c>
      <c r="C6025" s="9">
        <v>1708</v>
      </c>
      <c r="D6025" s="0">
        <v>9</v>
      </c>
      <c r="E6025" s="10">
        <f>HYPERLINK("http://www.lingerieopt.ru/images/original/2505bdfb-b5f2-4c16-9602-7a4f7d5d2ed5.jpg","Фото")</f>
      </c>
    </row>
    <row r="6026">
      <c r="A6026" s="7">
        <f>HYPERLINK("http://www.lingerieopt.ru/item/10520-roskoshnaya-sorochka-peyton-iz-nezhnogo-kruzheva/","10520")</f>
      </c>
      <c r="B6026" s="8" t="s">
        <v>5782</v>
      </c>
      <c r="C6026" s="9">
        <v>1708</v>
      </c>
      <c r="D6026" s="0">
        <v>5</v>
      </c>
      <c r="E6026" s="10">
        <f>HYPERLINK("http://www.lingerieopt.ru/images/original/2505bdfb-b5f2-4c16-9602-7a4f7d5d2ed5.jpg","Фото")</f>
      </c>
    </row>
    <row r="6027">
      <c r="A6027" s="7">
        <f>HYPERLINK("http://www.lingerieopt.ru/item/10520-roskoshnaya-sorochka-peyton-iz-nezhnogo-kruzheva/","10520")</f>
      </c>
      <c r="B6027" s="8" t="s">
        <v>5783</v>
      </c>
      <c r="C6027" s="9">
        <v>1708</v>
      </c>
      <c r="D6027" s="0">
        <v>13</v>
      </c>
      <c r="E6027" s="10">
        <f>HYPERLINK("http://www.lingerieopt.ru/images/original/2505bdfb-b5f2-4c16-9602-7a4f7d5d2ed5.jpg","Фото")</f>
      </c>
    </row>
    <row r="6028">
      <c r="A6028" s="7">
        <f>HYPERLINK("http://www.lingerieopt.ru/item/10520-roskoshnaya-sorochka-peyton-iz-nezhnogo-kruzheva/","10520")</f>
      </c>
      <c r="B6028" s="8" t="s">
        <v>5784</v>
      </c>
      <c r="C6028" s="9">
        <v>1708</v>
      </c>
      <c r="D6028" s="0">
        <v>11</v>
      </c>
      <c r="E6028" s="10">
        <f>HYPERLINK("http://www.lingerieopt.ru/images/original/2505bdfb-b5f2-4c16-9602-7a4f7d5d2ed5.jpg","Фото")</f>
      </c>
    </row>
    <row r="6029">
      <c r="A6029" s="7">
        <f>HYPERLINK("http://www.lingerieopt.ru/item/10521-roskoshnaya-sorochka-haya-s-vjdelennjm-lifom/","10521")</f>
      </c>
      <c r="B6029" s="8" t="s">
        <v>5785</v>
      </c>
      <c r="C6029" s="9">
        <v>1955</v>
      </c>
      <c r="D6029" s="0">
        <v>5</v>
      </c>
      <c r="E6029" s="10">
        <f>HYPERLINK("http://www.lingerieopt.ru/images/original/6066b4ca-116d-4c5d-ad21-30da6ed2b91d.jpg","Фото")</f>
      </c>
    </row>
    <row r="6030">
      <c r="A6030" s="7">
        <f>HYPERLINK("http://www.lingerieopt.ru/item/10521-roskoshnaya-sorochka-haya-s-vjdelennjm-lifom/","10521")</f>
      </c>
      <c r="B6030" s="8" t="s">
        <v>5786</v>
      </c>
      <c r="C6030" s="9">
        <v>1955</v>
      </c>
      <c r="D6030" s="0">
        <v>10</v>
      </c>
      <c r="E6030" s="10">
        <f>HYPERLINK("http://www.lingerieopt.ru/images/original/6066b4ca-116d-4c5d-ad21-30da6ed2b91d.jpg","Фото")</f>
      </c>
    </row>
    <row r="6031">
      <c r="A6031" s="7">
        <f>HYPERLINK("http://www.lingerieopt.ru/item/10522-roskoshnaya-sorochka-haya-plus-size-s-vjdelennjm-lifom/","10522")</f>
      </c>
      <c r="B6031" s="8" t="s">
        <v>5787</v>
      </c>
      <c r="C6031" s="9">
        <v>1955</v>
      </c>
      <c r="D6031" s="0">
        <v>5</v>
      </c>
      <c r="E6031" s="10">
        <f>HYPERLINK("http://www.lingerieopt.ru/images/original/6efbecf5-01b8-429b-a7db-34b022d3bdb5.jpg","Фото")</f>
      </c>
    </row>
    <row r="6032">
      <c r="A6032" s="7">
        <f>HYPERLINK("http://www.lingerieopt.ru/item/10523-oblegayuschaya-sorochka-loraine-s-nezhnjm-kruzhevom-i-razrezami/","10523")</f>
      </c>
      <c r="B6032" s="8" t="s">
        <v>5788</v>
      </c>
      <c r="C6032" s="9">
        <v>2093</v>
      </c>
      <c r="D6032" s="0">
        <v>3</v>
      </c>
      <c r="E6032" s="10">
        <f>HYPERLINK("http://www.lingerieopt.ru/images/original/7ff468ce-3532-4b61-91d8-acdebdb83b54.jpg","Фото")</f>
      </c>
    </row>
    <row r="6033">
      <c r="A6033" s="7">
        <f>HYPERLINK("http://www.lingerieopt.ru/item/10523-oblegayuschaya-sorochka-loraine-s-nezhnjm-kruzhevom-i-razrezami/","10523")</f>
      </c>
      <c r="B6033" s="8" t="s">
        <v>5789</v>
      </c>
      <c r="C6033" s="9">
        <v>2093</v>
      </c>
      <c r="D6033" s="0">
        <v>2</v>
      </c>
      <c r="E6033" s="10">
        <f>HYPERLINK("http://www.lingerieopt.ru/images/original/7ff468ce-3532-4b61-91d8-acdebdb83b54.jpg","Фото")</f>
      </c>
    </row>
    <row r="6034">
      <c r="A6034" s="7">
        <f>HYPERLINK("http://www.lingerieopt.ru/item/10525-soblaznitelnaya-sorochka-lotus-s-kruzhevami-na-life/","10525")</f>
      </c>
      <c r="B6034" s="8" t="s">
        <v>5790</v>
      </c>
      <c r="C6034" s="9">
        <v>1886</v>
      </c>
      <c r="D6034" s="0">
        <v>3</v>
      </c>
      <c r="E6034" s="10">
        <f>HYPERLINK("http://www.lingerieopt.ru/images/original/004ceeed-8eb3-4d8c-bd8e-acabb309d42c.jpg","Фото")</f>
      </c>
    </row>
    <row r="6035">
      <c r="A6035" s="7">
        <f>HYPERLINK("http://www.lingerieopt.ru/item/10525-soblaznitelnaya-sorochka-lotus-s-kruzhevami-na-life/","10525")</f>
      </c>
      <c r="B6035" s="8" t="s">
        <v>5791</v>
      </c>
      <c r="C6035" s="9">
        <v>1886</v>
      </c>
      <c r="D6035" s="0">
        <v>7</v>
      </c>
      <c r="E6035" s="10">
        <f>HYPERLINK("http://www.lingerieopt.ru/images/original/004ceeed-8eb3-4d8c-bd8e-acabb309d42c.jpg","Фото")</f>
      </c>
    </row>
    <row r="6036">
      <c r="A6036" s="7">
        <f>HYPERLINK("http://www.lingerieopt.ru/item/10525-soblaznitelnaya-sorochka-lotus-s-kruzhevami-na-life/","10525")</f>
      </c>
      <c r="B6036" s="8" t="s">
        <v>5792</v>
      </c>
      <c r="C6036" s="9">
        <v>1886</v>
      </c>
      <c r="D6036" s="0">
        <v>4</v>
      </c>
      <c r="E6036" s="10">
        <f>HYPERLINK("http://www.lingerieopt.ru/images/original/004ceeed-8eb3-4d8c-bd8e-acabb309d42c.jpg","Фото")</f>
      </c>
    </row>
    <row r="6037">
      <c r="A6037" s="7">
        <f>HYPERLINK("http://www.lingerieopt.ru/item/10525-soblaznitelnaya-sorochka-lotus-s-kruzhevami-na-life/","10525")</f>
      </c>
      <c r="B6037" s="8" t="s">
        <v>5793</v>
      </c>
      <c r="C6037" s="9">
        <v>1886</v>
      </c>
      <c r="D6037" s="0">
        <v>6</v>
      </c>
      <c r="E6037" s="10">
        <f>HYPERLINK("http://www.lingerieopt.ru/images/original/004ceeed-8eb3-4d8c-bd8e-acabb309d42c.jpg","Фото")</f>
      </c>
    </row>
    <row r="6038">
      <c r="A6038" s="7">
        <f>HYPERLINK("http://www.lingerieopt.ru/item/10526-soblaznitelnaya-sorochka-lotus-plus-size-s-kruzhevami-na-life/","10526")</f>
      </c>
      <c r="B6038" s="8" t="s">
        <v>5794</v>
      </c>
      <c r="C6038" s="9">
        <v>1886</v>
      </c>
      <c r="D6038" s="0">
        <v>3</v>
      </c>
      <c r="E6038" s="10">
        <f>HYPERLINK("http://www.lingerieopt.ru/images/original/c4c3ebeb-3191-430f-a0b4-1924e725c49b.jpg","Фото")</f>
      </c>
    </row>
    <row r="6039">
      <c r="A6039" s="7">
        <f>HYPERLINK("http://www.lingerieopt.ru/item/10526-soblaznitelnaya-sorochka-lotus-plus-size-s-kruzhevami-na-life/","10526")</f>
      </c>
      <c r="B6039" s="8" t="s">
        <v>5795</v>
      </c>
      <c r="C6039" s="9">
        <v>1886</v>
      </c>
      <c r="D6039" s="0">
        <v>2</v>
      </c>
      <c r="E6039" s="10">
        <f>HYPERLINK("http://www.lingerieopt.ru/images/original/c4c3ebeb-3191-430f-a0b4-1924e725c49b.jpg","Фото")</f>
      </c>
    </row>
    <row r="6040">
      <c r="A6040" s="7">
        <f>HYPERLINK("http://www.lingerieopt.ru/item/10527-igrivaya-sorochka-bebi-doll-merry-so-shnurovkami-na-life/","10527")</f>
      </c>
      <c r="B6040" s="8" t="s">
        <v>5796</v>
      </c>
      <c r="C6040" s="9">
        <v>1886</v>
      </c>
      <c r="D6040" s="0">
        <v>6</v>
      </c>
      <c r="E6040" s="10">
        <f>HYPERLINK("http://www.lingerieopt.ru/images/original/68dccbb0-5a2e-4348-a593-fbac7b0aee81.jpg","Фото")</f>
      </c>
    </row>
    <row r="6041">
      <c r="A6041" s="7">
        <f>HYPERLINK("http://www.lingerieopt.ru/item/10527-igrivaya-sorochka-bebi-doll-merry-so-shnurovkami-na-life/","10527")</f>
      </c>
      <c r="B6041" s="8" t="s">
        <v>5797</v>
      </c>
      <c r="C6041" s="9">
        <v>1886</v>
      </c>
      <c r="D6041" s="0">
        <v>5</v>
      </c>
      <c r="E6041" s="10">
        <f>HYPERLINK("http://www.lingerieopt.ru/images/original/68dccbb0-5a2e-4348-a593-fbac7b0aee81.jpg","Фото")</f>
      </c>
    </row>
    <row r="6042">
      <c r="A6042" s="7">
        <f>HYPERLINK("http://www.lingerieopt.ru/item/10528-sorochka-montana-plus-size-s-setchatjmi-vstavkami/","10528")</f>
      </c>
      <c r="B6042" s="8" t="s">
        <v>5798</v>
      </c>
      <c r="C6042" s="9">
        <v>1978</v>
      </c>
      <c r="D6042" s="0">
        <v>2</v>
      </c>
      <c r="E6042" s="10">
        <f>HYPERLINK("http://www.lingerieopt.ru/images/original/a03941aa-27bf-4115-afd4-81036a7103c2.jpg","Фото")</f>
      </c>
    </row>
    <row r="6043">
      <c r="A6043" s="7">
        <f>HYPERLINK("http://www.lingerieopt.ru/item/10529-oblegayuschaya-sorochka-petra-s-vstavkami-iz-poluprozrachnogo-materiala/","10529")</f>
      </c>
      <c r="B6043" s="8" t="s">
        <v>5799</v>
      </c>
      <c r="C6043" s="9">
        <v>1782</v>
      </c>
      <c r="D6043" s="0">
        <v>6</v>
      </c>
      <c r="E6043" s="10">
        <f>HYPERLINK("http://www.lingerieopt.ru/images/original/be4c3a4e-9e19-4d97-9316-511e2778858a.jpg","Фото")</f>
      </c>
    </row>
    <row r="6044">
      <c r="A6044" s="7">
        <f>HYPERLINK("http://www.lingerieopt.ru/item/10529-oblegayuschaya-sorochka-petra-s-vstavkami-iz-poluprozrachnogo-materiala/","10529")</f>
      </c>
      <c r="B6044" s="8" t="s">
        <v>5800</v>
      </c>
      <c r="C6044" s="9">
        <v>1782</v>
      </c>
      <c r="D6044" s="0">
        <v>6</v>
      </c>
      <c r="E6044" s="10">
        <f>HYPERLINK("http://www.lingerieopt.ru/images/original/be4c3a4e-9e19-4d97-9316-511e2778858a.jpg","Фото")</f>
      </c>
    </row>
    <row r="6045">
      <c r="A6045" s="7">
        <f>HYPERLINK("http://www.lingerieopt.ru/item/10530-oblegayuschaya-sorochka-petra-plus-size-s-vstavkami-iz-poluprozrachnogo-materiala/","10530")</f>
      </c>
      <c r="B6045" s="8" t="s">
        <v>5801</v>
      </c>
      <c r="C6045" s="9">
        <v>1782</v>
      </c>
      <c r="D6045" s="0">
        <v>3</v>
      </c>
      <c r="E6045" s="10">
        <f>HYPERLINK("http://www.lingerieopt.ru/images/original/39e968c5-9d15-4dcb-a4b4-6dea0847a01c.jpg","Фото")</f>
      </c>
    </row>
    <row r="6046">
      <c r="A6046" s="7">
        <f>HYPERLINK("http://www.lingerieopt.ru/item/10531-ultra-soblaznitelnaya-sorochka-rodos-so-shnurovkami/","10531")</f>
      </c>
      <c r="B6046" s="8" t="s">
        <v>5802</v>
      </c>
      <c r="C6046" s="9">
        <v>2082</v>
      </c>
      <c r="D6046" s="0">
        <v>3</v>
      </c>
      <c r="E6046" s="10">
        <f>HYPERLINK("http://www.lingerieopt.ru/images/original/44416cf1-366e-4da6-9fec-294534ad73e6.jpg","Фото")</f>
      </c>
    </row>
    <row r="6047">
      <c r="A6047" s="7">
        <f>HYPERLINK("http://www.lingerieopt.ru/item/10531-ultra-soblaznitelnaya-sorochka-rodos-so-shnurovkami/","10531")</f>
      </c>
      <c r="B6047" s="8" t="s">
        <v>5803</v>
      </c>
      <c r="C6047" s="9">
        <v>2082</v>
      </c>
      <c r="D6047" s="0">
        <v>4</v>
      </c>
      <c r="E6047" s="10">
        <f>HYPERLINK("http://www.lingerieopt.ru/images/original/44416cf1-366e-4da6-9fec-294534ad73e6.jpg","Фото")</f>
      </c>
    </row>
    <row r="6048">
      <c r="A6048" s="7">
        <f>HYPERLINK("http://www.lingerieopt.ru/item/10532-korotenkaya-sorochka-viola-plus-size-s-cvetochnjm-kruzhevom/","10532")</f>
      </c>
      <c r="B6048" s="8" t="s">
        <v>5804</v>
      </c>
      <c r="C6048" s="9">
        <v>1852</v>
      </c>
      <c r="D6048" s="0">
        <v>2</v>
      </c>
      <c r="E6048" s="10">
        <f>HYPERLINK("http://www.lingerieopt.ru/images/original/6cbbabd2-17db-4ee6-ac13-a2dbb8bfe05f.jpg","Фото")</f>
      </c>
    </row>
    <row r="6049">
      <c r="A6049" s="7">
        <f>HYPERLINK("http://www.lingerieopt.ru/item/10539-penyuar-lotus-plus-size-s-zavyazkami-v-oblasti-grudi/","10539")</f>
      </c>
      <c r="B6049" s="8" t="s">
        <v>5805</v>
      </c>
      <c r="C6049" s="9">
        <v>2610</v>
      </c>
      <c r="D6049" s="0">
        <v>2</v>
      </c>
      <c r="E6049" s="10">
        <f>HYPERLINK("http://www.lingerieopt.ru/images/original/5fe75caa-b010-4277-a98f-ee4b031da6ab.jpg","Фото")</f>
      </c>
    </row>
    <row r="6050">
      <c r="A6050" s="7">
        <f>HYPERLINK("http://www.lingerieopt.ru/item/10552-oblegayuschaya-sorochka-madlen-s-kruzhevami/","10552")</f>
      </c>
      <c r="B6050" s="8" t="s">
        <v>5806</v>
      </c>
      <c r="C6050" s="9">
        <v>1357</v>
      </c>
      <c r="D6050" s="0">
        <v>0</v>
      </c>
      <c r="E6050" s="10">
        <f>HYPERLINK("http://www.lingerieopt.ru/images/original/b36e572b-7913-4b42-ae30-a7a54e3afefe.jpg","Фото")</f>
      </c>
    </row>
    <row r="6051">
      <c r="A6051" s="7">
        <f>HYPERLINK("http://www.lingerieopt.ru/item/10552-oblegayuschaya-sorochka-madlen-s-kruzhevami/","10552")</f>
      </c>
      <c r="B6051" s="8" t="s">
        <v>5807</v>
      </c>
      <c r="C6051" s="9">
        <v>1357</v>
      </c>
      <c r="D6051" s="0">
        <v>6</v>
      </c>
      <c r="E6051" s="10">
        <f>HYPERLINK("http://www.lingerieopt.ru/images/original/b36e572b-7913-4b42-ae30-a7a54e3afefe.jpg","Фото")</f>
      </c>
    </row>
    <row r="6052">
      <c r="A6052" s="7">
        <f>HYPERLINK("http://www.lingerieopt.ru/item/10591-poluprozrachnaya-tyulevaya-sorochka-obsydian-plus-size/","10591")</f>
      </c>
      <c r="B6052" s="8" t="s">
        <v>5808</v>
      </c>
      <c r="C6052" s="9">
        <v>1299</v>
      </c>
      <c r="D6052" s="0">
        <v>1</v>
      </c>
      <c r="E6052" s="10">
        <f>HYPERLINK("http://www.lingerieopt.ru/images/original/a9c88dd3-8262-4efb-9c16-f0dadfb10d2b.jpg","Фото")</f>
      </c>
    </row>
    <row r="6053">
      <c r="A6053" s="7">
        <f>HYPERLINK("http://www.lingerieopt.ru/item/10592-igrivaya-sorochka-bebi-doll-merry-plus-size-so-shnurovkami-na-life/","10592")</f>
      </c>
      <c r="B6053" s="8" t="s">
        <v>5809</v>
      </c>
      <c r="C6053" s="9">
        <v>1886</v>
      </c>
      <c r="D6053" s="0">
        <v>1</v>
      </c>
      <c r="E6053" s="10">
        <f>HYPERLINK("http://www.lingerieopt.ru/images/original/98aa58ec-1ee1-4d49-8bf7-36096fff1242.jpg","Фото")</f>
      </c>
    </row>
    <row r="6054">
      <c r="A6054" s="7">
        <f>HYPERLINK("http://www.lingerieopt.ru/item/10593-ultra-soblaznitelnaya-sorochka-rodos-plus-size-so-shnurovkami/","10593")</f>
      </c>
      <c r="B6054" s="8" t="s">
        <v>5810</v>
      </c>
      <c r="C6054" s="9">
        <v>2082</v>
      </c>
      <c r="D6054" s="0">
        <v>2</v>
      </c>
      <c r="E6054" s="10">
        <f>HYPERLINK("http://www.lingerieopt.ru/images/original/96d62a36-14ab-4d13-a628-d1dfe033db03.jpg","Фото")</f>
      </c>
    </row>
    <row r="6055">
      <c r="A6055" s="7">
        <f>HYPERLINK("http://www.lingerieopt.ru/item/10594-oblegayuschaya-sorochka-s-neprozrachnjm-lifom/","10594")</f>
      </c>
      <c r="B6055" s="8" t="s">
        <v>5811</v>
      </c>
      <c r="C6055" s="9">
        <v>1468</v>
      </c>
      <c r="D6055" s="0">
        <v>4</v>
      </c>
      <c r="E6055" s="10">
        <f>HYPERLINK("http://www.lingerieopt.ru/images/original/07a944a4-84fc-4f8c-bd6e-710d1c842b79.jpg","Фото")</f>
      </c>
    </row>
    <row r="6056">
      <c r="A6056" s="7">
        <f>HYPERLINK("http://www.lingerieopt.ru/item/10594-oblegayuschaya-sorochka-s-neprozrachnjm-lifom/","10594")</f>
      </c>
      <c r="B6056" s="8" t="s">
        <v>5812</v>
      </c>
      <c r="C6056" s="9">
        <v>1468</v>
      </c>
      <c r="D6056" s="0">
        <v>8</v>
      </c>
      <c r="E6056" s="10">
        <f>HYPERLINK("http://www.lingerieopt.ru/images/original/07a944a4-84fc-4f8c-bd6e-710d1c842b79.jpg","Фото")</f>
      </c>
    </row>
    <row r="6057">
      <c r="A6057" s="7">
        <f>HYPERLINK("http://www.lingerieopt.ru/item/10632-pikantnaya-sorochka-viviane-s-otkrjtoi-grudyu/","10632")</f>
      </c>
      <c r="B6057" s="8" t="s">
        <v>5813</v>
      </c>
      <c r="C6057" s="9">
        <v>1152</v>
      </c>
      <c r="D6057" s="0">
        <v>9</v>
      </c>
      <c r="E6057" s="10">
        <f>HYPERLINK("http://www.lingerieopt.ru/images/original/f95e4219-084c-4cd6-a804-97e9f9e5cd4c.jpg","Фото")</f>
      </c>
    </row>
    <row r="6058">
      <c r="A6058" s="7">
        <f>HYPERLINK("http://www.lingerieopt.ru/item/10632-pikantnaya-sorochka-viviane-s-otkrjtoi-grudyu/","10632")</f>
      </c>
      <c r="B6058" s="8" t="s">
        <v>5814</v>
      </c>
      <c r="C6058" s="9">
        <v>1152</v>
      </c>
      <c r="D6058" s="0">
        <v>5</v>
      </c>
      <c r="E6058" s="10">
        <f>HYPERLINK("http://www.lingerieopt.ru/images/original/f95e4219-084c-4cd6-a804-97e9f9e5cd4c.jpg","Фото")</f>
      </c>
    </row>
    <row r="6059">
      <c r="A6059" s="7">
        <f>HYPERLINK("http://www.lingerieopt.ru/item/10634-korotkaya-sorochka-julia-plus-size-na-tonkih-bretelyah/","10634")</f>
      </c>
      <c r="B6059" s="8" t="s">
        <v>5815</v>
      </c>
      <c r="C6059" s="9">
        <v>1451</v>
      </c>
      <c r="D6059" s="0">
        <v>1</v>
      </c>
      <c r="E6059" s="10">
        <f>HYPERLINK("http://www.lingerieopt.ru/images/original/35a24770-9445-453b-b720-2d05bfaa4e13.jpg","Фото")</f>
      </c>
    </row>
    <row r="6060">
      <c r="A6060" s="7">
        <f>HYPERLINK("http://www.lingerieopt.ru/item/10666-pikantnaya-sorochka-viviane-plus-size-s-otkrjtoi-grudyu/","10666")</f>
      </c>
      <c r="B6060" s="8" t="s">
        <v>3693</v>
      </c>
      <c r="C6060" s="9">
        <v>1152</v>
      </c>
      <c r="D6060" s="0">
        <v>1</v>
      </c>
      <c r="E6060" s="10">
        <f>HYPERLINK("http://www.lingerieopt.ru/images/original/c5a07662-ee19-456e-81c4-9934358250db.jpg","Фото")</f>
      </c>
    </row>
    <row r="6061">
      <c r="A6061" s="7">
        <f>HYPERLINK("http://www.lingerieopt.ru/item/10710-zolotistji-penyuar-s-poyasom-goldie-i-korotkimi-shirokimi-rukavchikami/","10710")</f>
      </c>
      <c r="B6061" s="8" t="s">
        <v>5816</v>
      </c>
      <c r="C6061" s="9">
        <v>1650</v>
      </c>
      <c r="D6061" s="0">
        <v>2</v>
      </c>
      <c r="E6061" s="10">
        <f>HYPERLINK("http://www.lingerieopt.ru/images/original/b1fd900d-2101-47c8-89c1-72658afa76dd.jpg","Фото")</f>
      </c>
    </row>
    <row r="6062">
      <c r="A6062" s="7">
        <f>HYPERLINK("http://www.lingerieopt.ru/item/10710-zolotistji-penyuar-s-poyasom-goldie-i-korotkimi-shirokimi-rukavchikami/","10710")</f>
      </c>
      <c r="B6062" s="8" t="s">
        <v>5817</v>
      </c>
      <c r="C6062" s="9">
        <v>1650</v>
      </c>
      <c r="D6062" s="0">
        <v>0</v>
      </c>
      <c r="E6062" s="10">
        <f>HYPERLINK("http://www.lingerieopt.ru/images/original/b1fd900d-2101-47c8-89c1-72658afa76dd.jpg","Фото")</f>
      </c>
    </row>
    <row r="6063">
      <c r="A6063" s="7">
        <f>HYPERLINK("http://www.lingerieopt.ru/item/10721-nochnaya-sorochka-alida-s-poluotkrjtjm-lifom/","10721")</f>
      </c>
      <c r="B6063" s="8" t="s">
        <v>5818</v>
      </c>
      <c r="C6063" s="9">
        <v>2362</v>
      </c>
      <c r="D6063" s="0">
        <v>3</v>
      </c>
      <c r="E6063" s="10">
        <f>HYPERLINK("http://www.lingerieopt.ru/images/original/db83ac51-1a1b-47e0-bd09-a5a46e30c2ae.jpg","Фото")</f>
      </c>
    </row>
    <row r="6064">
      <c r="A6064" s="7">
        <f>HYPERLINK("http://www.lingerieopt.ru/item/10721-nochnaya-sorochka-alida-s-poluotkrjtjm-lifom/","10721")</f>
      </c>
      <c r="B6064" s="8" t="s">
        <v>5819</v>
      </c>
      <c r="C6064" s="9">
        <v>2362</v>
      </c>
      <c r="D6064" s="0">
        <v>4</v>
      </c>
      <c r="E6064" s="10">
        <f>HYPERLINK("http://www.lingerieopt.ru/images/original/db83ac51-1a1b-47e0-bd09-a5a46e30c2ae.jpg","Фото")</f>
      </c>
    </row>
    <row r="6065">
      <c r="A6065" s="7">
        <f>HYPERLINK("http://www.lingerieopt.ru/item/10721-nochnaya-sorochka-alida-s-poluotkrjtjm-lifom/","10721")</f>
      </c>
      <c r="B6065" s="8" t="s">
        <v>5820</v>
      </c>
      <c r="C6065" s="9">
        <v>2362</v>
      </c>
      <c r="D6065" s="0">
        <v>9</v>
      </c>
      <c r="E6065" s="10">
        <f>HYPERLINK("http://www.lingerieopt.ru/images/original/db83ac51-1a1b-47e0-bd09-a5a46e30c2ae.jpg","Фото")</f>
      </c>
    </row>
    <row r="6066">
      <c r="A6066" s="7">
        <f>HYPERLINK("http://www.lingerieopt.ru/item/10721-nochnaya-sorochka-alida-s-poluotkrjtjm-lifom/","10721")</f>
      </c>
      <c r="B6066" s="8" t="s">
        <v>5821</v>
      </c>
      <c r="C6066" s="9">
        <v>2362</v>
      </c>
      <c r="D6066" s="0">
        <v>7</v>
      </c>
      <c r="E6066" s="10">
        <f>HYPERLINK("http://www.lingerieopt.ru/images/original/db83ac51-1a1b-47e0-bd09-a5a46e30c2ae.jpg","Фото")</f>
      </c>
    </row>
    <row r="6067">
      <c r="A6067" s="7">
        <f>HYPERLINK("http://www.lingerieopt.ru/item/10721-nochnaya-sorochka-alida-s-poluotkrjtjm-lifom/","10721")</f>
      </c>
      <c r="B6067" s="8" t="s">
        <v>5822</v>
      </c>
      <c r="C6067" s="9">
        <v>2362</v>
      </c>
      <c r="D6067" s="0">
        <v>10</v>
      </c>
      <c r="E6067" s="10">
        <f>HYPERLINK("http://www.lingerieopt.ru/images/original/db83ac51-1a1b-47e0-bd09-a5a46e30c2ae.jpg","Фото")</f>
      </c>
    </row>
    <row r="6068">
      <c r="A6068" s="7">
        <f>HYPERLINK("http://www.lingerieopt.ru/item/10721-nochnaya-sorochka-alida-s-poluotkrjtjm-lifom/","10721")</f>
      </c>
      <c r="B6068" s="8" t="s">
        <v>5823</v>
      </c>
      <c r="C6068" s="9">
        <v>2362</v>
      </c>
      <c r="D6068" s="0">
        <v>4</v>
      </c>
      <c r="E6068" s="10">
        <f>HYPERLINK("http://www.lingerieopt.ru/images/original/db83ac51-1a1b-47e0-bd09-a5a46e30c2ae.jpg","Фото")</f>
      </c>
    </row>
    <row r="6069">
      <c r="A6069" s="7">
        <f>HYPERLINK("http://www.lingerieopt.ru/item/10722-nochnaya-storochka-helen-s-kruzhevnjm-lifom/","10722")</f>
      </c>
      <c r="B6069" s="8" t="s">
        <v>5824</v>
      </c>
      <c r="C6069" s="9">
        <v>1870</v>
      </c>
      <c r="D6069" s="0">
        <v>2</v>
      </c>
      <c r="E6069" s="10">
        <f>HYPERLINK("http://www.lingerieopt.ru/images/original/410e4a9f-8167-4152-b48b-a2c3c44e78f9.jpg","Фото")</f>
      </c>
    </row>
    <row r="6070">
      <c r="A6070" s="7">
        <f>HYPERLINK("http://www.lingerieopt.ru/item/10722-nochnaya-storochka-helen-s-kruzhevnjm-lifom/","10722")</f>
      </c>
      <c r="B6070" s="8" t="s">
        <v>5825</v>
      </c>
      <c r="C6070" s="9">
        <v>1870</v>
      </c>
      <c r="D6070" s="0">
        <v>5</v>
      </c>
      <c r="E6070" s="10">
        <f>HYPERLINK("http://www.lingerieopt.ru/images/original/410e4a9f-8167-4152-b48b-a2c3c44e78f9.jpg","Фото")</f>
      </c>
    </row>
    <row r="6071">
      <c r="A6071" s="7">
        <f>HYPERLINK("http://www.lingerieopt.ru/item/10723-nochnaya-sorochka-bridget-s-nezhnjm-azhurom/","10723")</f>
      </c>
      <c r="B6071" s="8" t="s">
        <v>5826</v>
      </c>
      <c r="C6071" s="9">
        <v>2025</v>
      </c>
      <c r="D6071" s="0">
        <v>6</v>
      </c>
      <c r="E6071" s="10">
        <f>HYPERLINK("http://www.lingerieopt.ru/images/original/c51b2bde-db6b-44aa-ba74-d72add683492.jpg","Фото")</f>
      </c>
    </row>
    <row r="6072">
      <c r="A6072" s="7">
        <f>HYPERLINK("http://www.lingerieopt.ru/item/10723-nochnaya-sorochka-bridget-s-nezhnjm-azhurom/","10723")</f>
      </c>
      <c r="B6072" s="8" t="s">
        <v>5827</v>
      </c>
      <c r="C6072" s="9">
        <v>2025</v>
      </c>
      <c r="D6072" s="0">
        <v>2</v>
      </c>
      <c r="E6072" s="10">
        <f>HYPERLINK("http://www.lingerieopt.ru/images/original/c51b2bde-db6b-44aa-ba74-d72add683492.jpg","Фото")</f>
      </c>
    </row>
    <row r="6073">
      <c r="A6073" s="7">
        <f>HYPERLINK("http://www.lingerieopt.ru/item/10723-nochnaya-sorochka-bridget-s-nezhnjm-azhurom/","10723")</f>
      </c>
      <c r="B6073" s="8" t="s">
        <v>5828</v>
      </c>
      <c r="C6073" s="9">
        <v>2025</v>
      </c>
      <c r="D6073" s="0">
        <v>4</v>
      </c>
      <c r="E6073" s="10">
        <f>HYPERLINK("http://www.lingerieopt.ru/images/original/c51b2bde-db6b-44aa-ba74-d72add683492.jpg","Фото")</f>
      </c>
    </row>
    <row r="6074">
      <c r="A6074" s="7">
        <f>HYPERLINK("http://www.lingerieopt.ru/item/10723-nochnaya-sorochka-bridget-s-nezhnjm-azhurom/","10723")</f>
      </c>
      <c r="B6074" s="8" t="s">
        <v>5829</v>
      </c>
      <c r="C6074" s="9">
        <v>2025</v>
      </c>
      <c r="D6074" s="0">
        <v>10</v>
      </c>
      <c r="E6074" s="10">
        <f>HYPERLINK("http://www.lingerieopt.ru/images/original/c51b2bde-db6b-44aa-ba74-d72add683492.jpg","Фото")</f>
      </c>
    </row>
    <row r="6075">
      <c r="A6075" s="7">
        <f>HYPERLINK("http://www.lingerieopt.ru/item/10819-bebi-doll-iz-myagkoi-elastichnoi-setki-s-kruzhevnjm-lifom/","10819")</f>
      </c>
      <c r="B6075" s="8" t="s">
        <v>5830</v>
      </c>
      <c r="C6075" s="9">
        <v>1287</v>
      </c>
      <c r="D6075" s="0">
        <v>14</v>
      </c>
      <c r="E6075" s="10">
        <f>HYPERLINK("http://www.lingerieopt.ru/images/original/57af9a84-5a6b-4da4-8708-e7e67524d35d.jpg","Фото")</f>
      </c>
    </row>
    <row r="6076">
      <c r="A6076" s="7">
        <f>HYPERLINK("http://www.lingerieopt.ru/item/10825-nezhnaya-poluprozrachnaya-sorochka-v-komplekte-s-trusikami/","10825")</f>
      </c>
      <c r="B6076" s="8" t="s">
        <v>5831</v>
      </c>
      <c r="C6076" s="9">
        <v>1544</v>
      </c>
      <c r="D6076" s="0">
        <v>3</v>
      </c>
      <c r="E6076" s="10">
        <f>HYPERLINK("http://www.lingerieopt.ru/images/original/65896273-b6d8-4f2d-8287-785544cebf56.jpg","Фото")</f>
      </c>
    </row>
    <row r="6077">
      <c r="A6077" s="7">
        <f>HYPERLINK("http://www.lingerieopt.ru/item/10825-nezhnaya-poluprozrachnaya-sorochka-v-komplekte-s-trusikami/","10825")</f>
      </c>
      <c r="B6077" s="8" t="s">
        <v>5832</v>
      </c>
      <c r="C6077" s="9">
        <v>1544</v>
      </c>
      <c r="D6077" s="0">
        <v>3</v>
      </c>
      <c r="E6077" s="10">
        <f>HYPERLINK("http://www.lingerieopt.ru/images/original/65896273-b6d8-4f2d-8287-785544cebf56.jpg","Фото")</f>
      </c>
    </row>
    <row r="6078">
      <c r="A6078" s="7">
        <f>HYPERLINK("http://www.lingerieopt.ru/item/10833-elegantnji-penyuar-dorettela-s-zapahom/","10833")</f>
      </c>
      <c r="B6078" s="8" t="s">
        <v>5833</v>
      </c>
      <c r="C6078" s="9">
        <v>1509</v>
      </c>
      <c r="D6078" s="0">
        <v>10</v>
      </c>
      <c r="E6078" s="10">
        <f>HYPERLINK("http://www.lingerieopt.ru/images/original/f6847626-79d8-443a-93a0-ed9fd60e2fdb.jpg","Фото")</f>
      </c>
    </row>
    <row r="6079">
      <c r="A6079" s="7">
        <f>HYPERLINK("http://www.lingerieopt.ru/item/10833-elegantnji-penyuar-dorettela-s-zapahom/","10833")</f>
      </c>
      <c r="B6079" s="8" t="s">
        <v>5834</v>
      </c>
      <c r="C6079" s="9">
        <v>1509</v>
      </c>
      <c r="D6079" s="0">
        <v>10</v>
      </c>
      <c r="E6079" s="10">
        <f>HYPERLINK("http://www.lingerieopt.ru/images/original/f6847626-79d8-443a-93a0-ed9fd60e2fdb.jpg","Фото")</f>
      </c>
    </row>
    <row r="6080">
      <c r="A6080" s="7">
        <f>HYPERLINK("http://www.lingerieopt.ru/item/10841-chuvstvennji-bebi-doll-s-malinovjm-kruzhevom-i-bantom/","10841")</f>
      </c>
      <c r="B6080" s="8" t="s">
        <v>5835</v>
      </c>
      <c r="C6080" s="9">
        <v>1598</v>
      </c>
      <c r="D6080" s="0">
        <v>11</v>
      </c>
      <c r="E6080" s="10">
        <f>HYPERLINK("http://www.lingerieopt.ru/images/original/0409ff29-b39a-44f5-92e0-e43156637c15.jpg","Фото")</f>
      </c>
    </row>
    <row r="6081">
      <c r="A6081" s="7">
        <f>HYPERLINK("http://www.lingerieopt.ru/item/10841-chuvstvennji-bebi-doll-s-malinovjm-kruzhevom-i-bantom/","10841")</f>
      </c>
      <c r="B6081" s="8" t="s">
        <v>5836</v>
      </c>
      <c r="C6081" s="9">
        <v>1598</v>
      </c>
      <c r="D6081" s="0">
        <v>10</v>
      </c>
      <c r="E6081" s="10">
        <f>HYPERLINK("http://www.lingerieopt.ru/images/original/0409ff29-b39a-44f5-92e0-e43156637c15.jpg","Фото")</f>
      </c>
    </row>
    <row r="6082">
      <c r="A6082" s="7">
        <f>HYPERLINK("http://www.lingerieopt.ru/item/10842-roskoshnji-penyuar-s-zapahom-i-malinovjm-kruzhevom/","10842")</f>
      </c>
      <c r="B6082" s="8" t="s">
        <v>5837</v>
      </c>
      <c r="C6082" s="9">
        <v>2196</v>
      </c>
      <c r="D6082" s="0">
        <v>5</v>
      </c>
      <c r="E6082" s="10">
        <f>HYPERLINK("http://www.lingerieopt.ru/images/original/49913738-b6ee-4f5e-bf7e-f578830768d8.jpg","Фото")</f>
      </c>
    </row>
    <row r="6083">
      <c r="A6083" s="7">
        <f>HYPERLINK("http://www.lingerieopt.ru/item/10842-roskoshnji-penyuar-s-zapahom-i-malinovjm-kruzhevom/","10842")</f>
      </c>
      <c r="B6083" s="8" t="s">
        <v>5838</v>
      </c>
      <c r="C6083" s="9">
        <v>2196</v>
      </c>
      <c r="D6083" s="0">
        <v>1</v>
      </c>
      <c r="E6083" s="10">
        <f>HYPERLINK("http://www.lingerieopt.ru/images/original/49913738-b6ee-4f5e-bf7e-f578830768d8.jpg","Фото")</f>
      </c>
    </row>
    <row r="6084">
      <c r="A6084" s="7">
        <f>HYPERLINK("http://www.lingerieopt.ru/item/10869-oblegayuschaya-sorochka-maddie-plus-size-s-cvetochnjm-kruzhevom/","10869")</f>
      </c>
      <c r="B6084" s="8" t="s">
        <v>5839</v>
      </c>
      <c r="C6084" s="9">
        <v>1299</v>
      </c>
      <c r="D6084" s="0">
        <v>1</v>
      </c>
      <c r="E6084" s="10">
        <f>HYPERLINK("http://www.lingerieopt.ru/images/original/5f892e93-9285-43d3-88e1-b658e20d7f29.jpg","Фото")</f>
      </c>
    </row>
    <row r="6085">
      <c r="A6085" s="7">
        <f>HYPERLINK("http://www.lingerieopt.ru/item/10882-roskoshnaya-sorochka-floris-s-dvuhcvetnjm-kruzhevnjm-lifom/","10882")</f>
      </c>
      <c r="B6085" s="8" t="s">
        <v>5840</v>
      </c>
      <c r="C6085" s="9">
        <v>1955</v>
      </c>
      <c r="D6085" s="0">
        <v>0</v>
      </c>
      <c r="E6085" s="10">
        <f>HYPERLINK("http://www.lingerieopt.ru/images/original/21195935-8e6d-46d1-a306-bc6597a410b8.jpg","Фото")</f>
      </c>
    </row>
    <row r="6086">
      <c r="A6086" s="7">
        <f>HYPERLINK("http://www.lingerieopt.ru/item/10882-roskoshnaya-sorochka-floris-s-dvuhcvetnjm-kruzhevnjm-lifom/","10882")</f>
      </c>
      <c r="B6086" s="8" t="s">
        <v>5841</v>
      </c>
      <c r="C6086" s="9">
        <v>1955</v>
      </c>
      <c r="D6086" s="0">
        <v>1</v>
      </c>
      <c r="E6086" s="10">
        <f>HYPERLINK("http://www.lingerieopt.ru/images/original/21195935-8e6d-46d1-a306-bc6597a410b8.jpg","Фото")</f>
      </c>
    </row>
    <row r="6087">
      <c r="A6087" s="7">
        <f>HYPERLINK("http://www.lingerieopt.ru/item/10883-roskoshnaya-sorochka-floris-plus-size-s-dvuhcvetnjm-kruzhevnjm-lifom/","10883")</f>
      </c>
      <c r="B6087" s="8" t="s">
        <v>5842</v>
      </c>
      <c r="C6087" s="9">
        <v>1955</v>
      </c>
      <c r="D6087" s="0">
        <v>2</v>
      </c>
      <c r="E6087" s="10">
        <f>HYPERLINK("http://www.lingerieopt.ru/images/original/b01e7e42-7bd0-4227-95e8-dd8f0815b712.jpg","Фото")</f>
      </c>
    </row>
    <row r="6088">
      <c r="A6088" s="7">
        <f>HYPERLINK("http://www.lingerieopt.ru/item/10917-kruzhevnaya-sorochka-geali-s-bahromoi-po-podolu/","10917")</f>
      </c>
      <c r="B6088" s="8" t="s">
        <v>5843</v>
      </c>
      <c r="C6088" s="9">
        <v>1302</v>
      </c>
      <c r="D6088" s="0">
        <v>10</v>
      </c>
      <c r="E6088" s="10">
        <f>HYPERLINK("http://www.lingerieopt.ru/images/original/d9187ae8-33b8-458b-85bc-bc3a767817fc.jpg","Фото")</f>
      </c>
    </row>
    <row r="6089">
      <c r="A6089" s="7">
        <f>HYPERLINK("http://www.lingerieopt.ru/item/10917-kruzhevnaya-sorochka-geali-s-bahromoi-po-podolu/","10917")</f>
      </c>
      <c r="B6089" s="8" t="s">
        <v>5844</v>
      </c>
      <c r="C6089" s="9">
        <v>1302</v>
      </c>
      <c r="D6089" s="0">
        <v>6</v>
      </c>
      <c r="E6089" s="10">
        <f>HYPERLINK("http://www.lingerieopt.ru/images/original/d9187ae8-33b8-458b-85bc-bc3a767817fc.jpg","Фото")</f>
      </c>
    </row>
    <row r="6090">
      <c r="A6090" s="7">
        <f>HYPERLINK("http://www.lingerieopt.ru/item/10917-kruzhevnaya-sorochka-geali-s-bahromoi-po-podolu/","10917")</f>
      </c>
      <c r="B6090" s="8" t="s">
        <v>5845</v>
      </c>
      <c r="C6090" s="9">
        <v>1302</v>
      </c>
      <c r="D6090" s="0">
        <v>9</v>
      </c>
      <c r="E6090" s="10">
        <f>HYPERLINK("http://www.lingerieopt.ru/images/original/d9187ae8-33b8-458b-85bc-bc3a767817fc.jpg","Фото")</f>
      </c>
    </row>
    <row r="6091">
      <c r="A6091" s="7">
        <f>HYPERLINK("http://www.lingerieopt.ru/item/10918-poluprozrachnaya-sorochka-liessa/","10918")</f>
      </c>
      <c r="B6091" s="8" t="s">
        <v>5846</v>
      </c>
      <c r="C6091" s="9">
        <v>1193</v>
      </c>
      <c r="D6091" s="0">
        <v>11</v>
      </c>
      <c r="E6091" s="10">
        <f>HYPERLINK("http://www.lingerieopt.ru/images/original/f3364ace-5e54-4319-a51b-f9c3e460c90b.jpg","Фото")</f>
      </c>
    </row>
    <row r="6092">
      <c r="A6092" s="7">
        <f>HYPERLINK("http://www.lingerieopt.ru/item/10918-poluprozrachnaya-sorochka-liessa/","10918")</f>
      </c>
      <c r="B6092" s="8" t="s">
        <v>5847</v>
      </c>
      <c r="C6092" s="9">
        <v>1193</v>
      </c>
      <c r="D6092" s="0">
        <v>5</v>
      </c>
      <c r="E6092" s="10">
        <f>HYPERLINK("http://www.lingerieopt.ru/images/original/f3364ace-5e54-4319-a51b-f9c3e460c90b.jpg","Фото")</f>
      </c>
    </row>
    <row r="6093">
      <c r="A6093" s="7">
        <f>HYPERLINK("http://www.lingerieopt.ru/item/10918-poluprozrachnaya-sorochka-liessa/","10918")</f>
      </c>
      <c r="B6093" s="8" t="s">
        <v>5848</v>
      </c>
      <c r="C6093" s="9">
        <v>1193</v>
      </c>
      <c r="D6093" s="0">
        <v>12</v>
      </c>
      <c r="E6093" s="10">
        <f>HYPERLINK("http://www.lingerieopt.ru/images/original/f3364ace-5e54-4319-a51b-f9c3e460c90b.jpg","Фото")</f>
      </c>
    </row>
    <row r="6094">
      <c r="A6094" s="7">
        <f>HYPERLINK("http://www.lingerieopt.ru/item/10919-manyaschaya-poluprozrachnaya-sorochka-ofeely-s-kruzhevom/","10919")</f>
      </c>
      <c r="B6094" s="8" t="s">
        <v>5849</v>
      </c>
      <c r="C6094" s="9">
        <v>1221</v>
      </c>
      <c r="D6094" s="0">
        <v>4</v>
      </c>
      <c r="E6094" s="10">
        <f>HYPERLINK("http://www.lingerieopt.ru/images/original/5aa4b42e-81ba-49c6-9920-5e4fd1c6bc90.jpg","Фото")</f>
      </c>
    </row>
    <row r="6095">
      <c r="A6095" s="7">
        <f>HYPERLINK("http://www.lingerieopt.ru/item/10919-manyaschaya-poluprozrachnaya-sorochka-ofeely-s-kruzhevom/","10919")</f>
      </c>
      <c r="B6095" s="8" t="s">
        <v>5850</v>
      </c>
      <c r="C6095" s="9">
        <v>1221</v>
      </c>
      <c r="D6095" s="0">
        <v>9</v>
      </c>
      <c r="E6095" s="10">
        <f>HYPERLINK("http://www.lingerieopt.ru/images/original/5aa4b42e-81ba-49c6-9920-5e4fd1c6bc90.jpg","Фото")</f>
      </c>
    </row>
    <row r="6096">
      <c r="A6096" s="7">
        <f>HYPERLINK("http://www.lingerieopt.ru/item/10919-manyaschaya-poluprozrachnaya-sorochka-ofeely-s-kruzhevom/","10919")</f>
      </c>
      <c r="B6096" s="8" t="s">
        <v>5851</v>
      </c>
      <c r="C6096" s="9">
        <v>1221</v>
      </c>
      <c r="D6096" s="0">
        <v>7</v>
      </c>
      <c r="E6096" s="10">
        <f>HYPERLINK("http://www.lingerieopt.ru/images/original/5aa4b42e-81ba-49c6-9920-5e4fd1c6bc90.jpg","Фото")</f>
      </c>
    </row>
    <row r="6097">
      <c r="A6097" s="7">
        <f>HYPERLINK("http://www.lingerieopt.ru/item/10920-roskoshnaya-sorochka-venea-s-kruzhevnjm-lifom/","10920")</f>
      </c>
      <c r="B6097" s="8" t="s">
        <v>5852</v>
      </c>
      <c r="C6097" s="9">
        <v>1244</v>
      </c>
      <c r="D6097" s="0">
        <v>12</v>
      </c>
      <c r="E6097" s="10">
        <f>HYPERLINK("http://www.lingerieopt.ru/images/original/7acaedc7-c71d-4278-8f11-49f20a0cc606.jpg","Фото")</f>
      </c>
    </row>
    <row r="6098">
      <c r="A6098" s="7">
        <f>HYPERLINK("http://www.lingerieopt.ru/item/10920-roskoshnaya-sorochka-venea-s-kruzhevnjm-lifom/","10920")</f>
      </c>
      <c r="B6098" s="8" t="s">
        <v>5853</v>
      </c>
      <c r="C6098" s="9">
        <v>1244</v>
      </c>
      <c r="D6098" s="0">
        <v>11</v>
      </c>
      <c r="E6098" s="10">
        <f>HYPERLINK("http://www.lingerieopt.ru/images/original/7acaedc7-c71d-4278-8f11-49f20a0cc606.jpg","Фото")</f>
      </c>
    </row>
    <row r="6099">
      <c r="A6099" s="7">
        <f>HYPERLINK("http://www.lingerieopt.ru/item/10920-roskoshnaya-sorochka-venea-s-kruzhevnjm-lifom/","10920")</f>
      </c>
      <c r="B6099" s="8" t="s">
        <v>5854</v>
      </c>
      <c r="C6099" s="9">
        <v>1244</v>
      </c>
      <c r="D6099" s="0">
        <v>10</v>
      </c>
      <c r="E6099" s="10">
        <f>HYPERLINK("http://www.lingerieopt.ru/images/original/7acaedc7-c71d-4278-8f11-49f20a0cc606.jpg","Фото")</f>
      </c>
    </row>
    <row r="6100">
      <c r="A6100" s="7">
        <f>HYPERLINK("http://www.lingerieopt.ru/item/10928-soblaznitelnaya-sorochka-claea-plus-size-s-ukrasheniyami-iz-straz/","10928")</f>
      </c>
      <c r="B6100" s="8" t="s">
        <v>5855</v>
      </c>
      <c r="C6100" s="9">
        <v>1543</v>
      </c>
      <c r="D6100" s="0">
        <v>2</v>
      </c>
      <c r="E6100" s="10">
        <f>HYPERLINK("http://www.lingerieopt.ru/images/original/5a32c06a-b18b-4b2b-b3dd-8cc668d53329.jpg","Фото")</f>
      </c>
    </row>
    <row r="6101">
      <c r="A6101" s="7">
        <f>HYPERLINK("http://www.lingerieopt.ru/item/10928-soblaznitelnaya-sorochka-claea-plus-size-s-ukrasheniyami-iz-straz/","10928")</f>
      </c>
      <c r="B6101" s="8" t="s">
        <v>5856</v>
      </c>
      <c r="C6101" s="9">
        <v>1543</v>
      </c>
      <c r="D6101" s="0">
        <v>0</v>
      </c>
      <c r="E6101" s="10">
        <f>HYPERLINK("http://www.lingerieopt.ru/images/original/5a32c06a-b18b-4b2b-b3dd-8cc668d53329.jpg","Фото")</f>
      </c>
    </row>
    <row r="6102">
      <c r="A6102" s="7">
        <f>HYPERLINK("http://www.lingerieopt.ru/item/10929-soblaznitelnaya-sorochka-claea-s-ukrasheniyami-iz-straz/","10929")</f>
      </c>
      <c r="B6102" s="8" t="s">
        <v>5857</v>
      </c>
      <c r="C6102" s="9">
        <v>1543</v>
      </c>
      <c r="D6102" s="0">
        <v>6</v>
      </c>
      <c r="E6102" s="10">
        <f>HYPERLINK("http://www.lingerieopt.ru/images/original/3ac20edd-a4c6-4197-9d99-385a9b155b55.jpg","Фото")</f>
      </c>
    </row>
    <row r="6103">
      <c r="A6103" s="7">
        <f>HYPERLINK("http://www.lingerieopt.ru/item/10929-soblaznitelnaya-sorochka-claea-s-ukrasheniyami-iz-straz/","10929")</f>
      </c>
      <c r="B6103" s="8" t="s">
        <v>5858</v>
      </c>
      <c r="C6103" s="9">
        <v>1543</v>
      </c>
      <c r="D6103" s="0">
        <v>7</v>
      </c>
      <c r="E6103" s="10">
        <f>HYPERLINK("http://www.lingerieopt.ru/images/original/3ac20edd-a4c6-4197-9d99-385a9b155b55.jpg","Фото")</f>
      </c>
    </row>
    <row r="6104">
      <c r="A6104" s="7">
        <f>HYPERLINK("http://www.lingerieopt.ru/item/10929-soblaznitelnaya-sorochka-claea-s-ukrasheniyami-iz-straz/","10929")</f>
      </c>
      <c r="B6104" s="8" t="s">
        <v>5859</v>
      </c>
      <c r="C6104" s="9">
        <v>1543</v>
      </c>
      <c r="D6104" s="0">
        <v>6</v>
      </c>
      <c r="E6104" s="10">
        <f>HYPERLINK("http://www.lingerieopt.ru/images/original/3ac20edd-a4c6-4197-9d99-385a9b155b55.jpg","Фото")</f>
      </c>
    </row>
    <row r="6105">
      <c r="A6105" s="7">
        <f>HYPERLINK("http://www.lingerieopt.ru/item/10929-soblaznitelnaya-sorochka-claea-s-ukrasheniyami-iz-straz/","10929")</f>
      </c>
      <c r="B6105" s="8" t="s">
        <v>5860</v>
      </c>
      <c r="C6105" s="9">
        <v>1543</v>
      </c>
      <c r="D6105" s="0">
        <v>9</v>
      </c>
      <c r="E6105" s="10">
        <f>HYPERLINK("http://www.lingerieopt.ru/images/original/3ac20edd-a4c6-4197-9d99-385a9b155b55.jpg","Фото")</f>
      </c>
    </row>
    <row r="6106">
      <c r="A6106" s="7">
        <f>HYPERLINK("http://www.lingerieopt.ru/item/10930-sorochka-bebi-doll-maya-plus-size-s-kruzhevnjm-lifom/","10930")</f>
      </c>
      <c r="B6106" s="8" t="s">
        <v>5861</v>
      </c>
      <c r="C6106" s="9">
        <v>1255</v>
      </c>
      <c r="D6106" s="0">
        <v>4</v>
      </c>
      <c r="E6106" s="10">
        <f>HYPERLINK("http://www.lingerieopt.ru/images/original/067467ba-328d-4c60-8e99-019d473ffcd9.jpg","Фото")</f>
      </c>
    </row>
    <row r="6107">
      <c r="A6107" s="7">
        <f>HYPERLINK("http://www.lingerieopt.ru/item/10930-sorochka-bebi-doll-maya-plus-size-s-kruzhevnjm-lifom/","10930")</f>
      </c>
      <c r="B6107" s="8" t="s">
        <v>5862</v>
      </c>
      <c r="C6107" s="9">
        <v>1255</v>
      </c>
      <c r="D6107" s="0">
        <v>4</v>
      </c>
      <c r="E6107" s="10">
        <f>HYPERLINK("http://www.lingerieopt.ru/images/original/067467ba-328d-4c60-8e99-019d473ffcd9.jpg","Фото")</f>
      </c>
    </row>
    <row r="6108">
      <c r="A6108" s="7">
        <f>HYPERLINK("http://www.lingerieopt.ru/item/10931-sorochka-bebi-doll-maya-s-kruzhevnjm-lifom/","10931")</f>
      </c>
      <c r="B6108" s="8" t="s">
        <v>5863</v>
      </c>
      <c r="C6108" s="9">
        <v>1255</v>
      </c>
      <c r="D6108" s="0">
        <v>6</v>
      </c>
      <c r="E6108" s="10">
        <f>HYPERLINK("http://www.lingerieopt.ru/images/original/078cdf2d-7deb-4ac0-a837-b01a5280920a.jpg","Фото")</f>
      </c>
    </row>
    <row r="6109">
      <c r="A6109" s="7">
        <f>HYPERLINK("http://www.lingerieopt.ru/item/10931-sorochka-bebi-doll-maya-s-kruzhevnjm-lifom/","10931")</f>
      </c>
      <c r="B6109" s="8" t="s">
        <v>5864</v>
      </c>
      <c r="C6109" s="9">
        <v>1255</v>
      </c>
      <c r="D6109" s="0">
        <v>6</v>
      </c>
      <c r="E6109" s="10">
        <f>HYPERLINK("http://www.lingerieopt.ru/images/original/078cdf2d-7deb-4ac0-a837-b01a5280920a.jpg","Фото")</f>
      </c>
    </row>
    <row r="6110">
      <c r="A6110" s="7">
        <f>HYPERLINK("http://www.lingerieopt.ru/item/10931-sorochka-bebi-doll-maya-s-kruzhevnjm-lifom/","10931")</f>
      </c>
      <c r="B6110" s="8" t="s">
        <v>5865</v>
      </c>
      <c r="C6110" s="9">
        <v>1255</v>
      </c>
      <c r="D6110" s="0">
        <v>11</v>
      </c>
      <c r="E6110" s="10">
        <f>HYPERLINK("http://www.lingerieopt.ru/images/original/078cdf2d-7deb-4ac0-a837-b01a5280920a.jpg","Фото")</f>
      </c>
    </row>
    <row r="6111">
      <c r="A6111" s="7">
        <f>HYPERLINK("http://www.lingerieopt.ru/item/10931-sorochka-bebi-doll-maya-s-kruzhevnjm-lifom/","10931")</f>
      </c>
      <c r="B6111" s="8" t="s">
        <v>5866</v>
      </c>
      <c r="C6111" s="9">
        <v>1255</v>
      </c>
      <c r="D6111" s="0">
        <v>7</v>
      </c>
      <c r="E6111" s="10">
        <f>HYPERLINK("http://www.lingerieopt.ru/images/original/078cdf2d-7deb-4ac0-a837-b01a5280920a.jpg","Фото")</f>
      </c>
    </row>
    <row r="6112">
      <c r="A6112" s="7">
        <f>HYPERLINK("http://www.lingerieopt.ru/item/10932-otkrovennaya-sorochka-lilith-plus-size-s-dekorativnjmi-cepochkami/","10932")</f>
      </c>
      <c r="B6112" s="8" t="s">
        <v>5867</v>
      </c>
      <c r="C6112" s="9">
        <v>1498</v>
      </c>
      <c r="D6112" s="0">
        <v>3</v>
      </c>
      <c r="E6112" s="10">
        <f>HYPERLINK("http://www.lingerieopt.ru/images/original/a898e225-c5a9-4685-a986-b3c10db5c684.jpg","Фото")</f>
      </c>
    </row>
    <row r="6113">
      <c r="A6113" s="7">
        <f>HYPERLINK("http://www.lingerieopt.ru/item/10932-otkrovennaya-sorochka-lilith-plus-size-s-dekorativnjmi-cepochkami/","10932")</f>
      </c>
      <c r="B6113" s="8" t="s">
        <v>5868</v>
      </c>
      <c r="C6113" s="9">
        <v>1498</v>
      </c>
      <c r="D6113" s="0">
        <v>1</v>
      </c>
      <c r="E6113" s="10">
        <f>HYPERLINK("http://www.lingerieopt.ru/images/original/a898e225-c5a9-4685-a986-b3c10db5c684.jpg","Фото")</f>
      </c>
    </row>
    <row r="6114">
      <c r="A6114" s="7">
        <f>HYPERLINK("http://www.lingerieopt.ru/item/10933-otkrovennaya-sorochka-lilith-s-dekorativnjmi-cepochkami/","10933")</f>
      </c>
      <c r="B6114" s="8" t="s">
        <v>5869</v>
      </c>
      <c r="C6114" s="9">
        <v>1498</v>
      </c>
      <c r="D6114" s="0">
        <v>3</v>
      </c>
      <c r="E6114" s="10">
        <f>HYPERLINK("http://www.lingerieopt.ru/images/original/da97f3e2-b03d-42d6-bf24-9ac1d09e3ab8.jpg","Фото")</f>
      </c>
    </row>
    <row r="6115">
      <c r="A6115" s="7">
        <f>HYPERLINK("http://www.lingerieopt.ru/item/10933-otkrovennaya-sorochka-lilith-s-dekorativnjmi-cepochkami/","10933")</f>
      </c>
      <c r="B6115" s="8" t="s">
        <v>5870</v>
      </c>
      <c r="C6115" s="9">
        <v>1498</v>
      </c>
      <c r="D6115" s="0">
        <v>5</v>
      </c>
      <c r="E6115" s="10">
        <f>HYPERLINK("http://www.lingerieopt.ru/images/original/da97f3e2-b03d-42d6-bf24-9ac1d09e3ab8.jpg","Фото")</f>
      </c>
    </row>
    <row r="6116">
      <c r="A6116" s="7">
        <f>HYPERLINK("http://www.lingerieopt.ru/item/10933-otkrovennaya-sorochka-lilith-s-dekorativnjmi-cepochkami/","10933")</f>
      </c>
      <c r="B6116" s="8" t="s">
        <v>5871</v>
      </c>
      <c r="C6116" s="9">
        <v>1498</v>
      </c>
      <c r="D6116" s="0">
        <v>7</v>
      </c>
      <c r="E6116" s="10">
        <f>HYPERLINK("http://www.lingerieopt.ru/images/original/da97f3e2-b03d-42d6-bf24-9ac1d09e3ab8.jpg","Фото")</f>
      </c>
    </row>
    <row r="6117">
      <c r="A6117" s="7">
        <f>HYPERLINK("http://www.lingerieopt.ru/item/10933-otkrovennaya-sorochka-lilith-s-dekorativnjmi-cepochkami/","10933")</f>
      </c>
      <c r="B6117" s="8" t="s">
        <v>5872</v>
      </c>
      <c r="C6117" s="9">
        <v>1498</v>
      </c>
      <c r="D6117" s="0">
        <v>6</v>
      </c>
      <c r="E6117" s="10">
        <f>HYPERLINK("http://www.lingerieopt.ru/images/original/da97f3e2-b03d-42d6-bf24-9ac1d09e3ab8.jpg","Фото")</f>
      </c>
    </row>
    <row r="6118">
      <c r="A6118" s="7">
        <f>HYPERLINK("http://www.lingerieopt.ru/item/10951-poluprozrachnaya-sorochka-clotilde-s-kruzhevnjmi-vstavkami/","10951")</f>
      </c>
      <c r="B6118" s="8" t="s">
        <v>5873</v>
      </c>
      <c r="C6118" s="9">
        <v>2475</v>
      </c>
      <c r="D6118" s="0">
        <v>20</v>
      </c>
      <c r="E6118" s="10">
        <f>HYPERLINK("http://www.lingerieopt.ru/images/original/aac760ef-6607-43f7-8b6e-de6be1f9a414.jpg","Фото")</f>
      </c>
    </row>
    <row r="6119">
      <c r="A6119" s="7">
        <f>HYPERLINK("http://www.lingerieopt.ru/item/10951-poluprozrachnaya-sorochka-clotilde-s-kruzhevnjmi-vstavkami/","10951")</f>
      </c>
      <c r="B6119" s="8" t="s">
        <v>5874</v>
      </c>
      <c r="C6119" s="9">
        <v>2475</v>
      </c>
      <c r="D6119" s="0">
        <v>20</v>
      </c>
      <c r="E6119" s="10">
        <f>HYPERLINK("http://www.lingerieopt.ru/images/original/aac760ef-6607-43f7-8b6e-de6be1f9a414.jpg","Фото")</f>
      </c>
    </row>
    <row r="6120">
      <c r="A6120" s="7">
        <f>HYPERLINK("http://www.lingerieopt.ru/item/10951-poluprozrachnaya-sorochka-clotilde-s-kruzhevnjmi-vstavkami/","10951")</f>
      </c>
      <c r="B6120" s="8" t="s">
        <v>5875</v>
      </c>
      <c r="C6120" s="9">
        <v>2475</v>
      </c>
      <c r="D6120" s="0">
        <v>20</v>
      </c>
      <c r="E6120" s="10">
        <f>HYPERLINK("http://www.lingerieopt.ru/images/original/aac760ef-6607-43f7-8b6e-de6be1f9a414.jpg","Фото")</f>
      </c>
    </row>
    <row r="6121">
      <c r="A6121" s="7">
        <f>HYPERLINK("http://www.lingerieopt.ru/item/11058-soblaznitelnaya-sorochka-mia-s-kruzhevnjmi-elementami/","11058")</f>
      </c>
      <c r="B6121" s="8" t="s">
        <v>5876</v>
      </c>
      <c r="C6121" s="9">
        <v>1736</v>
      </c>
      <c r="D6121" s="0">
        <v>13</v>
      </c>
      <c r="E6121" s="10">
        <f>HYPERLINK("http://www.lingerieopt.ru/images/original/06f9bede-53eb-430d-83d4-17c6821d4732.jpg","Фото")</f>
      </c>
    </row>
    <row r="6122">
      <c r="A6122" s="7">
        <f>HYPERLINK("http://www.lingerieopt.ru/item/11058-soblaznitelnaya-sorochka-mia-s-kruzhevnjmi-elementami/","11058")</f>
      </c>
      <c r="B6122" s="8" t="s">
        <v>5877</v>
      </c>
      <c r="C6122" s="9">
        <v>1736</v>
      </c>
      <c r="D6122" s="0">
        <v>9</v>
      </c>
      <c r="E6122" s="10">
        <f>HYPERLINK("http://www.lingerieopt.ru/images/original/06f9bede-53eb-430d-83d4-17c6821d4732.jpg","Фото")</f>
      </c>
    </row>
    <row r="6123">
      <c r="A6123" s="7">
        <f>HYPERLINK("http://www.lingerieopt.ru/item/11070-charuyuschaya-sorochka-tonya-s-asimmetrichnjm-nizom/","11070")</f>
      </c>
      <c r="B6123" s="8" t="s">
        <v>5878</v>
      </c>
      <c r="C6123" s="9">
        <v>1898</v>
      </c>
      <c r="D6123" s="0">
        <v>0</v>
      </c>
      <c r="E6123" s="10">
        <f>HYPERLINK("http://www.lingerieopt.ru/images/original/e08b2284-be3f-45ec-961c-08d19b8c8698.jpg","Фото")</f>
      </c>
    </row>
    <row r="6124">
      <c r="A6124" s="7">
        <f>HYPERLINK("http://www.lingerieopt.ru/item/11070-charuyuschaya-sorochka-tonya-s-asimmetrichnjm-nizom/","11070")</f>
      </c>
      <c r="B6124" s="8" t="s">
        <v>5879</v>
      </c>
      <c r="C6124" s="9">
        <v>1898</v>
      </c>
      <c r="D6124" s="0">
        <v>1</v>
      </c>
      <c r="E6124" s="10">
        <f>HYPERLINK("http://www.lingerieopt.ru/images/original/e08b2284-be3f-45ec-961c-08d19b8c8698.jpg","Фото")</f>
      </c>
    </row>
    <row r="6125">
      <c r="A6125" s="7">
        <f>HYPERLINK("http://www.lingerieopt.ru/item/11090-nezhnaya-sorochka-marcy-na-tonkih-bretelyah/","11090")</f>
      </c>
      <c r="B6125" s="8" t="s">
        <v>5880</v>
      </c>
      <c r="C6125" s="9">
        <v>1533</v>
      </c>
      <c r="D6125" s="0">
        <v>7</v>
      </c>
      <c r="E6125" s="10">
        <f>HYPERLINK("http://www.lingerieopt.ru/images/original/71b858ff-e6ba-4767-a874-06fa4556264b.jpg","Фото")</f>
      </c>
    </row>
    <row r="6126">
      <c r="A6126" s="7">
        <f>HYPERLINK("http://www.lingerieopt.ru/item/11090-nezhnaya-sorochka-marcy-na-tonkih-bretelyah/","11090")</f>
      </c>
      <c r="B6126" s="8" t="s">
        <v>5881</v>
      </c>
      <c r="C6126" s="9">
        <v>1533</v>
      </c>
      <c r="D6126" s="0">
        <v>5</v>
      </c>
      <c r="E6126" s="10">
        <f>HYPERLINK("http://www.lingerieopt.ru/images/original/71b858ff-e6ba-4767-a874-06fa4556264b.jpg","Фото")</f>
      </c>
    </row>
    <row r="6127">
      <c r="A6127" s="7">
        <f>HYPERLINK("http://www.lingerieopt.ru/item/11091-nezhnji-korotenkii-penyuar-marcy-s-kruzhevnoi-otorochkoi-po-krayu/","11091")</f>
      </c>
      <c r="B6127" s="8" t="s">
        <v>5882</v>
      </c>
      <c r="C6127" s="9">
        <v>2369</v>
      </c>
      <c r="D6127" s="0">
        <v>7</v>
      </c>
      <c r="E6127" s="10">
        <f>HYPERLINK("http://www.lingerieopt.ru/images/original/956b4e40-eddf-4a70-beb1-e195cb005786.jpg","Фото")</f>
      </c>
    </row>
    <row r="6128">
      <c r="A6128" s="7">
        <f>HYPERLINK("http://www.lingerieopt.ru/item/11091-nezhnji-korotenkii-penyuar-marcy-s-kruzhevnoi-otorochkoi-po-krayu/","11091")</f>
      </c>
      <c r="B6128" s="8" t="s">
        <v>5883</v>
      </c>
      <c r="C6128" s="9">
        <v>2369</v>
      </c>
      <c r="D6128" s="0">
        <v>4</v>
      </c>
      <c r="E6128" s="10">
        <f>HYPERLINK("http://www.lingerieopt.ru/images/original/956b4e40-eddf-4a70-beb1-e195cb005786.jpg","Фото")</f>
      </c>
    </row>
    <row r="6129">
      <c r="A6129" s="7">
        <f>HYPERLINK("http://www.lingerieopt.ru/item/11099-sorochka-plus-size-s-kruzhevnjm-podolom/","11099")</f>
      </c>
      <c r="B6129" s="8" t="s">
        <v>5884</v>
      </c>
      <c r="C6129" s="9">
        <v>2207</v>
      </c>
      <c r="D6129" s="0">
        <v>4</v>
      </c>
      <c r="E6129" s="10">
        <f>HYPERLINK("http://www.lingerieopt.ru/images/original/3a0c5cb3-0762-4694-8444-1a3db5aa2b54.jpg","Фото")</f>
      </c>
    </row>
    <row r="6130">
      <c r="A6130" s="7">
        <f>HYPERLINK("http://www.lingerieopt.ru/item/11102-izjskannji-bebi-doll-s-uzorom-v-vide-voln/","11102")</f>
      </c>
      <c r="B6130" s="8" t="s">
        <v>5885</v>
      </c>
      <c r="C6130" s="9">
        <v>1493</v>
      </c>
      <c r="D6130" s="0">
        <v>8</v>
      </c>
      <c r="E6130" s="10">
        <f>HYPERLINK("http://www.lingerieopt.ru/images/original/3d1b287b-f585-478a-b22e-00cf1b8a365e.jpg","Фото")</f>
      </c>
    </row>
    <row r="6131">
      <c r="A6131" s="7">
        <f>HYPERLINK("http://www.lingerieopt.ru/item/11102-izjskannji-bebi-doll-s-uzorom-v-vide-voln/","11102")</f>
      </c>
      <c r="B6131" s="8" t="s">
        <v>5886</v>
      </c>
      <c r="C6131" s="9">
        <v>1493</v>
      </c>
      <c r="D6131" s="0">
        <v>10</v>
      </c>
      <c r="E6131" s="10">
        <f>HYPERLINK("http://www.lingerieopt.ru/images/original/3d1b287b-f585-478a-b22e-00cf1b8a365e.jpg","Фото")</f>
      </c>
    </row>
    <row r="6132">
      <c r="A6132" s="7">
        <f>HYPERLINK("http://www.lingerieopt.ru/item/11103-oblegayuschaya-sorochka-s-kontrastnjm-uzorom-v-vide-voln/","11103")</f>
      </c>
      <c r="B6132" s="8" t="s">
        <v>5887</v>
      </c>
      <c r="C6132" s="9">
        <v>1534</v>
      </c>
      <c r="D6132" s="0">
        <v>8</v>
      </c>
      <c r="E6132" s="10">
        <f>HYPERLINK("http://www.lingerieopt.ru/images/original/3ee19197-51f8-4480-af77-12d2fd39603c.jpg","Фото")</f>
      </c>
    </row>
    <row r="6133">
      <c r="A6133" s="7">
        <f>HYPERLINK("http://www.lingerieopt.ru/item/11103-oblegayuschaya-sorochka-s-kontrastnjm-uzorom-v-vide-voln/","11103")</f>
      </c>
      <c r="B6133" s="8" t="s">
        <v>5888</v>
      </c>
      <c r="C6133" s="9">
        <v>1534</v>
      </c>
      <c r="D6133" s="0">
        <v>10</v>
      </c>
      <c r="E6133" s="10">
        <f>HYPERLINK("http://www.lingerieopt.ru/images/original/3ee19197-51f8-4480-af77-12d2fd39603c.jpg","Фото")</f>
      </c>
    </row>
    <row r="6134">
      <c r="A6134" s="7">
        <f>HYPERLINK("http://www.lingerieopt.ru/item/11108-ukorochennji-bebi-doll-malinovogo-cveta/","11108")</f>
      </c>
      <c r="B6134" s="8" t="s">
        <v>5889</v>
      </c>
      <c r="C6134" s="9">
        <v>1661</v>
      </c>
      <c r="D6134" s="0">
        <v>10</v>
      </c>
      <c r="E6134" s="10">
        <f>HYPERLINK("http://www.lingerieopt.ru/images/original/a29f44a5-cffd-4ea9-b480-4551f8b60364.jpg","Фото")</f>
      </c>
    </row>
    <row r="6135">
      <c r="A6135" s="7">
        <f>HYPERLINK("http://www.lingerieopt.ru/item/11108-ukorochennji-bebi-doll-malinovogo-cveta/","11108")</f>
      </c>
      <c r="B6135" s="8" t="s">
        <v>5890</v>
      </c>
      <c r="C6135" s="9">
        <v>1661</v>
      </c>
      <c r="D6135" s="0">
        <v>6</v>
      </c>
      <c r="E6135" s="10">
        <f>HYPERLINK("http://www.lingerieopt.ru/images/original/a29f44a5-cffd-4ea9-b480-4551f8b60364.jpg","Фото")</f>
      </c>
    </row>
    <row r="6136">
      <c r="A6136" s="7">
        <f>HYPERLINK("http://www.lingerieopt.ru/item/11109-ocharovatelnaya-sorochka-s-oborkoi/","11109")</f>
      </c>
      <c r="B6136" s="8" t="s">
        <v>5891</v>
      </c>
      <c r="C6136" s="9">
        <v>1534</v>
      </c>
      <c r="D6136" s="0">
        <v>6</v>
      </c>
      <c r="E6136" s="10">
        <f>HYPERLINK("http://www.lingerieopt.ru/images/original/22d5dd06-144b-4625-8e05-939e12557c0c.jpg","Фото")</f>
      </c>
    </row>
    <row r="6137">
      <c r="A6137" s="7">
        <f>HYPERLINK("http://www.lingerieopt.ru/item/11109-ocharovatelnaya-sorochka-s-oborkoi/","11109")</f>
      </c>
      <c r="B6137" s="8" t="s">
        <v>5892</v>
      </c>
      <c r="C6137" s="9">
        <v>1534</v>
      </c>
      <c r="D6137" s="0">
        <v>10</v>
      </c>
      <c r="E6137" s="10">
        <f>HYPERLINK("http://www.lingerieopt.ru/images/original/22d5dd06-144b-4625-8e05-939e12557c0c.jpg","Фото")</f>
      </c>
    </row>
    <row r="6138">
      <c r="A6138" s="7">
        <f>HYPERLINK("http://www.lingerieopt.ru/item/11112-kruzhevnaya-sorochka-s-razrezom-szadi-plus-size-razmerom/","11112")</f>
      </c>
      <c r="B6138" s="8" t="s">
        <v>5893</v>
      </c>
      <c r="C6138" s="9">
        <v>2207</v>
      </c>
      <c r="D6138" s="0">
        <v>5</v>
      </c>
      <c r="E6138" s="10">
        <f>HYPERLINK("http://www.lingerieopt.ru/images/original/c1233268-2e5c-417b-837e-a56614f64c55.jpg","Фото")</f>
      </c>
    </row>
    <row r="6139">
      <c r="A6139" s="7">
        <f>HYPERLINK("http://www.lingerieopt.ru/item/11113-kruzhevnaya-kombinaciya-s-razrezom-szadi/","11113")</f>
      </c>
      <c r="B6139" s="8" t="s">
        <v>5894</v>
      </c>
      <c r="C6139" s="9">
        <v>2207</v>
      </c>
      <c r="D6139" s="0">
        <v>2</v>
      </c>
      <c r="E6139" s="10">
        <f>HYPERLINK("http://www.lingerieopt.ru/images/original/78972752-16e5-44b3-a78d-2fc02edd7f18.jpg","Фото")</f>
      </c>
    </row>
    <row r="6140">
      <c r="A6140" s="7">
        <f>HYPERLINK("http://www.lingerieopt.ru/item/11113-kruzhevnaya-kombinaciya-s-razrezom-szadi/","11113")</f>
      </c>
      <c r="B6140" s="8" t="s">
        <v>5895</v>
      </c>
      <c r="C6140" s="9">
        <v>2207</v>
      </c>
      <c r="D6140" s="0">
        <v>3</v>
      </c>
      <c r="E6140" s="10">
        <f>HYPERLINK("http://www.lingerieopt.ru/images/original/78972752-16e5-44b3-a78d-2fc02edd7f18.jpg","Фото")</f>
      </c>
    </row>
    <row r="6141">
      <c r="A6141" s="7">
        <f>HYPERLINK("http://www.lingerieopt.ru/item/11113-kruzhevnaya-kombinaciya-s-razrezom-szadi/","11113")</f>
      </c>
      <c r="B6141" s="8" t="s">
        <v>5896</v>
      </c>
      <c r="C6141" s="9">
        <v>2207</v>
      </c>
      <c r="D6141" s="0">
        <v>5</v>
      </c>
      <c r="E6141" s="10">
        <f>HYPERLINK("http://www.lingerieopt.ru/images/original/78972752-16e5-44b3-a78d-2fc02edd7f18.jpg","Фото")</f>
      </c>
    </row>
    <row r="6142">
      <c r="A6142" s="7">
        <f>HYPERLINK("http://www.lingerieopt.ru/item/11113-kruzhevnaya-kombinaciya-s-razrezom-szadi/","11113")</f>
      </c>
      <c r="B6142" s="8" t="s">
        <v>5897</v>
      </c>
      <c r="C6142" s="9">
        <v>2207</v>
      </c>
      <c r="D6142" s="0">
        <v>4</v>
      </c>
      <c r="E6142" s="10">
        <f>HYPERLINK("http://www.lingerieopt.ru/images/original/78972752-16e5-44b3-a78d-2fc02edd7f18.jpg","Фото")</f>
      </c>
    </row>
    <row r="6143">
      <c r="A6143" s="7">
        <f>HYPERLINK("http://www.lingerieopt.ru/item/11114-soblaznitelnaya-sorochka-s-kruzhevnjm-podolom/","11114")</f>
      </c>
      <c r="B6143" s="8" t="s">
        <v>5898</v>
      </c>
      <c r="C6143" s="9">
        <v>2207</v>
      </c>
      <c r="D6143" s="0">
        <v>5</v>
      </c>
      <c r="E6143" s="10">
        <f>HYPERLINK("http://www.lingerieopt.ru/images/original/cebb665e-41f0-4828-beaa-1e38b8fe1cc0.jpg","Фото")</f>
      </c>
    </row>
    <row r="6144">
      <c r="A6144" s="7">
        <f>HYPERLINK("http://www.lingerieopt.ru/item/11114-soblaznitelnaya-sorochka-s-kruzhevnjm-podolom/","11114")</f>
      </c>
      <c r="B6144" s="8" t="s">
        <v>5899</v>
      </c>
      <c r="C6144" s="9">
        <v>2207</v>
      </c>
      <c r="D6144" s="0">
        <v>5</v>
      </c>
      <c r="E6144" s="10">
        <f>HYPERLINK("http://www.lingerieopt.ru/images/original/cebb665e-41f0-4828-beaa-1e38b8fe1cc0.jpg","Фото")</f>
      </c>
    </row>
    <row r="6145">
      <c r="A6145" s="7">
        <f>HYPERLINK("http://www.lingerieopt.ru/item/11114-soblaznitelnaya-sorochka-s-kruzhevnjm-podolom/","11114")</f>
      </c>
      <c r="B6145" s="8" t="s">
        <v>5900</v>
      </c>
      <c r="C6145" s="9">
        <v>2207</v>
      </c>
      <c r="D6145" s="0">
        <v>5</v>
      </c>
      <c r="E6145" s="10">
        <f>HYPERLINK("http://www.lingerieopt.ru/images/original/cebb665e-41f0-4828-beaa-1e38b8fe1cc0.jpg","Фото")</f>
      </c>
    </row>
    <row r="6146">
      <c r="A6146" s="7">
        <f>HYPERLINK("http://www.lingerieopt.ru/item/11114-soblaznitelnaya-sorochka-s-kruzhevnjm-podolom/","11114")</f>
      </c>
      <c r="B6146" s="8" t="s">
        <v>5901</v>
      </c>
      <c r="C6146" s="9">
        <v>2207</v>
      </c>
      <c r="D6146" s="0">
        <v>4</v>
      </c>
      <c r="E6146" s="10">
        <f>HYPERLINK("http://www.lingerieopt.ru/images/original/cebb665e-41f0-4828-beaa-1e38b8fe1cc0.jpg","Фото")</f>
      </c>
    </row>
    <row r="6147">
      <c r="A6147" s="7">
        <f>HYPERLINK("http://www.lingerieopt.ru/item/11138-sorochka-plus-size-s-bahromoi/","11138")</f>
      </c>
      <c r="B6147" s="8" t="s">
        <v>5902</v>
      </c>
      <c r="C6147" s="9">
        <v>2207</v>
      </c>
      <c r="D6147" s="0">
        <v>5</v>
      </c>
      <c r="E6147" s="10">
        <f>HYPERLINK("http://www.lingerieopt.ru/images/original/fe62f1dd-73fd-4d66-852b-da05a455d174.jpg","Фото")</f>
      </c>
    </row>
    <row r="6148">
      <c r="A6148" s="7">
        <f>HYPERLINK("http://www.lingerieopt.ru/item/11139-izjskannaya-kombinaciya-s-bahromoi/","11139")</f>
      </c>
      <c r="B6148" s="8" t="s">
        <v>5903</v>
      </c>
      <c r="C6148" s="9">
        <v>2207</v>
      </c>
      <c r="D6148" s="0">
        <v>5</v>
      </c>
      <c r="E6148" s="10">
        <f>HYPERLINK("http://www.lingerieopt.ru/images/original/1dbde97f-22c8-48bb-b777-5af0789d0716.jpg","Фото")</f>
      </c>
    </row>
    <row r="6149">
      <c r="A6149" s="7">
        <f>HYPERLINK("http://www.lingerieopt.ru/item/11139-izjskannaya-kombinaciya-s-bahromoi/","11139")</f>
      </c>
      <c r="B6149" s="8" t="s">
        <v>5904</v>
      </c>
      <c r="C6149" s="9">
        <v>2207</v>
      </c>
      <c r="D6149" s="0">
        <v>5</v>
      </c>
      <c r="E6149" s="10">
        <f>HYPERLINK("http://www.lingerieopt.ru/images/original/1dbde97f-22c8-48bb-b777-5af0789d0716.jpg","Фото")</f>
      </c>
    </row>
    <row r="6150">
      <c r="A6150" s="7">
        <f>HYPERLINK("http://www.lingerieopt.ru/item/11139-izjskannaya-kombinaciya-s-bahromoi/","11139")</f>
      </c>
      <c r="B6150" s="8" t="s">
        <v>5905</v>
      </c>
      <c r="C6150" s="9">
        <v>2207</v>
      </c>
      <c r="D6150" s="0">
        <v>3</v>
      </c>
      <c r="E6150" s="10">
        <f>HYPERLINK("http://www.lingerieopt.ru/images/original/1dbde97f-22c8-48bb-b777-5af0789d0716.jpg","Фото")</f>
      </c>
    </row>
    <row r="6151">
      <c r="A6151" s="7">
        <f>HYPERLINK("http://www.lingerieopt.ru/item/11139-izjskannaya-kombinaciya-s-bahromoi/","11139")</f>
      </c>
      <c r="B6151" s="8" t="s">
        <v>5906</v>
      </c>
      <c r="C6151" s="9">
        <v>2207</v>
      </c>
      <c r="D6151" s="0">
        <v>4</v>
      </c>
      <c r="E6151" s="10">
        <f>HYPERLINK("http://www.lingerieopt.ru/images/original/1dbde97f-22c8-48bb-b777-5af0789d0716.jpg","Фото")</f>
      </c>
    </row>
    <row r="6152">
      <c r="A6152" s="7">
        <f>HYPERLINK("http://www.lingerieopt.ru/item/11152-roskoshnaya-sorochka-s-kruzhevami-michele-plus-size/","11152")</f>
      </c>
      <c r="B6152" s="8" t="s">
        <v>5907</v>
      </c>
      <c r="C6152" s="9">
        <v>1580</v>
      </c>
      <c r="D6152" s="0">
        <v>3</v>
      </c>
      <c r="E6152" s="10">
        <f>HYPERLINK("http://www.lingerieopt.ru/images/original/862c656c-8d5c-41f0-971f-3cc61f7cb2f1.jpg","Фото")</f>
      </c>
    </row>
    <row r="6153">
      <c r="A6153" s="7">
        <f>HYPERLINK("http://www.lingerieopt.ru/item/11152-roskoshnaya-sorochka-s-kruzhevami-michele-plus-size/","11152")</f>
      </c>
      <c r="B6153" s="8" t="s">
        <v>5908</v>
      </c>
      <c r="C6153" s="9">
        <v>1580</v>
      </c>
      <c r="D6153" s="0">
        <v>1</v>
      </c>
      <c r="E6153" s="10">
        <f>HYPERLINK("http://www.lingerieopt.ru/images/original/862c656c-8d5c-41f0-971f-3cc61f7cb2f1.jpg","Фото")</f>
      </c>
    </row>
    <row r="6154">
      <c r="A6154" s="7">
        <f>HYPERLINK("http://www.lingerieopt.ru/item/11152-roskoshnaya-sorochka-s-kruzhevami-michele-plus-size/","11152")</f>
      </c>
      <c r="B6154" s="8" t="s">
        <v>5909</v>
      </c>
      <c r="C6154" s="9">
        <v>1580</v>
      </c>
      <c r="D6154" s="0">
        <v>1</v>
      </c>
      <c r="E6154" s="10">
        <f>HYPERLINK("http://www.lingerieopt.ru/images/original/862c656c-8d5c-41f0-971f-3cc61f7cb2f1.jpg","Фото")</f>
      </c>
    </row>
    <row r="6155">
      <c r="A6155" s="7">
        <f>HYPERLINK("http://www.lingerieopt.ru/item/11158-soblaznitelnji-penyuar-stephanie-plus-size-s-poyaskom/","11158")</f>
      </c>
      <c r="B6155" s="8" t="s">
        <v>5910</v>
      </c>
      <c r="C6155" s="9">
        <v>1932</v>
      </c>
      <c r="D6155" s="0">
        <v>4</v>
      </c>
      <c r="E6155" s="10">
        <f>HYPERLINK("http://www.lingerieopt.ru/images/original/33d2375c-af99-45a1-82eb-870a1283982b.jpg","Фото")</f>
      </c>
    </row>
    <row r="6156">
      <c r="A6156" s="7">
        <f>HYPERLINK("http://www.lingerieopt.ru/item/11158-soblaznitelnji-penyuar-stephanie-plus-size-s-poyaskom/","11158")</f>
      </c>
      <c r="B6156" s="8" t="s">
        <v>5911</v>
      </c>
      <c r="C6156" s="9">
        <v>1932</v>
      </c>
      <c r="D6156" s="0">
        <v>0</v>
      </c>
      <c r="E6156" s="10">
        <f>HYPERLINK("http://www.lingerieopt.ru/images/original/33d2375c-af99-45a1-82eb-870a1283982b.jpg","Фото")</f>
      </c>
    </row>
    <row r="6157">
      <c r="A6157" s="7">
        <f>HYPERLINK("http://www.lingerieopt.ru/item/11160-penyuar-s-cvetochnjm-kruzhevom-federica-plus-size/","11160")</f>
      </c>
      <c r="B6157" s="8" t="s">
        <v>5912</v>
      </c>
      <c r="C6157" s="9">
        <v>2772</v>
      </c>
      <c r="D6157" s="0">
        <v>4</v>
      </c>
      <c r="E6157" s="10">
        <f>HYPERLINK("http://www.lingerieopt.ru/images/original/46988495-c5cd-4e3d-9708-3c5efe581fac.jpg","Фото")</f>
      </c>
    </row>
    <row r="6158">
      <c r="A6158" s="7">
        <f>HYPERLINK("http://www.lingerieopt.ru/item/11185-originalnaya-sorochka-picantina-iz-dvuh-chastei/","11185")</f>
      </c>
      <c r="B6158" s="8" t="s">
        <v>5913</v>
      </c>
      <c r="C6158" s="9">
        <v>1154</v>
      </c>
      <c r="D6158" s="0">
        <v>10</v>
      </c>
      <c r="E6158" s="10">
        <f>HYPERLINK("http://www.lingerieopt.ru/images/original/1f95a201-ecb8-4f8b-a251-3f5c06cd1d04.jpg","Фото")</f>
      </c>
    </row>
    <row r="6159">
      <c r="A6159" s="7">
        <f>HYPERLINK("http://www.lingerieopt.ru/item/11185-originalnaya-sorochka-picantina-iz-dvuh-chastei/","11185")</f>
      </c>
      <c r="B6159" s="8" t="s">
        <v>5914</v>
      </c>
      <c r="C6159" s="9">
        <v>1154</v>
      </c>
      <c r="D6159" s="0">
        <v>9</v>
      </c>
      <c r="E6159" s="10">
        <f>HYPERLINK("http://www.lingerieopt.ru/images/original/1f95a201-ecb8-4f8b-a251-3f5c06cd1d04.jpg","Фото")</f>
      </c>
    </row>
    <row r="6160">
      <c r="A6160" s="7">
        <f>HYPERLINK("http://www.lingerieopt.ru/item/11186-soblaznitelnji-bebi-doll-s-krupnjm-cvetochnjm-uzorom/","11186")</f>
      </c>
      <c r="B6160" s="8" t="s">
        <v>5915</v>
      </c>
      <c r="C6160" s="9">
        <v>1588</v>
      </c>
      <c r="D6160" s="0">
        <v>7</v>
      </c>
      <c r="E6160" s="10">
        <f>HYPERLINK("http://www.lingerieopt.ru/images/original/c3a31617-2109-45f2-a626-3027d5d2c4ea.jpg","Фото")</f>
      </c>
    </row>
    <row r="6161">
      <c r="A6161" s="7">
        <f>HYPERLINK("http://www.lingerieopt.ru/item/11186-soblaznitelnji-bebi-doll-s-krupnjm-cvetochnjm-uzorom/","11186")</f>
      </c>
      <c r="B6161" s="8" t="s">
        <v>5916</v>
      </c>
      <c r="C6161" s="9">
        <v>1588</v>
      </c>
      <c r="D6161" s="0">
        <v>10</v>
      </c>
      <c r="E6161" s="10">
        <f>HYPERLINK("http://www.lingerieopt.ru/images/original/c3a31617-2109-45f2-a626-3027d5d2c4ea.jpg","Фото")</f>
      </c>
    </row>
    <row r="6162">
      <c r="A6162" s="7">
        <f>HYPERLINK("http://www.lingerieopt.ru/item/11187-elegantnaya-sorochka-s-kruzhevom/","11187")</f>
      </c>
      <c r="B6162" s="8" t="s">
        <v>5917</v>
      </c>
      <c r="C6162" s="9">
        <v>1534</v>
      </c>
      <c r="D6162" s="0">
        <v>10</v>
      </c>
      <c r="E6162" s="10">
        <f>HYPERLINK("http://www.lingerieopt.ru/images/original/8d790505-0f28-45a9-a26b-435fc6894726.jpg","Фото")</f>
      </c>
    </row>
    <row r="6163">
      <c r="A6163" s="7">
        <f>HYPERLINK("http://www.lingerieopt.ru/item/11187-elegantnaya-sorochka-s-kruzhevom/","11187")</f>
      </c>
      <c r="B6163" s="8" t="s">
        <v>5918</v>
      </c>
      <c r="C6163" s="9">
        <v>1534</v>
      </c>
      <c r="D6163" s="0">
        <v>10</v>
      </c>
      <c r="E6163" s="10">
        <f>HYPERLINK("http://www.lingerieopt.ru/images/original/8d790505-0f28-45a9-a26b-435fc6894726.jpg","Фото")</f>
      </c>
    </row>
    <row r="6164">
      <c r="A6164" s="7">
        <f>HYPERLINK("http://www.lingerieopt.ru/item/11188-elegantnaya-sorochka-plus-size-iz-streich-atlasnogo-materiala/","11188")</f>
      </c>
      <c r="B6164" s="8" t="s">
        <v>5919</v>
      </c>
      <c r="C6164" s="9">
        <v>1523</v>
      </c>
      <c r="D6164" s="0">
        <v>9</v>
      </c>
      <c r="E6164" s="10">
        <f>HYPERLINK("http://www.lingerieopt.ru/images/original/fdf19b22-c50a-4d0f-b2b4-b633955396e3.jpg","Фото")</f>
      </c>
    </row>
    <row r="6165">
      <c r="A6165" s="7">
        <f>HYPERLINK("http://www.lingerieopt.ru/item/11190-elegantnji-penyuar-iz-streich-atlasnogo-materiala/","11190")</f>
      </c>
      <c r="B6165" s="8" t="s">
        <v>5920</v>
      </c>
      <c r="C6165" s="9">
        <v>2322</v>
      </c>
      <c r="D6165" s="0">
        <v>10</v>
      </c>
      <c r="E6165" s="10">
        <f>HYPERLINK("http://www.lingerieopt.ru/images/original/d8973929-4417-4cbb-a280-ec8ef68683c5.jpg","Фото")</f>
      </c>
    </row>
    <row r="6166">
      <c r="A6166" s="7">
        <f>HYPERLINK("http://www.lingerieopt.ru/item/11190-elegantnji-penyuar-iz-streich-atlasnogo-materiala/","11190")</f>
      </c>
      <c r="B6166" s="8" t="s">
        <v>5921</v>
      </c>
      <c r="C6166" s="9">
        <v>2322</v>
      </c>
      <c r="D6166" s="0">
        <v>10</v>
      </c>
      <c r="E6166" s="10">
        <f>HYPERLINK("http://www.lingerieopt.ru/images/original/d8973929-4417-4cbb-a280-ec8ef68683c5.jpg","Фото")</f>
      </c>
    </row>
    <row r="6167">
      <c r="A6167" s="7">
        <f>HYPERLINK("http://www.lingerieopt.ru/item/11191-elegantnji-penyuar-plus-size-iz-materiala-pod-atlas/","11191")</f>
      </c>
      <c r="B6167" s="8" t="s">
        <v>5922</v>
      </c>
      <c r="C6167" s="9">
        <v>2313</v>
      </c>
      <c r="D6167" s="0">
        <v>10</v>
      </c>
      <c r="E6167" s="10">
        <f>HYPERLINK("http://www.lingerieopt.ru/images/original/f92fbcf8-e408-434f-821f-70f77a1b9610.jpg","Фото")</f>
      </c>
    </row>
    <row r="6168">
      <c r="A6168" s="7">
        <f>HYPERLINK("http://www.lingerieopt.ru/item/11198-korotenkaya-sorochka-s-otkrjtjmi-plechami/","11198")</f>
      </c>
      <c r="B6168" s="8" t="s">
        <v>5923</v>
      </c>
      <c r="C6168" s="9">
        <v>1520</v>
      </c>
      <c r="D6168" s="0">
        <v>4</v>
      </c>
      <c r="E6168" s="10">
        <f>HYPERLINK("http://www.lingerieopt.ru/images/original/a7eccbc5-9d1b-4a55-a80f-0e6fc00897b2.jpg","Фото")</f>
      </c>
    </row>
    <row r="6169">
      <c r="A6169" s="7">
        <f>HYPERLINK("http://www.lingerieopt.ru/item/11206-oblegayuschaya-sorochka-s-sinim-kruzhevom/","11206")</f>
      </c>
      <c r="B6169" s="8" t="s">
        <v>5924</v>
      </c>
      <c r="C6169" s="9">
        <v>1684</v>
      </c>
      <c r="D6169" s="0">
        <v>10</v>
      </c>
      <c r="E6169" s="10">
        <f>HYPERLINK("http://www.lingerieopt.ru/images/original/f1ea687f-8cc4-44f7-b680-1228ff29aceb.jpg","Фото")</f>
      </c>
    </row>
    <row r="6170">
      <c r="A6170" s="7">
        <f>HYPERLINK("http://www.lingerieopt.ru/item/11206-oblegayuschaya-sorochka-s-sinim-kruzhevom/","11206")</f>
      </c>
      <c r="B6170" s="8" t="s">
        <v>5925</v>
      </c>
      <c r="C6170" s="9">
        <v>1684</v>
      </c>
      <c r="D6170" s="0">
        <v>10</v>
      </c>
      <c r="E6170" s="10">
        <f>HYPERLINK("http://www.lingerieopt.ru/images/original/f1ea687f-8cc4-44f7-b680-1228ff29aceb.jpg","Фото")</f>
      </c>
    </row>
    <row r="6171">
      <c r="A6171" s="7">
        <f>HYPERLINK("http://www.lingerieopt.ru/item/11207-oblegayuschaya-sorochka-s-perekrestnjmi-bretelyami-na-spine/","11207")</f>
      </c>
      <c r="B6171" s="8" t="s">
        <v>5926</v>
      </c>
      <c r="C6171" s="9">
        <v>1712</v>
      </c>
      <c r="D6171" s="0">
        <v>10</v>
      </c>
      <c r="E6171" s="10">
        <f>HYPERLINK("http://www.lingerieopt.ru/images/original/7121029a-69e0-4092-a42a-5b9fe9f8d8ae.jpg","Фото")</f>
      </c>
    </row>
    <row r="6172">
      <c r="A6172" s="7">
        <f>HYPERLINK("http://www.lingerieopt.ru/item/11207-oblegayuschaya-sorochka-s-perekrestnjmi-bretelyami-na-spine/","11207")</f>
      </c>
      <c r="B6172" s="8" t="s">
        <v>5927</v>
      </c>
      <c r="C6172" s="9">
        <v>1712</v>
      </c>
      <c r="D6172" s="0">
        <v>10</v>
      </c>
      <c r="E6172" s="10">
        <f>HYPERLINK("http://www.lingerieopt.ru/images/original/7121029a-69e0-4092-a42a-5b9fe9f8d8ae.jpg","Фото")</f>
      </c>
    </row>
    <row r="6173">
      <c r="A6173" s="7">
        <f>HYPERLINK("http://www.lingerieopt.ru/item/11221-korotenkii-penyuar-s-atlasnjm-poyaskom-i-kruzhevami/","11221")</f>
      </c>
      <c r="B6173" s="8" t="s">
        <v>5928</v>
      </c>
      <c r="C6173" s="9">
        <v>1955</v>
      </c>
      <c r="D6173" s="0">
        <v>2</v>
      </c>
      <c r="E6173" s="10">
        <f>HYPERLINK("http://www.lingerieopt.ru/images/original/c2a015a5-be00-4498-a29a-75b499261dd3.jpg","Фото")</f>
      </c>
    </row>
    <row r="6174">
      <c r="A6174" s="7">
        <f>HYPERLINK("http://www.lingerieopt.ru/item/11221-korotenkii-penyuar-s-atlasnjm-poyaskom-i-kruzhevami/","11221")</f>
      </c>
      <c r="B6174" s="8" t="s">
        <v>5929</v>
      </c>
      <c r="C6174" s="9">
        <v>1955</v>
      </c>
      <c r="D6174" s="0">
        <v>4</v>
      </c>
      <c r="E6174" s="10">
        <f>HYPERLINK("http://www.lingerieopt.ru/images/original/c2a015a5-be00-4498-a29a-75b499261dd3.jpg","Фото")</f>
      </c>
    </row>
    <row r="6175">
      <c r="A6175" s="7">
        <f>HYPERLINK("http://www.lingerieopt.ru/item/11281-oblegayuschaya-sorochka-coline-s-osheinikom-iz-myagkoi-setki/","11281")</f>
      </c>
      <c r="B6175" s="8" t="s">
        <v>5930</v>
      </c>
      <c r="C6175" s="9">
        <v>1728</v>
      </c>
      <c r="D6175" s="0">
        <v>6</v>
      </c>
      <c r="E6175" s="10">
        <f>HYPERLINK("http://www.lingerieopt.ru/images/original/03183c09-5718-4d11-b9ef-ef64fa307c15.jpg","Фото")</f>
      </c>
    </row>
    <row r="6176">
      <c r="A6176" s="7">
        <f>HYPERLINK("http://www.lingerieopt.ru/item/11281-oblegayuschaya-sorochka-coline-s-osheinikom-iz-myagkoi-setki/","11281")</f>
      </c>
      <c r="B6176" s="8" t="s">
        <v>5931</v>
      </c>
      <c r="C6176" s="9">
        <v>1728</v>
      </c>
      <c r="D6176" s="0">
        <v>3</v>
      </c>
      <c r="E6176" s="10">
        <f>HYPERLINK("http://www.lingerieopt.ru/images/original/03183c09-5718-4d11-b9ef-ef64fa307c15.jpg","Фото")</f>
      </c>
    </row>
    <row r="6177">
      <c r="A6177" s="7">
        <f>HYPERLINK("http://www.lingerieopt.ru/item/11286-oblegayuschaya-sorochka-nea-s-poluprozrachnoi-kruzhevnoi-vstavkoi/","11286")</f>
      </c>
      <c r="B6177" s="8" t="s">
        <v>5932</v>
      </c>
      <c r="C6177" s="9">
        <v>1806</v>
      </c>
      <c r="D6177" s="0">
        <v>13</v>
      </c>
      <c r="E6177" s="10">
        <f>HYPERLINK("http://www.lingerieopt.ru/images/original/7216769d-c3a6-45ac-a4a0-17a5fb55c5e3.jpg","Фото")</f>
      </c>
    </row>
    <row r="6178">
      <c r="A6178" s="7">
        <f>HYPERLINK("http://www.lingerieopt.ru/item/11286-oblegayuschaya-sorochka-nea-s-poluprozrachnoi-kruzhevnoi-vstavkoi/","11286")</f>
      </c>
      <c r="B6178" s="8" t="s">
        <v>5933</v>
      </c>
      <c r="C6178" s="9">
        <v>1806</v>
      </c>
      <c r="D6178" s="0">
        <v>5</v>
      </c>
      <c r="E6178" s="10">
        <f>HYPERLINK("http://www.lingerieopt.ru/images/original/7216769d-c3a6-45ac-a4a0-17a5fb55c5e3.jpg","Фото")</f>
      </c>
    </row>
    <row r="6179">
      <c r="A6179" s="7">
        <f>HYPERLINK("http://www.lingerieopt.ru/item/11289-ocharovatelnaya-sorochka-ivone-s-kruzhevnjm-temno-sinim-lifom/","11289")</f>
      </c>
      <c r="B6179" s="8" t="s">
        <v>5934</v>
      </c>
      <c r="C6179" s="9">
        <v>1909</v>
      </c>
      <c r="D6179" s="0">
        <v>5</v>
      </c>
      <c r="E6179" s="10">
        <f>HYPERLINK("http://www.lingerieopt.ru/images/original/4963fa16-362b-4b44-b4f6-a4e57e4dae25.jpg","Фото")</f>
      </c>
    </row>
    <row r="6180">
      <c r="A6180" s="7">
        <f>HYPERLINK("http://www.lingerieopt.ru/item/11289-ocharovatelnaya-sorochka-ivone-s-kruzhevnjm-temno-sinim-lifom/","11289")</f>
      </c>
      <c r="B6180" s="8" t="s">
        <v>5935</v>
      </c>
      <c r="C6180" s="9">
        <v>1909</v>
      </c>
      <c r="D6180" s="0">
        <v>12</v>
      </c>
      <c r="E6180" s="10">
        <f>HYPERLINK("http://www.lingerieopt.ru/images/original/4963fa16-362b-4b44-b4f6-a4e57e4dae25.jpg","Фото")</f>
      </c>
    </row>
    <row r="6181">
      <c r="A6181" s="7">
        <f>HYPERLINK("http://www.lingerieopt.ru/item/11312-poluprozrachnaya-oblegayuschaya-sorochka-s-lifom-na-kostochkah/","11312")</f>
      </c>
      <c r="B6181" s="8" t="s">
        <v>5936</v>
      </c>
      <c r="C6181" s="9">
        <v>1671</v>
      </c>
      <c r="D6181" s="0">
        <v>1</v>
      </c>
      <c r="E6181" s="10">
        <f>HYPERLINK("http://www.lingerieopt.ru/images/original/4ea6902a-e97f-41d9-ad30-75f39e658298.jpg","Фото")</f>
      </c>
    </row>
    <row r="6182">
      <c r="A6182" s="7">
        <f>HYPERLINK("http://www.lingerieopt.ru/item/11312-poluprozrachnaya-oblegayuschaya-sorochka-s-lifom-na-kostochkah/","11312")</f>
      </c>
      <c r="B6182" s="8" t="s">
        <v>5937</v>
      </c>
      <c r="C6182" s="9">
        <v>1671</v>
      </c>
      <c r="D6182" s="0">
        <v>7</v>
      </c>
      <c r="E6182" s="10">
        <f>HYPERLINK("http://www.lingerieopt.ru/images/original/4ea6902a-e97f-41d9-ad30-75f39e658298.jpg","Фото")</f>
      </c>
    </row>
    <row r="6183">
      <c r="A6183" s="7">
        <f>HYPERLINK("http://www.lingerieopt.ru/item/11329-poluprozrachnaya-sorochka-plus-size-s-lifom-na-kostochkah/","11329")</f>
      </c>
      <c r="B6183" s="8" t="s">
        <v>5938</v>
      </c>
      <c r="C6183" s="9">
        <v>1671</v>
      </c>
      <c r="D6183" s="0">
        <v>10</v>
      </c>
      <c r="E6183" s="10">
        <f>HYPERLINK("http://www.lingerieopt.ru/images/original/3064731f-bd73-4a02-9770-b48e1abc40f3.jpg","Фото")</f>
      </c>
    </row>
    <row r="6184">
      <c r="A6184" s="7">
        <f>HYPERLINK("http://www.lingerieopt.ru/item/11342-korotenkaya-sorochka-marilyn-s-pazhami-dlya-chulok/","11342")</f>
      </c>
      <c r="B6184" s="8" t="s">
        <v>5939</v>
      </c>
      <c r="C6184" s="9">
        <v>2312</v>
      </c>
      <c r="D6184" s="0">
        <v>8</v>
      </c>
      <c r="E6184" s="10">
        <f>HYPERLINK("http://www.lingerieopt.ru/images/original/dddc74d8-9fc0-4c16-b3e7-db36ca01d882.jpg","Фото")</f>
      </c>
    </row>
    <row r="6185">
      <c r="A6185" s="7">
        <f>HYPERLINK("http://www.lingerieopt.ru/item/11342-korotenkaya-sorochka-marilyn-s-pazhami-dlya-chulok/","11342")</f>
      </c>
      <c r="B6185" s="8" t="s">
        <v>5940</v>
      </c>
      <c r="C6185" s="9">
        <v>2312</v>
      </c>
      <c r="D6185" s="0">
        <v>5</v>
      </c>
      <c r="E6185" s="10">
        <f>HYPERLINK("http://www.lingerieopt.ru/images/original/dddc74d8-9fc0-4c16-b3e7-db36ca01d882.jpg","Фото")</f>
      </c>
    </row>
    <row r="6186">
      <c r="A6186" s="7">
        <f>HYPERLINK("http://www.lingerieopt.ru/item/11353-oblegayuschaya-sorochka-maxime-s-vjrezom-kapelkoi-na-life/","11353")</f>
      </c>
      <c r="B6186" s="8" t="s">
        <v>5941</v>
      </c>
      <c r="C6186" s="9">
        <v>1682</v>
      </c>
      <c r="D6186" s="0">
        <v>4</v>
      </c>
      <c r="E6186" s="10">
        <f>HYPERLINK("http://www.lingerieopt.ru/images/original/7abaf3f5-5c5f-40c6-9803-f285299717fb.jpg","Фото")</f>
      </c>
    </row>
    <row r="6187">
      <c r="A6187" s="7">
        <f>HYPERLINK("http://www.lingerieopt.ru/item/11353-oblegayuschaya-sorochka-maxime-s-vjrezom-kapelkoi-na-life/","11353")</f>
      </c>
      <c r="B6187" s="8" t="s">
        <v>5942</v>
      </c>
      <c r="C6187" s="9">
        <v>1682</v>
      </c>
      <c r="D6187" s="0">
        <v>5</v>
      </c>
      <c r="E6187" s="10">
        <f>HYPERLINK("http://www.lingerieopt.ru/images/original/7abaf3f5-5c5f-40c6-9803-f285299717fb.jpg","Фото")</f>
      </c>
    </row>
    <row r="6188">
      <c r="A6188" s="7">
        <f>HYPERLINK("http://www.lingerieopt.ru/item/11353-oblegayuschaya-sorochka-maxime-s-vjrezom-kapelkoi-na-life/","11353")</f>
      </c>
      <c r="B6188" s="8" t="s">
        <v>5943</v>
      </c>
      <c r="C6188" s="9">
        <v>1682</v>
      </c>
      <c r="D6188" s="0">
        <v>5</v>
      </c>
      <c r="E6188" s="10">
        <f>HYPERLINK("http://www.lingerieopt.ru/images/original/7abaf3f5-5c5f-40c6-9803-f285299717fb.jpg","Фото")</f>
      </c>
    </row>
    <row r="6189">
      <c r="A6189" s="7">
        <f>HYPERLINK("http://www.lingerieopt.ru/item/11353-oblegayuschaya-sorochka-maxime-s-vjrezom-kapelkoi-na-life/","11353")</f>
      </c>
      <c r="B6189" s="8" t="s">
        <v>5944</v>
      </c>
      <c r="C6189" s="9">
        <v>1682</v>
      </c>
      <c r="D6189" s="0">
        <v>3</v>
      </c>
      <c r="E6189" s="10">
        <f>HYPERLINK("http://www.lingerieopt.ru/images/original/7abaf3f5-5c5f-40c6-9803-f285299717fb.jpg","Фото")</f>
      </c>
    </row>
    <row r="6190">
      <c r="A6190" s="7">
        <f>HYPERLINK("http://www.lingerieopt.ru/item/11403-korotenkaya-sorochka-lou-s-perepleteniem-bretelei-v-zone-dekolte/","11403")</f>
      </c>
      <c r="B6190" s="8" t="s">
        <v>5945</v>
      </c>
      <c r="C6190" s="9">
        <v>1728</v>
      </c>
      <c r="D6190" s="0">
        <v>5</v>
      </c>
      <c r="E6190" s="10">
        <f>HYPERLINK("http://www.lingerieopt.ru/images/original/79a614d3-3f3a-4a00-a188-beab1692dd86.jpg","Фото")</f>
      </c>
    </row>
    <row r="6191">
      <c r="A6191" s="7">
        <f>HYPERLINK("http://www.lingerieopt.ru/item/11403-korotenkaya-sorochka-lou-s-perepleteniem-bretelei-v-zone-dekolte/","11403")</f>
      </c>
      <c r="B6191" s="8" t="s">
        <v>5946</v>
      </c>
      <c r="C6191" s="9">
        <v>1728</v>
      </c>
      <c r="D6191" s="0">
        <v>2</v>
      </c>
      <c r="E6191" s="10">
        <f>HYPERLINK("http://www.lingerieopt.ru/images/original/79a614d3-3f3a-4a00-a188-beab1692dd86.jpg","Фото")</f>
      </c>
    </row>
    <row r="6192">
      <c r="A6192" s="7">
        <f>HYPERLINK("http://www.lingerieopt.ru/item/11405-soblaznitelnaya-sorochka-rebecca-s-prozrachnjm-lifom/","11405")</f>
      </c>
      <c r="B6192" s="8" t="s">
        <v>5947</v>
      </c>
      <c r="C6192" s="9">
        <v>1647</v>
      </c>
      <c r="D6192" s="0">
        <v>5</v>
      </c>
      <c r="E6192" s="10">
        <f>HYPERLINK("http://www.lingerieopt.ru/images/original/ef4cd30c-bf68-46cc-a53b-34542ad2e2d5.jpg","Фото")</f>
      </c>
    </row>
    <row r="6193">
      <c r="A6193" s="7">
        <f>HYPERLINK("http://www.lingerieopt.ru/item/11405-soblaznitelnaya-sorochka-rebecca-s-prozrachnjm-lifom/","11405")</f>
      </c>
      <c r="B6193" s="8" t="s">
        <v>5948</v>
      </c>
      <c r="C6193" s="9">
        <v>1647</v>
      </c>
      <c r="D6193" s="0">
        <v>5</v>
      </c>
      <c r="E6193" s="10">
        <f>HYPERLINK("http://www.lingerieopt.ru/images/original/ef4cd30c-bf68-46cc-a53b-34542ad2e2d5.jpg","Фото")</f>
      </c>
    </row>
    <row r="6194">
      <c r="A6194" s="7">
        <f>HYPERLINK("http://www.lingerieopt.ru/item/11407-charuyuschaya-sorochka-valentine-iz-prozrachnogo-tyulya/","11407")</f>
      </c>
      <c r="B6194" s="8" t="s">
        <v>5949</v>
      </c>
      <c r="C6194" s="9">
        <v>1740</v>
      </c>
      <c r="D6194" s="0">
        <v>6</v>
      </c>
      <c r="E6194" s="10">
        <f>HYPERLINK("http://www.lingerieopt.ru/images/original/0bd82a33-2c58-489b-87a4-c295bdd752b1.jpg","Фото")</f>
      </c>
    </row>
    <row r="6195">
      <c r="A6195" s="7">
        <f>HYPERLINK("http://www.lingerieopt.ru/item/11407-charuyuschaya-sorochka-valentine-iz-prozrachnogo-tyulya/","11407")</f>
      </c>
      <c r="B6195" s="8" t="s">
        <v>5950</v>
      </c>
      <c r="C6195" s="9">
        <v>1740</v>
      </c>
      <c r="D6195" s="0">
        <v>6</v>
      </c>
      <c r="E6195" s="10">
        <f>HYPERLINK("http://www.lingerieopt.ru/images/original/0bd82a33-2c58-489b-87a4-c295bdd752b1.jpg","Фото")</f>
      </c>
    </row>
    <row r="6196">
      <c r="A6196" s="7">
        <f>HYPERLINK("http://www.lingerieopt.ru/item/11407-charuyuschaya-sorochka-valentine-iz-prozrachnogo-tyulya/","11407")</f>
      </c>
      <c r="B6196" s="8" t="s">
        <v>5951</v>
      </c>
      <c r="C6196" s="9">
        <v>1740</v>
      </c>
      <c r="D6196" s="0">
        <v>4</v>
      </c>
      <c r="E6196" s="10">
        <f>HYPERLINK("http://www.lingerieopt.ru/images/original/0bd82a33-2c58-489b-87a4-c295bdd752b1.jpg","Фото")</f>
      </c>
    </row>
    <row r="6197">
      <c r="A6197" s="7">
        <f>HYPERLINK("http://www.lingerieopt.ru/item/11407-charuyuschaya-sorochka-valentine-iz-prozrachnogo-tyulya/","11407")</f>
      </c>
      <c r="B6197" s="8" t="s">
        <v>5952</v>
      </c>
      <c r="C6197" s="9">
        <v>1740</v>
      </c>
      <c r="D6197" s="0">
        <v>5</v>
      </c>
      <c r="E6197" s="10">
        <f>HYPERLINK("http://www.lingerieopt.ru/images/original/0bd82a33-2c58-489b-87a4-c295bdd752b1.jpg","Фото")</f>
      </c>
    </row>
    <row r="6198">
      <c r="A6198" s="7">
        <f>HYPERLINK("http://www.lingerieopt.ru/item/11435-igrivaya-prozrachnaya-sorochka-praline-s-poluotkrjtjm-lifom-i-bantikami/","11435")</f>
      </c>
      <c r="B6198" s="8" t="s">
        <v>5953</v>
      </c>
      <c r="C6198" s="9">
        <v>1720</v>
      </c>
      <c r="D6198" s="0">
        <v>5</v>
      </c>
      <c r="E6198" s="10">
        <f>HYPERLINK("http://www.lingerieopt.ru/images/original/53f76ab5-a602-43d2-b668-d17ae3568dba.jpg","Фото")</f>
      </c>
    </row>
    <row r="6199">
      <c r="A6199" s="7">
        <f>HYPERLINK("http://www.lingerieopt.ru/item/11435-igrivaya-prozrachnaya-sorochka-praline-s-poluotkrjtjm-lifom-i-bantikami/","11435")</f>
      </c>
      <c r="B6199" s="8" t="s">
        <v>5954</v>
      </c>
      <c r="C6199" s="9">
        <v>1720</v>
      </c>
      <c r="D6199" s="0">
        <v>5</v>
      </c>
      <c r="E6199" s="10">
        <f>HYPERLINK("http://www.lingerieopt.ru/images/original/53f76ab5-a602-43d2-b668-d17ae3568dba.jpg","Фото")</f>
      </c>
    </row>
    <row r="6200">
      <c r="A6200" s="7">
        <f>HYPERLINK("http://www.lingerieopt.ru/item/11437-poluprozrachnaya-kruzhevnaya-sorochka-s-reguliruemjmi-bretelyami/","11437")</f>
      </c>
      <c r="B6200" s="8" t="s">
        <v>5955</v>
      </c>
      <c r="C6200" s="9">
        <v>1658</v>
      </c>
      <c r="D6200" s="0">
        <v>10</v>
      </c>
      <c r="E6200" s="10">
        <f>HYPERLINK("http://www.lingerieopt.ru/images/original/407d909d-e976-4e9a-93c6-69b189078dac.jpg","Фото")</f>
      </c>
    </row>
    <row r="6201">
      <c r="A6201" s="7">
        <f>HYPERLINK("http://www.lingerieopt.ru/item/11437-poluprozrachnaya-kruzhevnaya-sorochka-s-reguliruemjmi-bretelyami/","11437")</f>
      </c>
      <c r="B6201" s="8" t="s">
        <v>5956</v>
      </c>
      <c r="C6201" s="9">
        <v>1658</v>
      </c>
      <c r="D6201" s="0">
        <v>10</v>
      </c>
      <c r="E6201" s="10">
        <f>HYPERLINK("http://www.lingerieopt.ru/images/original/407d909d-e976-4e9a-93c6-69b189078dac.jpg","Фото")</f>
      </c>
    </row>
    <row r="6202">
      <c r="A6202" s="7">
        <f>HYPERLINK("http://www.lingerieopt.ru/item/11438-sorochka-iz-poluprozrachnoi-setochki-s-kruzhevnoi-otdelkoi/","11438")</f>
      </c>
      <c r="B6202" s="8" t="s">
        <v>5957</v>
      </c>
      <c r="C6202" s="9">
        <v>1705</v>
      </c>
      <c r="D6202" s="0">
        <v>10</v>
      </c>
      <c r="E6202" s="10">
        <f>HYPERLINK("http://www.lingerieopt.ru/images/original/c2e4b904-4b88-466b-9f44-2a5a3debf5d8.jpg","Фото")</f>
      </c>
    </row>
    <row r="6203">
      <c r="A6203" s="7">
        <f>HYPERLINK("http://www.lingerieopt.ru/item/11438-sorochka-iz-poluprozrachnoi-setochki-s-kruzhevnoi-otdelkoi/","11438")</f>
      </c>
      <c r="B6203" s="8" t="s">
        <v>5958</v>
      </c>
      <c r="C6203" s="9">
        <v>1705</v>
      </c>
      <c r="D6203" s="0">
        <v>10</v>
      </c>
      <c r="E6203" s="10">
        <f>HYPERLINK("http://www.lingerieopt.ru/images/original/c2e4b904-4b88-466b-9f44-2a5a3debf5d8.jpg","Фото")</f>
      </c>
    </row>
    <row r="6204">
      <c r="A6204" s="7">
        <f>HYPERLINK("http://www.lingerieopt.ru/item/11439-oblegayuschaya-kruzhevnaya-sorochka-na-dvoinjh-bretelyah/","11439")</f>
      </c>
      <c r="B6204" s="8" t="s">
        <v>5959</v>
      </c>
      <c r="C6204" s="9">
        <v>1638</v>
      </c>
      <c r="D6204" s="0">
        <v>4</v>
      </c>
      <c r="E6204" s="10">
        <f>HYPERLINK("http://www.lingerieopt.ru/images/original/01b78708-d320-48da-a114-c9aea9ec1aee.jpg","Фото")</f>
      </c>
    </row>
    <row r="6205">
      <c r="A6205" s="7">
        <f>HYPERLINK("http://www.lingerieopt.ru/item/11439-oblegayuschaya-kruzhevnaya-sorochka-na-dvoinjh-bretelyah/","11439")</f>
      </c>
      <c r="B6205" s="8" t="s">
        <v>5960</v>
      </c>
      <c r="C6205" s="9">
        <v>1638</v>
      </c>
      <c r="D6205" s="0">
        <v>2</v>
      </c>
      <c r="E6205" s="10">
        <f>HYPERLINK("http://www.lingerieopt.ru/images/original/01b78708-d320-48da-a114-c9aea9ec1aee.jpg","Фото")</f>
      </c>
    </row>
    <row r="6206">
      <c r="A6206" s="7">
        <f>HYPERLINK("http://www.lingerieopt.ru/item/11439-oblegayuschaya-kruzhevnaya-sorochka-na-dvoinjh-bretelyah/","11439")</f>
      </c>
      <c r="B6206" s="8" t="s">
        <v>5961</v>
      </c>
      <c r="C6206" s="9">
        <v>1638</v>
      </c>
      <c r="D6206" s="0">
        <v>5</v>
      </c>
      <c r="E6206" s="10">
        <f>HYPERLINK("http://www.lingerieopt.ru/images/original/01b78708-d320-48da-a114-c9aea9ec1aee.jpg","Фото")</f>
      </c>
    </row>
    <row r="6207">
      <c r="A6207" s="7">
        <f>HYPERLINK("http://www.lingerieopt.ru/item/11439-oblegayuschaya-kruzhevnaya-sorochka-na-dvoinjh-bretelyah/","11439")</f>
      </c>
      <c r="B6207" s="8" t="s">
        <v>5962</v>
      </c>
      <c r="C6207" s="9">
        <v>1638</v>
      </c>
      <c r="D6207" s="0">
        <v>0</v>
      </c>
      <c r="E6207" s="10">
        <f>HYPERLINK("http://www.lingerieopt.ru/images/original/01b78708-d320-48da-a114-c9aea9ec1aee.jpg","Фото")</f>
      </c>
    </row>
    <row r="6208">
      <c r="A6208" s="7">
        <f>HYPERLINK("http://www.lingerieopt.ru/item/11449-sorochka-plus-size-iz-poluprozrachnoi-setochki-s-otdelkoi-cvetochnjm-kruzhevom/","11449")</f>
      </c>
      <c r="B6208" s="8" t="s">
        <v>5963</v>
      </c>
      <c r="C6208" s="9">
        <v>1705</v>
      </c>
      <c r="D6208" s="0">
        <v>10</v>
      </c>
      <c r="E6208" s="10">
        <f>HYPERLINK("http://www.lingerieopt.ru/images/original/6d0c453c-bc9a-428f-9874-1b33d8694a06.jpg","Фото")</f>
      </c>
    </row>
    <row r="6209">
      <c r="A6209" s="7">
        <f>HYPERLINK("http://www.lingerieopt.ru/item/11451-sorochka-s-kruzhevnjm-vorotnikom/","11451")</f>
      </c>
      <c r="B6209" s="8" t="s">
        <v>5964</v>
      </c>
      <c r="C6209" s="9">
        <v>1626</v>
      </c>
      <c r="D6209" s="0">
        <v>5</v>
      </c>
      <c r="E6209" s="10">
        <f>HYPERLINK("http://www.lingerieopt.ru/images/original/44c6a03d-f6cb-4914-9199-9d808a79b4df.jpg","Фото")</f>
      </c>
    </row>
    <row r="6210">
      <c r="A6210" s="7">
        <f>HYPERLINK("http://www.lingerieopt.ru/item/11451-sorochka-s-kruzhevnjm-vorotnikom/","11451")</f>
      </c>
      <c r="B6210" s="8" t="s">
        <v>5965</v>
      </c>
      <c r="C6210" s="9">
        <v>1626</v>
      </c>
      <c r="D6210" s="0">
        <v>4</v>
      </c>
      <c r="E6210" s="10">
        <f>HYPERLINK("http://www.lingerieopt.ru/images/original/44c6a03d-f6cb-4914-9199-9d808a79b4df.jpg","Фото")</f>
      </c>
    </row>
    <row r="6211">
      <c r="A6211" s="7">
        <f>HYPERLINK("http://www.lingerieopt.ru/item/11452-soblaznitelnji-bebi-doll-s-glubokim-vjrezom/","11452")</f>
      </c>
      <c r="B6211" s="8" t="s">
        <v>5966</v>
      </c>
      <c r="C6211" s="9">
        <v>1658</v>
      </c>
      <c r="D6211" s="0">
        <v>10</v>
      </c>
      <c r="E6211" s="10">
        <f>HYPERLINK("http://www.lingerieopt.ru/images/original/65630360-5634-45b2-82de-93620b89a4bb.jpg","Фото")</f>
      </c>
    </row>
    <row r="6212">
      <c r="A6212" s="7">
        <f>HYPERLINK("http://www.lingerieopt.ru/item/11452-soblaznitelnji-bebi-doll-s-glubokim-vjrezom/","11452")</f>
      </c>
      <c r="B6212" s="8" t="s">
        <v>5967</v>
      </c>
      <c r="C6212" s="9">
        <v>1658</v>
      </c>
      <c r="D6212" s="0">
        <v>11</v>
      </c>
      <c r="E6212" s="10">
        <f>HYPERLINK("http://www.lingerieopt.ru/images/original/65630360-5634-45b2-82de-93620b89a4bb.jpg","Фото")</f>
      </c>
    </row>
    <row r="6213">
      <c r="A6213" s="7">
        <f>HYPERLINK("http://www.lingerieopt.ru/item/11464-elegantnaya-sorochka-elisya-plus-size-s-plotnjm-lifom/","11464")</f>
      </c>
      <c r="B6213" s="8" t="s">
        <v>5968</v>
      </c>
      <c r="C6213" s="9">
        <v>1993</v>
      </c>
      <c r="D6213" s="0">
        <v>4</v>
      </c>
      <c r="E6213" s="10">
        <f>HYPERLINK("http://www.lingerieopt.ru/images/original/828e37ce-25d4-44ab-81d2-af1f1c6a5588.jpg","Фото")</f>
      </c>
    </row>
    <row r="6214">
      <c r="A6214" s="7">
        <f>HYPERLINK("http://www.lingerieopt.ru/item/11464-elegantnaya-sorochka-elisya-plus-size-s-plotnjm-lifom/","11464")</f>
      </c>
      <c r="B6214" s="8" t="s">
        <v>5969</v>
      </c>
      <c r="C6214" s="9">
        <v>1993</v>
      </c>
      <c r="D6214" s="0">
        <v>10</v>
      </c>
      <c r="E6214" s="10">
        <f>HYPERLINK("http://www.lingerieopt.ru/images/original/828e37ce-25d4-44ab-81d2-af1f1c6a5588.jpg","Фото")</f>
      </c>
    </row>
    <row r="6215">
      <c r="A6215" s="7">
        <f>HYPERLINK("http://www.lingerieopt.ru/item/11464-elegantnaya-sorochka-elisya-plus-size-s-plotnjm-lifom/","11464")</f>
      </c>
      <c r="B6215" s="8" t="s">
        <v>5970</v>
      </c>
      <c r="C6215" s="9">
        <v>1993</v>
      </c>
      <c r="D6215" s="0">
        <v>9</v>
      </c>
      <c r="E6215" s="10">
        <f>HYPERLINK("http://www.lingerieopt.ru/images/original/828e37ce-25d4-44ab-81d2-af1f1c6a5588.jpg","Фото")</f>
      </c>
    </row>
    <row r="6216">
      <c r="A6216" s="7">
        <f>HYPERLINK("http://www.lingerieopt.ru/item/11465-originalnaya-sorochka-gia-plus-size-s-kruzhevnjmi-vstavkami-i-oborkami/","11465")</f>
      </c>
      <c r="B6216" s="8" t="s">
        <v>5971</v>
      </c>
      <c r="C6216" s="9">
        <v>1751</v>
      </c>
      <c r="D6216" s="0">
        <v>5</v>
      </c>
      <c r="E6216" s="10">
        <f>HYPERLINK("http://www.lingerieopt.ru/images/original/2225a717-b532-4c13-b13d-ca4ea7f19c0c.jpg","Фото")</f>
      </c>
    </row>
    <row r="6217">
      <c r="A6217" s="7">
        <f>HYPERLINK("http://www.lingerieopt.ru/item/11465-originalnaya-sorochka-gia-plus-size-s-kruzhevnjmi-vstavkami-i-oborkami/","11465")</f>
      </c>
      <c r="B6217" s="8" t="s">
        <v>5972</v>
      </c>
      <c r="C6217" s="9">
        <v>1751</v>
      </c>
      <c r="D6217" s="0">
        <v>7</v>
      </c>
      <c r="E6217" s="10">
        <f>HYPERLINK("http://www.lingerieopt.ru/images/original/2225a717-b532-4c13-b13d-ca4ea7f19c0c.jpg","Фото")</f>
      </c>
    </row>
    <row r="6218">
      <c r="A6218" s="7">
        <f>HYPERLINK("http://www.lingerieopt.ru/item/11465-originalnaya-sorochka-gia-plus-size-s-kruzhevnjmi-vstavkami-i-oborkami/","11465")</f>
      </c>
      <c r="B6218" s="8" t="s">
        <v>5973</v>
      </c>
      <c r="C6218" s="9">
        <v>1751</v>
      </c>
      <c r="D6218" s="0">
        <v>5</v>
      </c>
      <c r="E6218" s="10">
        <f>HYPERLINK("http://www.lingerieopt.ru/images/original/2225a717-b532-4c13-b13d-ca4ea7f19c0c.jpg","Фото")</f>
      </c>
    </row>
    <row r="6219">
      <c r="A6219" s="7">
        <f>HYPERLINK("http://www.lingerieopt.ru/item/11466-roskoshnaya-sorochka-riley-s-kruzhevnjm-verhom-i-poyasom-pod-grudyu/","11466")</f>
      </c>
      <c r="B6219" s="8" t="s">
        <v>5974</v>
      </c>
      <c r="C6219" s="9">
        <v>2196</v>
      </c>
      <c r="D6219" s="0">
        <v>10</v>
      </c>
      <c r="E6219" s="10">
        <f>HYPERLINK("http://www.lingerieopt.ru/images/original/595bdc8b-3045-441f-a3c9-f7da72c2f82c.jpg","Фото")</f>
      </c>
    </row>
    <row r="6220">
      <c r="A6220" s="7">
        <f>HYPERLINK("http://www.lingerieopt.ru/item/11466-roskoshnaya-sorochka-riley-s-kruzhevnjm-verhom-i-poyasom-pod-grudyu/","11466")</f>
      </c>
      <c r="B6220" s="8" t="s">
        <v>5975</v>
      </c>
      <c r="C6220" s="9">
        <v>2196</v>
      </c>
      <c r="D6220" s="0">
        <v>14</v>
      </c>
      <c r="E6220" s="10">
        <f>HYPERLINK("http://www.lingerieopt.ru/images/original/595bdc8b-3045-441f-a3c9-f7da72c2f82c.jpg","Фото")</f>
      </c>
    </row>
    <row r="6221">
      <c r="A6221" s="7">
        <f>HYPERLINK("http://www.lingerieopt.ru/item/11466-roskoshnaya-sorochka-riley-s-kruzhevnjm-verhom-i-poyasom-pod-grudyu/","11466")</f>
      </c>
      <c r="B6221" s="8" t="s">
        <v>5976</v>
      </c>
      <c r="C6221" s="9">
        <v>2196</v>
      </c>
      <c r="D6221" s="0">
        <v>11</v>
      </c>
      <c r="E6221" s="10">
        <f>HYPERLINK("http://www.lingerieopt.ru/images/original/595bdc8b-3045-441f-a3c9-f7da72c2f82c.jpg","Фото")</f>
      </c>
    </row>
    <row r="6222">
      <c r="A6222" s="7">
        <f>HYPERLINK("http://www.lingerieopt.ru/item/11467-koketlivaya-kruzhevnaya-sorochka-rhiannon-plus-size-s-uzorom-v-vide-bantikov/","11467")</f>
      </c>
      <c r="B6222" s="8" t="s">
        <v>5977</v>
      </c>
      <c r="C6222" s="9">
        <v>2593</v>
      </c>
      <c r="D6222" s="0">
        <v>11</v>
      </c>
      <c r="E6222" s="10">
        <f>HYPERLINK("http://www.lingerieopt.ru/images/original/1b2ceda5-8cc9-4dde-a61c-1cf7ef5e03a7.jpg","Фото")</f>
      </c>
    </row>
    <row r="6223">
      <c r="A6223" s="7">
        <f>HYPERLINK("http://www.lingerieopt.ru/item/11467-koketlivaya-kruzhevnaya-sorochka-rhiannon-plus-size-s-uzorom-v-vide-bantikov/","11467")</f>
      </c>
      <c r="B6223" s="8" t="s">
        <v>5978</v>
      </c>
      <c r="C6223" s="9">
        <v>2593</v>
      </c>
      <c r="D6223" s="0">
        <v>15</v>
      </c>
      <c r="E6223" s="10">
        <f>HYPERLINK("http://www.lingerieopt.ru/images/original/1b2ceda5-8cc9-4dde-a61c-1cf7ef5e03a7.jpg","Фото")</f>
      </c>
    </row>
    <row r="6224">
      <c r="A6224" s="7">
        <f>HYPERLINK("http://www.lingerieopt.ru/item/11467-koketlivaya-kruzhevnaya-sorochka-rhiannon-plus-size-s-uzorom-v-vide-bantikov/","11467")</f>
      </c>
      <c r="B6224" s="8" t="s">
        <v>5979</v>
      </c>
      <c r="C6224" s="9">
        <v>2593</v>
      </c>
      <c r="D6224" s="0">
        <v>9</v>
      </c>
      <c r="E6224" s="10">
        <f>HYPERLINK("http://www.lingerieopt.ru/images/original/1b2ceda5-8cc9-4dde-a61c-1cf7ef5e03a7.jpg","Фото")</f>
      </c>
    </row>
    <row r="6225">
      <c r="A6225" s="5"/>
      <c r="B6225" s="6" t="s">
        <v>5980</v>
      </c>
      <c r="C6225" s="5"/>
      <c r="D6225" s="5"/>
      <c r="E6225" s="5"/>
    </row>
    <row r="6226">
      <c r="A6226" s="7">
        <f>HYPERLINK("http://www.lingerieopt.ru/item/46-trusj-iz-myagkoi-kozhi/","46")</f>
      </c>
      <c r="B6226" s="8" t="s">
        <v>5981</v>
      </c>
      <c r="C6226" s="9">
        <v>2553</v>
      </c>
      <c r="D6226" s="0">
        <v>1</v>
      </c>
      <c r="E6226" s="10">
        <f>HYPERLINK("http://www.lingerieopt.ru/images/original/145c012e-c246-4c36-99f8-c37985a573f4.jpg","Фото")</f>
      </c>
    </row>
    <row r="6227">
      <c r="A6227" s="7">
        <f>HYPERLINK("http://www.lingerieopt.ru/item/56-zhenskie-trusiki-angel/","56")</f>
      </c>
      <c r="B6227" s="8" t="s">
        <v>5982</v>
      </c>
      <c r="C6227" s="9">
        <v>352</v>
      </c>
      <c r="D6227" s="0">
        <v>10</v>
      </c>
      <c r="E6227" s="10">
        <f>HYPERLINK("http://www.lingerieopt.ru/images/original/dddacf7d-3832-4e1f-a505-295c66231067.jpg","Фото")</f>
      </c>
    </row>
    <row r="6228">
      <c r="A6228" s="7">
        <f>HYPERLINK("http://www.lingerieopt.ru/item/56-zhenskie-trusiki-angel/","56")</f>
      </c>
      <c r="B6228" s="8" t="s">
        <v>5983</v>
      </c>
      <c r="C6228" s="9">
        <v>352</v>
      </c>
      <c r="D6228" s="0">
        <v>5</v>
      </c>
      <c r="E6228" s="10">
        <f>HYPERLINK("http://www.lingerieopt.ru/images/original/dddacf7d-3832-4e1f-a505-295c66231067.jpg","Фото")</f>
      </c>
    </row>
    <row r="6229">
      <c r="A6229" s="7">
        <f>HYPERLINK("http://www.lingerieopt.ru/item/375-azhurnje-trusiki-s-razrezom/","375")</f>
      </c>
      <c r="B6229" s="8" t="s">
        <v>5984</v>
      </c>
      <c r="C6229" s="9">
        <v>428</v>
      </c>
      <c r="D6229" s="0">
        <v>8</v>
      </c>
      <c r="E6229" s="10">
        <f>HYPERLINK("http://www.lingerieopt.ru/images/original/2768a36c-8991-4097-9c90-b240bf6ba852.jpg","Фото")</f>
      </c>
    </row>
    <row r="6230">
      <c r="A6230" s="7">
        <f>HYPERLINK("http://www.lingerieopt.ru/item/375-azhurnje-trusiki-s-razrezom/","375")</f>
      </c>
      <c r="B6230" s="8" t="s">
        <v>5985</v>
      </c>
      <c r="C6230" s="9">
        <v>428</v>
      </c>
      <c r="D6230" s="0">
        <v>4</v>
      </c>
      <c r="E6230" s="10">
        <f>HYPERLINK("http://www.lingerieopt.ru/images/original/2768a36c-8991-4097-9c90-b240bf6ba852.jpg","Фото")</f>
      </c>
    </row>
    <row r="6231">
      <c r="A6231" s="7">
        <f>HYPERLINK("http://www.lingerieopt.ru/item/375-azhurnje-trusiki-s-razrezom/","375")</f>
      </c>
      <c r="B6231" s="8" t="s">
        <v>5986</v>
      </c>
      <c r="C6231" s="9">
        <v>428</v>
      </c>
      <c r="D6231" s="0">
        <v>14</v>
      </c>
      <c r="E6231" s="10">
        <f>HYPERLINK("http://www.lingerieopt.ru/images/original/2768a36c-8991-4097-9c90-b240bf6ba852.jpg","Фото")</f>
      </c>
    </row>
    <row r="6232">
      <c r="A6232" s="7">
        <f>HYPERLINK("http://www.lingerieopt.ru/item/376-azhurnje-stringi-s-razrezom/","376")</f>
      </c>
      <c r="B6232" s="8" t="s">
        <v>5987</v>
      </c>
      <c r="C6232" s="9">
        <v>528</v>
      </c>
      <c r="D6232" s="0">
        <v>5</v>
      </c>
      <c r="E6232" s="10">
        <f>HYPERLINK("http://www.lingerieopt.ru/images/original/8def02ed-45c8-4742-884c-f077f73b040c.jpg","Фото")</f>
      </c>
    </row>
    <row r="6233">
      <c r="A6233" s="7">
        <f>HYPERLINK("http://www.lingerieopt.ru/item/376-azhurnje-stringi-s-razrezom/","376")</f>
      </c>
      <c r="B6233" s="8" t="s">
        <v>5988</v>
      </c>
      <c r="C6233" s="9">
        <v>528</v>
      </c>
      <c r="D6233" s="0">
        <v>2</v>
      </c>
      <c r="E6233" s="10">
        <f>HYPERLINK("http://www.lingerieopt.ru/images/original/8def02ed-45c8-4742-884c-f077f73b040c.jpg","Фото")</f>
      </c>
    </row>
    <row r="6234">
      <c r="A6234" s="7">
        <f>HYPERLINK("http://www.lingerieopt.ru/item/376-azhurnje-stringi-s-razrezom/","376")</f>
      </c>
      <c r="B6234" s="8" t="s">
        <v>5989</v>
      </c>
      <c r="C6234" s="9">
        <v>528</v>
      </c>
      <c r="D6234" s="0">
        <v>2</v>
      </c>
      <c r="E6234" s="10">
        <f>HYPERLINK("http://www.lingerieopt.ru/images/original/8def02ed-45c8-4742-884c-f077f73b040c.jpg","Фото")</f>
      </c>
    </row>
    <row r="6235">
      <c r="A6235" s="7">
        <f>HYPERLINK("http://www.lingerieopt.ru/item/378-trusiki-stringi-s-razrezom/","378")</f>
      </c>
      <c r="B6235" s="8" t="s">
        <v>5990</v>
      </c>
      <c r="C6235" s="9">
        <v>503</v>
      </c>
      <c r="D6235" s="0">
        <v>2</v>
      </c>
      <c r="E6235" s="10">
        <f>HYPERLINK("http://www.lingerieopt.ru/images/original/591205a7-020b-4911-bf94-e0aff539e987.jpg","Фото")</f>
      </c>
    </row>
    <row r="6236">
      <c r="A6236" s="7">
        <f>HYPERLINK("http://www.lingerieopt.ru/item/378-trusiki-stringi-s-razrezom/","378")</f>
      </c>
      <c r="B6236" s="8" t="s">
        <v>5991</v>
      </c>
      <c r="C6236" s="9">
        <v>503</v>
      </c>
      <c r="D6236" s="0">
        <v>0</v>
      </c>
      <c r="E6236" s="10">
        <f>HYPERLINK("http://www.lingerieopt.ru/images/original/591205a7-020b-4911-bf94-e0aff539e987.jpg","Фото")</f>
      </c>
    </row>
    <row r="6237">
      <c r="A6237" s="7">
        <f>HYPERLINK("http://www.lingerieopt.ru/item/381-chernje-prozrachnje-trusiki/","381")</f>
      </c>
      <c r="B6237" s="8" t="s">
        <v>5992</v>
      </c>
      <c r="C6237" s="9">
        <v>624</v>
      </c>
      <c r="D6237" s="0">
        <v>0</v>
      </c>
      <c r="E6237" s="10">
        <f>HYPERLINK("http://www.lingerieopt.ru/images/original/a46c91bd-4723-4501-acb4-7150d724017f.jpg","Фото")</f>
      </c>
    </row>
    <row r="6238">
      <c r="A6238" s="7">
        <f>HYPERLINK("http://www.lingerieopt.ru/item/381-chernje-prozrachnje-trusiki/","381")</f>
      </c>
      <c r="B6238" s="8" t="s">
        <v>5993</v>
      </c>
      <c r="C6238" s="9">
        <v>624</v>
      </c>
      <c r="D6238" s="0">
        <v>3</v>
      </c>
      <c r="E6238" s="10">
        <f>HYPERLINK("http://www.lingerieopt.ru/images/original/a46c91bd-4723-4501-acb4-7150d724017f.jpg","Фото")</f>
      </c>
    </row>
    <row r="6239">
      <c r="A6239" s="7">
        <f>HYPERLINK("http://www.lingerieopt.ru/item/386-kruzhevnje-string-s-razrezom/","386")</f>
      </c>
      <c r="B6239" s="8" t="s">
        <v>5994</v>
      </c>
      <c r="C6239" s="9">
        <v>593</v>
      </c>
      <c r="D6239" s="0">
        <v>12</v>
      </c>
      <c r="E6239" s="10">
        <f>HYPERLINK("http://www.lingerieopt.ru/images/original/80be720d-edc9-4c7b-9372-f9e65f650d25.jpg","Фото")</f>
      </c>
    </row>
    <row r="6240">
      <c r="A6240" s="7">
        <f>HYPERLINK("http://www.lingerieopt.ru/item/386-kruzhevnje-string-s-razrezom/","386")</f>
      </c>
      <c r="B6240" s="8" t="s">
        <v>5995</v>
      </c>
      <c r="C6240" s="9">
        <v>593</v>
      </c>
      <c r="D6240" s="0">
        <v>7</v>
      </c>
      <c r="E6240" s="10">
        <f>HYPERLINK("http://www.lingerieopt.ru/images/original/80be720d-edc9-4c7b-9372-f9e65f650d25.jpg","Фото")</f>
      </c>
    </row>
    <row r="6241">
      <c r="A6241" s="7">
        <f>HYPERLINK("http://www.lingerieopt.ru/item/386-kruzhevnje-string-s-razrezom/","386")</f>
      </c>
      <c r="B6241" s="8" t="s">
        <v>5996</v>
      </c>
      <c r="C6241" s="9">
        <v>593</v>
      </c>
      <c r="D6241" s="0">
        <v>0</v>
      </c>
      <c r="E6241" s="10">
        <f>HYPERLINK("http://www.lingerieopt.ru/images/original/80be720d-edc9-4c7b-9372-f9e65f650d25.jpg","Фото")</f>
      </c>
    </row>
    <row r="6242">
      <c r="A6242" s="7">
        <f>HYPERLINK("http://www.lingerieopt.ru/item/386-kruzhevnje-string-s-razrezom/","386")</f>
      </c>
      <c r="B6242" s="8" t="s">
        <v>5997</v>
      </c>
      <c r="C6242" s="9">
        <v>593</v>
      </c>
      <c r="D6242" s="0">
        <v>0</v>
      </c>
      <c r="E6242" s="10">
        <f>HYPERLINK("http://www.lingerieopt.ru/images/original/80be720d-edc9-4c7b-9372-f9e65f650d25.jpg","Фото")</f>
      </c>
    </row>
    <row r="6243">
      <c r="A6243" s="7">
        <f>HYPERLINK("http://www.lingerieopt.ru/item/387-kruzhevnje-stringi-s-razrezom/","387")</f>
      </c>
      <c r="B6243" s="8" t="s">
        <v>5998</v>
      </c>
      <c r="C6243" s="9">
        <v>447</v>
      </c>
      <c r="D6243" s="0">
        <v>15</v>
      </c>
      <c r="E6243" s="10">
        <f>HYPERLINK("http://www.lingerieopt.ru/images/original/9a57ea8e-0cd4-4a55-9c7b-b35fc781ca8d.jpg","Фото")</f>
      </c>
    </row>
    <row r="6244">
      <c r="A6244" s="7">
        <f>HYPERLINK("http://www.lingerieopt.ru/item/387-kruzhevnje-stringi-s-razrezom/","387")</f>
      </c>
      <c r="B6244" s="8" t="s">
        <v>5999</v>
      </c>
      <c r="C6244" s="9">
        <v>447</v>
      </c>
      <c r="D6244" s="0">
        <v>6</v>
      </c>
      <c r="E6244" s="10">
        <f>HYPERLINK("http://www.lingerieopt.ru/images/original/9a57ea8e-0cd4-4a55-9c7b-b35fc781ca8d.jpg","Фото")</f>
      </c>
    </row>
    <row r="6245">
      <c r="A6245" s="7">
        <f>HYPERLINK("http://www.lingerieopt.ru/item/388-kruzhevnje-trusiki-s-vjrezom-i-ukrasheniem/","388")</f>
      </c>
      <c r="B6245" s="8" t="s">
        <v>6000</v>
      </c>
      <c r="C6245" s="9">
        <v>423</v>
      </c>
      <c r="D6245" s="0">
        <v>8</v>
      </c>
      <c r="E6245" s="10">
        <f>HYPERLINK("http://www.lingerieopt.ru/images/original/87ccec6d-cf97-4c99-b8b4-9e7b6a1b014b.jpg","Фото")</f>
      </c>
    </row>
    <row r="6246">
      <c r="A6246" s="7">
        <f>HYPERLINK("http://www.lingerieopt.ru/item/388-kruzhevnje-trusiki-s-vjrezom-i-ukrasheniem/","388")</f>
      </c>
      <c r="B6246" s="8" t="s">
        <v>6001</v>
      </c>
      <c r="C6246" s="9">
        <v>423</v>
      </c>
      <c r="D6246" s="0">
        <v>21</v>
      </c>
      <c r="E6246" s="10">
        <f>HYPERLINK("http://www.lingerieopt.ru/images/original/87ccec6d-cf97-4c99-b8b4-9e7b6a1b014b.jpg","Фото")</f>
      </c>
    </row>
    <row r="6247">
      <c r="A6247" s="7">
        <f>HYPERLINK("http://www.lingerieopt.ru/item/388-kruzhevnje-trusiki-s-vjrezom-i-ukrasheniem/","388")</f>
      </c>
      <c r="B6247" s="8" t="s">
        <v>6002</v>
      </c>
      <c r="C6247" s="9">
        <v>423</v>
      </c>
      <c r="D6247" s="0">
        <v>16</v>
      </c>
      <c r="E6247" s="10">
        <f>HYPERLINK("http://www.lingerieopt.ru/images/original/87ccec6d-cf97-4c99-b8b4-9e7b6a1b014b.jpg","Фото")</f>
      </c>
    </row>
    <row r="6248">
      <c r="A6248" s="7">
        <f>HYPERLINK("http://www.lingerieopt.ru/item/389-zhenskie-trusiki-s-bantikom-szadi/","389")</f>
      </c>
      <c r="B6248" s="8" t="s">
        <v>6003</v>
      </c>
      <c r="C6248" s="9">
        <v>441</v>
      </c>
      <c r="D6248" s="0">
        <v>8</v>
      </c>
      <c r="E6248" s="10">
        <f>HYPERLINK("http://www.lingerieopt.ru/images/original/6693faa6-6d78-4d44-9c69-1b7646678469.jpg","Фото")</f>
      </c>
    </row>
    <row r="6249">
      <c r="A6249" s="7">
        <f>HYPERLINK("http://www.lingerieopt.ru/item/389-zhenskie-trusiki-s-bantikom-szadi/","389")</f>
      </c>
      <c r="B6249" s="8" t="s">
        <v>6004</v>
      </c>
      <c r="C6249" s="9">
        <v>441</v>
      </c>
      <c r="D6249" s="0">
        <v>0</v>
      </c>
      <c r="E6249" s="10">
        <f>HYPERLINK("http://www.lingerieopt.ru/images/original/6693faa6-6d78-4d44-9c69-1b7646678469.jpg","Фото")</f>
      </c>
    </row>
    <row r="6250">
      <c r="A6250" s="7">
        <f>HYPERLINK("http://www.lingerieopt.ru/item/391-cherno-rozovje-trusiki-s-vjrezom/","391")</f>
      </c>
      <c r="B6250" s="8" t="s">
        <v>6005</v>
      </c>
      <c r="C6250" s="9">
        <v>495</v>
      </c>
      <c r="D6250" s="0">
        <v>0</v>
      </c>
      <c r="E6250" s="10">
        <f>HYPERLINK("http://www.lingerieopt.ru/images/original/1882506d-ce8e-4e58-acb3-db1916af841c.jpg","Фото")</f>
      </c>
    </row>
    <row r="6251">
      <c r="A6251" s="7">
        <f>HYPERLINK("http://www.lingerieopt.ru/item/391-cherno-rozovje-trusiki-s-vjrezom/","391")</f>
      </c>
      <c r="B6251" s="8" t="s">
        <v>6006</v>
      </c>
      <c r="C6251" s="9">
        <v>495</v>
      </c>
      <c r="D6251" s="0">
        <v>5</v>
      </c>
      <c r="E6251" s="10">
        <f>HYPERLINK("http://www.lingerieopt.ru/images/original/1882506d-ce8e-4e58-acb3-db1916af841c.jpg","Фото")</f>
      </c>
    </row>
    <row r="6252">
      <c r="A6252" s="7">
        <f>HYPERLINK("http://www.lingerieopt.ru/item/392-chernje-trusiki-s-bantikom-szadi/","392")</f>
      </c>
      <c r="B6252" s="8" t="s">
        <v>6007</v>
      </c>
      <c r="C6252" s="9">
        <v>580</v>
      </c>
      <c r="D6252" s="0">
        <v>10</v>
      </c>
      <c r="E6252" s="10">
        <f>HYPERLINK("http://www.lingerieopt.ru/images/original/8d6186d5-ee43-40b8-882d-a35d5688b313.jpg","Фото")</f>
      </c>
    </row>
    <row r="6253">
      <c r="A6253" s="7">
        <f>HYPERLINK("http://www.lingerieopt.ru/item/393-otkrjtje-belje-trusiki-s-bantikami-i-ukrasheniyami/","393")</f>
      </c>
      <c r="B6253" s="8" t="s">
        <v>6008</v>
      </c>
      <c r="C6253" s="9">
        <v>538</v>
      </c>
      <c r="D6253" s="0">
        <v>16</v>
      </c>
      <c r="E6253" s="10">
        <f>HYPERLINK("http://www.lingerieopt.ru/images/original/65093e12-b9dd-43a4-9e0a-6982fa8ed082.jpg","Фото")</f>
      </c>
    </row>
    <row r="6254">
      <c r="A6254" s="7">
        <f>HYPERLINK("http://www.lingerieopt.ru/item/395-kruzhevnje-trusiki-s-prorezyu/","395")</f>
      </c>
      <c r="B6254" s="8" t="s">
        <v>6009</v>
      </c>
      <c r="C6254" s="9">
        <v>404</v>
      </c>
      <c r="D6254" s="0">
        <v>0</v>
      </c>
      <c r="E6254" s="10">
        <f>HYPERLINK("http://www.lingerieopt.ru/images/original/a997f6de-cd80-44ac-8094-9b3c37335fdd.jpg","Фото")</f>
      </c>
    </row>
    <row r="6255">
      <c r="A6255" s="7">
        <f>HYPERLINK("http://www.lingerieopt.ru/item/395-kruzhevnje-trusiki-s-prorezyu/","395")</f>
      </c>
      <c r="B6255" s="8" t="s">
        <v>6010</v>
      </c>
      <c r="C6255" s="9">
        <v>404</v>
      </c>
      <c r="D6255" s="0">
        <v>13</v>
      </c>
      <c r="E6255" s="10">
        <f>HYPERLINK("http://www.lingerieopt.ru/images/original/a997f6de-cd80-44ac-8094-9b3c37335fdd.jpg","Фото")</f>
      </c>
    </row>
    <row r="6256">
      <c r="A6256" s="7">
        <f>HYPERLINK("http://www.lingerieopt.ru/item/402-trusiki-s-prorezyu-skoraya-pomosch/","402")</f>
      </c>
      <c r="B6256" s="8" t="s">
        <v>6011</v>
      </c>
      <c r="C6256" s="9">
        <v>574</v>
      </c>
      <c r="D6256" s="0">
        <v>16</v>
      </c>
      <c r="E6256" s="10">
        <f>HYPERLINK("http://www.lingerieopt.ru/images/original/5196e5c7-4e19-4731-a519-d7c16630fd4b.jpg","Фото")</f>
      </c>
    </row>
    <row r="6257">
      <c r="A6257" s="7">
        <f>HYPERLINK("http://www.lingerieopt.ru/item/402-trusiki-s-prorezyu-skoraya-pomosch/","402")</f>
      </c>
      <c r="B6257" s="8" t="s">
        <v>6012</v>
      </c>
      <c r="C6257" s="9">
        <v>574</v>
      </c>
      <c r="D6257" s="0">
        <v>15</v>
      </c>
      <c r="E6257" s="10">
        <f>HYPERLINK("http://www.lingerieopt.ru/images/original/5196e5c7-4e19-4731-a519-d7c16630fd4b.jpg","Фото")</f>
      </c>
    </row>
    <row r="6258">
      <c r="A6258" s="7">
        <f>HYPERLINK("http://www.lingerieopt.ru/item/442-chernje-azhurnje-trusiki-s-vjrezom-i-zavyazochkoi/","442")</f>
      </c>
      <c r="B6258" s="8" t="s">
        <v>6013</v>
      </c>
      <c r="C6258" s="9">
        <v>423</v>
      </c>
      <c r="D6258" s="0">
        <v>4</v>
      </c>
      <c r="E6258" s="10">
        <f>HYPERLINK("http://www.lingerieopt.ru/images/original/90b01643-873c-4d91-ae65-6e64a6b963f4.jpg","Фото")</f>
      </c>
    </row>
    <row r="6259">
      <c r="A6259" s="7">
        <f>HYPERLINK("http://www.lingerieopt.ru/item/442-chernje-azhurnje-trusiki-s-vjrezom-i-zavyazochkoi/","442")</f>
      </c>
      <c r="B6259" s="8" t="s">
        <v>6014</v>
      </c>
      <c r="C6259" s="9">
        <v>423</v>
      </c>
      <c r="D6259" s="0">
        <v>8</v>
      </c>
      <c r="E6259" s="10">
        <f>HYPERLINK("http://www.lingerieopt.ru/images/original/90b01643-873c-4d91-ae65-6e64a6b963f4.jpg","Фото")</f>
      </c>
    </row>
    <row r="6260">
      <c r="A6260" s="7">
        <f>HYPERLINK("http://www.lingerieopt.ru/item/443-kruzhevnje-trusiki-stringi-s-razrezom-i-zavyazochkoi/","443")</f>
      </c>
      <c r="B6260" s="8" t="s">
        <v>6015</v>
      </c>
      <c r="C6260" s="9">
        <v>476</v>
      </c>
      <c r="D6260" s="0">
        <v>16</v>
      </c>
      <c r="E6260" s="10">
        <f>HYPERLINK("http://www.lingerieopt.ru/images/original/3a0c83e1-a820-40ce-9cb0-c0f495604086.jpg","Фото")</f>
      </c>
    </row>
    <row r="6261">
      <c r="A6261" s="7">
        <f>HYPERLINK("http://www.lingerieopt.ru/item/443-kruzhevnje-trusiki-stringi-s-razrezom-i-zavyazochkoi/","443")</f>
      </c>
      <c r="B6261" s="8" t="s">
        <v>6016</v>
      </c>
      <c r="C6261" s="9">
        <v>476</v>
      </c>
      <c r="D6261" s="0">
        <v>1</v>
      </c>
      <c r="E6261" s="10">
        <f>HYPERLINK("http://www.lingerieopt.ru/images/original/3a0c83e1-a820-40ce-9cb0-c0f495604086.jpg","Фото")</f>
      </c>
    </row>
    <row r="6262">
      <c r="A6262" s="7">
        <f>HYPERLINK("http://www.lingerieopt.ru/item/444-trusiki-s-bantikom-i-razrezom/","444")</f>
      </c>
      <c r="B6262" s="8" t="s">
        <v>6017</v>
      </c>
      <c r="C6262" s="9">
        <v>441</v>
      </c>
      <c r="D6262" s="0">
        <v>0</v>
      </c>
      <c r="E6262" s="10">
        <f>HYPERLINK("http://www.lingerieopt.ru/images/original/d77897a4-b004-4098-8c38-73077df3fecf.jpg","Фото")</f>
      </c>
    </row>
    <row r="6263">
      <c r="A6263" s="7">
        <f>HYPERLINK("http://www.lingerieopt.ru/item/444-trusiki-s-bantikom-i-razrezom/","444")</f>
      </c>
      <c r="B6263" s="8" t="s">
        <v>6018</v>
      </c>
      <c r="C6263" s="9">
        <v>441</v>
      </c>
      <c r="D6263" s="0">
        <v>11</v>
      </c>
      <c r="E6263" s="10">
        <f>HYPERLINK("http://www.lingerieopt.ru/images/original/d77897a4-b004-4098-8c38-73077df3fecf.jpg","Фото")</f>
      </c>
    </row>
    <row r="6264">
      <c r="A6264" s="7">
        <f>HYPERLINK("http://www.lingerieopt.ru/item/445-otkrovennje-trusiki-s-ukrasheniem/","445")</f>
      </c>
      <c r="B6264" s="8" t="s">
        <v>6019</v>
      </c>
      <c r="C6264" s="9">
        <v>417</v>
      </c>
      <c r="D6264" s="0">
        <v>16</v>
      </c>
      <c r="E6264" s="10">
        <f>HYPERLINK("http://www.lingerieopt.ru/images/original/d46e0176-2b9f-498e-b9ee-c5e5b3ec9ef9.jpg","Фото")</f>
      </c>
    </row>
    <row r="6265">
      <c r="A6265" s="7">
        <f>HYPERLINK("http://www.lingerieopt.ru/item/446-leopardovje-trusiki-stringi-s-ukrasheniem/","446")</f>
      </c>
      <c r="B6265" s="8" t="s">
        <v>6020</v>
      </c>
      <c r="C6265" s="9">
        <v>465</v>
      </c>
      <c r="D6265" s="0">
        <v>9</v>
      </c>
      <c r="E6265" s="10">
        <f>HYPERLINK("http://www.lingerieopt.ru/images/original/988eae2d-8386-41aa-83a0-38f1223b9898.jpg","Фото")</f>
      </c>
    </row>
    <row r="6266">
      <c r="A6266" s="7">
        <f>HYPERLINK("http://www.lingerieopt.ru/item/450-prozrachnje-trusiki-s-razrezom-i-bantikom/","450")</f>
      </c>
      <c r="B6266" s="8" t="s">
        <v>6021</v>
      </c>
      <c r="C6266" s="9">
        <v>447</v>
      </c>
      <c r="D6266" s="0">
        <v>4</v>
      </c>
      <c r="E6266" s="10">
        <f>HYPERLINK("http://www.lingerieopt.ru/images/original/ffbc70ef-4503-4e88-94d3-3b1705fb737d.jpg","Фото")</f>
      </c>
    </row>
    <row r="6267">
      <c r="A6267" s="7">
        <f>HYPERLINK("http://www.lingerieopt.ru/item/450-prozrachnje-trusiki-s-razrezom-i-bantikom/","450")</f>
      </c>
      <c r="B6267" s="8" t="s">
        <v>6022</v>
      </c>
      <c r="C6267" s="9">
        <v>447</v>
      </c>
      <c r="D6267" s="0">
        <v>11</v>
      </c>
      <c r="E6267" s="10">
        <f>HYPERLINK("http://www.lingerieopt.ru/images/original/ffbc70ef-4503-4e88-94d3-3b1705fb737d.jpg","Фото")</f>
      </c>
    </row>
    <row r="6268">
      <c r="A6268" s="7">
        <f>HYPERLINK("http://www.lingerieopt.ru/item/450-prozrachnje-trusiki-s-razrezom-i-bantikom/","450")</f>
      </c>
      <c r="B6268" s="8" t="s">
        <v>6023</v>
      </c>
      <c r="C6268" s="9">
        <v>447</v>
      </c>
      <c r="D6268" s="0">
        <v>8</v>
      </c>
      <c r="E6268" s="10">
        <f>HYPERLINK("http://www.lingerieopt.ru/images/original/ffbc70ef-4503-4e88-94d3-3b1705fb737d.jpg","Фото")</f>
      </c>
    </row>
    <row r="6269">
      <c r="A6269" s="7">
        <f>HYPERLINK("http://www.lingerieopt.ru/item/450-prozrachnje-trusiki-s-razrezom-i-bantikom/","450")</f>
      </c>
      <c r="B6269" s="8" t="s">
        <v>6024</v>
      </c>
      <c r="C6269" s="9">
        <v>447</v>
      </c>
      <c r="D6269" s="0">
        <v>6</v>
      </c>
      <c r="E6269" s="10">
        <f>HYPERLINK("http://www.lingerieopt.ru/images/original/ffbc70ef-4503-4e88-94d3-3b1705fb737d.jpg","Фото")</f>
      </c>
    </row>
    <row r="6270">
      <c r="A6270" s="7">
        <f>HYPERLINK("http://www.lingerieopt.ru/item/451-atlasnje-trusiki-s-kruzhevnoi-vstavkoi-i-bantikom/","451")</f>
      </c>
      <c r="B6270" s="8" t="s">
        <v>6025</v>
      </c>
      <c r="C6270" s="9">
        <v>495</v>
      </c>
      <c r="D6270" s="0">
        <v>0</v>
      </c>
      <c r="E6270" s="10">
        <f>HYPERLINK("http://www.lingerieopt.ru/images/original/58836aac-f14e-4250-873a-506a79128708.jpg","Фото")</f>
      </c>
    </row>
    <row r="6271">
      <c r="A6271" s="7">
        <f>HYPERLINK("http://www.lingerieopt.ru/item/451-atlasnje-trusiki-s-kruzhevnoi-vstavkoi-i-bantikom/","451")</f>
      </c>
      <c r="B6271" s="8" t="s">
        <v>6026</v>
      </c>
      <c r="C6271" s="9">
        <v>495</v>
      </c>
      <c r="D6271" s="0">
        <v>4</v>
      </c>
      <c r="E6271" s="10">
        <f>HYPERLINK("http://www.lingerieopt.ru/images/original/58836aac-f14e-4250-873a-506a79128708.jpg","Фото")</f>
      </c>
    </row>
    <row r="6272">
      <c r="A6272" s="7">
        <f>HYPERLINK("http://www.lingerieopt.ru/item/455-zhenskie-trusiki-s-kruzhevnjm-risunkom-i-prorezyu/","455")</f>
      </c>
      <c r="B6272" s="8" t="s">
        <v>6027</v>
      </c>
      <c r="C6272" s="9">
        <v>483</v>
      </c>
      <c r="D6272" s="0">
        <v>11</v>
      </c>
      <c r="E6272" s="10">
        <f>HYPERLINK("http://www.lingerieopt.ru/images/original/9016e355-bb97-4f14-bed1-0e788442fb54.jpg","Фото")</f>
      </c>
    </row>
    <row r="6273">
      <c r="A6273" s="7">
        <f>HYPERLINK("http://www.lingerieopt.ru/item/455-zhenskie-trusiki-s-kruzhevnjm-risunkom-i-prorezyu/","455")</f>
      </c>
      <c r="B6273" s="8" t="s">
        <v>6028</v>
      </c>
      <c r="C6273" s="9">
        <v>483</v>
      </c>
      <c r="D6273" s="0">
        <v>11</v>
      </c>
      <c r="E6273" s="10">
        <f>HYPERLINK("http://www.lingerieopt.ru/images/original/9016e355-bb97-4f14-bed1-0e788442fb54.jpg","Фото")</f>
      </c>
    </row>
    <row r="6274">
      <c r="A6274" s="7">
        <f>HYPERLINK("http://www.lingerieopt.ru/item/455-zhenskie-trusiki-s-kruzhevnjm-risunkom-i-prorezyu/","455")</f>
      </c>
      <c r="B6274" s="8" t="s">
        <v>6029</v>
      </c>
      <c r="C6274" s="9">
        <v>483</v>
      </c>
      <c r="D6274" s="0">
        <v>12</v>
      </c>
      <c r="E6274" s="10">
        <f>HYPERLINK("http://www.lingerieopt.ru/images/original/9016e355-bb97-4f14-bed1-0e788442fb54.jpg","Фото")</f>
      </c>
    </row>
    <row r="6275">
      <c r="A6275" s="7">
        <f>HYPERLINK("http://www.lingerieopt.ru/item/1090-trusiki-s-kruzhevnoi-yubochkoi-i-dostupom/","1090")</f>
      </c>
      <c r="B6275" s="8" t="s">
        <v>6030</v>
      </c>
      <c r="C6275" s="9">
        <v>618</v>
      </c>
      <c r="D6275" s="0">
        <v>2</v>
      </c>
      <c r="E6275" s="10">
        <f>HYPERLINK("http://www.lingerieopt.ru/images/original/ecc9c779-f3c2-413d-812b-7a2f1443485f.jpg","Фото")</f>
      </c>
    </row>
    <row r="6276">
      <c r="A6276" s="7">
        <f>HYPERLINK("http://www.lingerieopt.ru/item/1090-trusiki-s-kruzhevnoi-yubochkoi-i-dostupom/","1090")</f>
      </c>
      <c r="B6276" s="8" t="s">
        <v>6031</v>
      </c>
      <c r="C6276" s="9">
        <v>618</v>
      </c>
      <c r="D6276" s="0">
        <v>2</v>
      </c>
      <c r="E6276" s="10">
        <f>HYPERLINK("http://www.lingerieopt.ru/images/original/ecc9c779-f3c2-413d-812b-7a2f1443485f.jpg","Фото")</f>
      </c>
    </row>
    <row r="6277">
      <c r="A6277" s="7">
        <f>HYPERLINK("http://www.lingerieopt.ru/item/1090-trusiki-s-kruzhevnoi-yubochkoi-i-dostupom/","1090")</f>
      </c>
      <c r="B6277" s="8" t="s">
        <v>6032</v>
      </c>
      <c r="C6277" s="9">
        <v>618</v>
      </c>
      <c r="D6277" s="0">
        <v>2</v>
      </c>
      <c r="E6277" s="10">
        <f>HYPERLINK("http://www.lingerieopt.ru/images/original/ecc9c779-f3c2-413d-812b-7a2f1443485f.jpg","Фото")</f>
      </c>
    </row>
    <row r="6278">
      <c r="A6278" s="7">
        <f>HYPERLINK("http://www.lingerieopt.ru/item/1093-trusiki-v-forme-klubniki/","1093")</f>
      </c>
      <c r="B6278" s="8" t="s">
        <v>6033</v>
      </c>
      <c r="C6278" s="9">
        <v>417</v>
      </c>
      <c r="D6278" s="0">
        <v>16</v>
      </c>
      <c r="E6278" s="10">
        <f>HYPERLINK("http://www.lingerieopt.ru/images/original/4c5a527f-86a5-4756-b8ea-c6815a0e33dc.jpg","Фото")</f>
      </c>
    </row>
    <row r="6279">
      <c r="A6279" s="7">
        <f>HYPERLINK("http://www.lingerieopt.ru/item/1096-kruzhevnje-trusiki-stringi-s-pikantnjm-razrezom/","1096")</f>
      </c>
      <c r="B6279" s="8" t="s">
        <v>6034</v>
      </c>
      <c r="C6279" s="9">
        <v>465</v>
      </c>
      <c r="D6279" s="0">
        <v>0</v>
      </c>
      <c r="E6279" s="10">
        <f>HYPERLINK("http://www.lingerieopt.ru/images/original/2d853229-1306-4057-a856-500771a47b96.jpg","Фото")</f>
      </c>
    </row>
    <row r="6280">
      <c r="A6280" s="7">
        <f>HYPERLINK("http://www.lingerieopt.ru/item/1096-kruzhevnje-trusiki-stringi-s-pikantnjm-razrezom/","1096")</f>
      </c>
      <c r="B6280" s="8" t="s">
        <v>6035</v>
      </c>
      <c r="C6280" s="9">
        <v>465</v>
      </c>
      <c r="D6280" s="0">
        <v>7</v>
      </c>
      <c r="E6280" s="10">
        <f>HYPERLINK("http://www.lingerieopt.ru/images/original/2d853229-1306-4057-a856-500771a47b96.jpg","Фото")</f>
      </c>
    </row>
    <row r="6281">
      <c r="A6281" s="7">
        <f>HYPERLINK("http://www.lingerieopt.ru/item/1097-stringi-s-igrivjm-bantikom/","1097")</f>
      </c>
      <c r="B6281" s="8" t="s">
        <v>6036</v>
      </c>
      <c r="C6281" s="9">
        <v>502</v>
      </c>
      <c r="D6281" s="0">
        <v>13</v>
      </c>
      <c r="E6281" s="10">
        <f>HYPERLINK("http://www.lingerieopt.ru/images/original/465afe1b-7c03-4749-9236-bbcc6480bc3f.jpg","Фото")</f>
      </c>
    </row>
    <row r="6282">
      <c r="A6282" s="7">
        <f>HYPERLINK("http://www.lingerieopt.ru/item/1097-stringi-s-igrivjm-bantikom/","1097")</f>
      </c>
      <c r="B6282" s="8" t="s">
        <v>6037</v>
      </c>
      <c r="C6282" s="9">
        <v>502</v>
      </c>
      <c r="D6282" s="0">
        <v>7</v>
      </c>
      <c r="E6282" s="10">
        <f>HYPERLINK("http://www.lingerieopt.ru/images/original/465afe1b-7c03-4749-9236-bbcc6480bc3f.jpg","Фото")</f>
      </c>
    </row>
    <row r="6283">
      <c r="A6283" s="7">
        <f>HYPERLINK("http://www.lingerieopt.ru/item/1098-stringi-s-nitkoi-busin/","1098")</f>
      </c>
      <c r="B6283" s="8" t="s">
        <v>6038</v>
      </c>
      <c r="C6283" s="9">
        <v>452</v>
      </c>
      <c r="D6283" s="0">
        <v>10</v>
      </c>
      <c r="E6283" s="10">
        <f>HYPERLINK("http://www.lingerieopt.ru/images/original/e0c329cb-d2ff-47fe-a877-c86cde846772.jpg","Фото")</f>
      </c>
    </row>
    <row r="6284">
      <c r="A6284" s="7">
        <f>HYPERLINK("http://www.lingerieopt.ru/item/1098-stringi-s-nitkoi-busin/","1098")</f>
      </c>
      <c r="B6284" s="8" t="s">
        <v>6039</v>
      </c>
      <c r="C6284" s="9">
        <v>452</v>
      </c>
      <c r="D6284" s="0">
        <v>9</v>
      </c>
      <c r="E6284" s="10">
        <f>HYPERLINK("http://www.lingerieopt.ru/images/original/e0c329cb-d2ff-47fe-a877-c86cde846772.jpg","Фото")</f>
      </c>
    </row>
    <row r="6285">
      <c r="A6285" s="7">
        <f>HYPERLINK("http://www.lingerieopt.ru/item/1100-trusiki-s-prorezyu-i-poyasom-v-vide-dvuh-lent-na-broshke/","1100")</f>
      </c>
      <c r="B6285" s="8" t="s">
        <v>6040</v>
      </c>
      <c r="C6285" s="9">
        <v>665</v>
      </c>
      <c r="D6285" s="0">
        <v>6</v>
      </c>
      <c r="E6285" s="10">
        <f>HYPERLINK("http://www.lingerieopt.ru/images/original/406a3c0e-ab6b-42d1-88df-40f74df564bf.jpg","Фото")</f>
      </c>
    </row>
    <row r="6286">
      <c r="A6286" s="7">
        <f>HYPERLINK("http://www.lingerieopt.ru/item/1100-trusiki-s-prorezyu-i-poyasom-v-vide-dvuh-lent-na-broshke/","1100")</f>
      </c>
      <c r="B6286" s="8" t="s">
        <v>6041</v>
      </c>
      <c r="C6286" s="9">
        <v>665</v>
      </c>
      <c r="D6286" s="0">
        <v>7</v>
      </c>
      <c r="E6286" s="10">
        <f>HYPERLINK("http://www.lingerieopt.ru/images/original/406a3c0e-ab6b-42d1-88df-40f74df564bf.jpg","Фото")</f>
      </c>
    </row>
    <row r="6287">
      <c r="A6287" s="7">
        <f>HYPERLINK("http://www.lingerieopt.ru/item/1102-stringi-s-nityu-busin-speredi-i-kruzhevnjm-poyasom/","1102")</f>
      </c>
      <c r="B6287" s="8" t="s">
        <v>6042</v>
      </c>
      <c r="C6287" s="9">
        <v>578</v>
      </c>
      <c r="D6287" s="0">
        <v>6</v>
      </c>
      <c r="E6287" s="10">
        <f>HYPERLINK("http://www.lingerieopt.ru/images/original/24bbcfff-4351-47c1-89e4-f78c1a00e52b.jpg","Фото")</f>
      </c>
    </row>
    <row r="6288">
      <c r="A6288" s="7">
        <f>HYPERLINK("http://www.lingerieopt.ru/item/1102-stringi-s-nityu-busin-speredi-i-kruzhevnjm-poyasom/","1102")</f>
      </c>
      <c r="B6288" s="8" t="s">
        <v>6043</v>
      </c>
      <c r="C6288" s="9">
        <v>578</v>
      </c>
      <c r="D6288" s="0">
        <v>0</v>
      </c>
      <c r="E6288" s="10">
        <f>HYPERLINK("http://www.lingerieopt.ru/images/original/24bbcfff-4351-47c1-89e4-f78c1a00e52b.jpg","Фото")</f>
      </c>
    </row>
    <row r="6289">
      <c r="A6289" s="7">
        <f>HYPERLINK("http://www.lingerieopt.ru/item/1105-trusiki-poyas-s-prorezyu-speredi-i-szadi/","1105")</f>
      </c>
      <c r="B6289" s="8" t="s">
        <v>6044</v>
      </c>
      <c r="C6289" s="9">
        <v>631</v>
      </c>
      <c r="D6289" s="0">
        <v>7</v>
      </c>
      <c r="E6289" s="10">
        <f>HYPERLINK("http://www.lingerieopt.ru/images/original/861a448e-35e0-4f0e-918c-6a23390a1f31.jpg","Фото")</f>
      </c>
    </row>
    <row r="6290">
      <c r="A6290" s="7">
        <f>HYPERLINK("http://www.lingerieopt.ru/item/1105-trusiki-poyas-s-prorezyu-speredi-i-szadi/","1105")</f>
      </c>
      <c r="B6290" s="8" t="s">
        <v>6045</v>
      </c>
      <c r="C6290" s="9">
        <v>631</v>
      </c>
      <c r="D6290" s="0">
        <v>0</v>
      </c>
      <c r="E6290" s="10">
        <f>HYPERLINK("http://www.lingerieopt.ru/images/original/861a448e-35e0-4f0e-918c-6a23390a1f31.jpg","Фото")</f>
      </c>
    </row>
    <row r="6291">
      <c r="A6291" s="7">
        <f>HYPERLINK("http://www.lingerieopt.ru/item/1105-trusiki-poyas-s-prorezyu-speredi-i-szadi/","1105")</f>
      </c>
      <c r="B6291" s="8" t="s">
        <v>6046</v>
      </c>
      <c r="C6291" s="9">
        <v>631</v>
      </c>
      <c r="D6291" s="0">
        <v>0</v>
      </c>
      <c r="E6291" s="10">
        <f>HYPERLINK("http://www.lingerieopt.ru/images/original/861a448e-35e0-4f0e-918c-6a23390a1f31.jpg","Фото")</f>
      </c>
    </row>
    <row r="6292">
      <c r="A6292" s="7">
        <f>HYPERLINK("http://www.lingerieopt.ru/item/1105-trusiki-poyas-s-prorezyu-speredi-i-szadi/","1105")</f>
      </c>
      <c r="B6292" s="8" t="s">
        <v>6047</v>
      </c>
      <c r="C6292" s="9">
        <v>631</v>
      </c>
      <c r="D6292" s="0">
        <v>5</v>
      </c>
      <c r="E6292" s="10">
        <f>HYPERLINK("http://www.lingerieopt.ru/images/original/861a448e-35e0-4f0e-918c-6a23390a1f31.jpg","Фото")</f>
      </c>
    </row>
    <row r="6293">
      <c r="A6293" s="7">
        <f>HYPERLINK("http://www.lingerieopt.ru/item/1105-trusiki-poyas-s-prorezyu-speredi-i-szadi/","1105")</f>
      </c>
      <c r="B6293" s="8" t="s">
        <v>6048</v>
      </c>
      <c r="C6293" s="9">
        <v>631</v>
      </c>
      <c r="D6293" s="0">
        <v>0</v>
      </c>
      <c r="E6293" s="10">
        <f>HYPERLINK("http://www.lingerieopt.ru/images/original/861a448e-35e0-4f0e-918c-6a23390a1f31.jpg","Фото")</f>
      </c>
    </row>
    <row r="6294">
      <c r="A6294" s="7">
        <f>HYPERLINK("http://www.lingerieopt.ru/item/1105-trusiki-poyas-s-prorezyu-speredi-i-szadi/","1105")</f>
      </c>
      <c r="B6294" s="8" t="s">
        <v>6049</v>
      </c>
      <c r="C6294" s="9">
        <v>631</v>
      </c>
      <c r="D6294" s="0">
        <v>0</v>
      </c>
      <c r="E6294" s="10">
        <f>HYPERLINK("http://www.lingerieopt.ru/images/original/861a448e-35e0-4f0e-918c-6a23390a1f31.jpg","Фото")</f>
      </c>
    </row>
    <row r="6295">
      <c r="A6295" s="7">
        <f>HYPERLINK("http://www.lingerieopt.ru/item/1107-trusiki-so-strazami-i-prorezyu/","1107")</f>
      </c>
      <c r="B6295" s="8" t="s">
        <v>6050</v>
      </c>
      <c r="C6295" s="9">
        <v>694</v>
      </c>
      <c r="D6295" s="0">
        <v>0</v>
      </c>
      <c r="E6295" s="10">
        <f>HYPERLINK("http://www.lingerieopt.ru/images/original/633b5552-1029-40ec-9f58-b8ae10de182d.jpg","Фото")</f>
      </c>
    </row>
    <row r="6296">
      <c r="A6296" s="7">
        <f>HYPERLINK("http://www.lingerieopt.ru/item/1107-trusiki-so-strazami-i-prorezyu/","1107")</f>
      </c>
      <c r="B6296" s="8" t="s">
        <v>6051</v>
      </c>
      <c r="C6296" s="9">
        <v>694</v>
      </c>
      <c r="D6296" s="0">
        <v>0</v>
      </c>
      <c r="E6296" s="10">
        <f>HYPERLINK("http://www.lingerieopt.ru/images/original/633b5552-1029-40ec-9f58-b8ae10de182d.jpg","Фото")</f>
      </c>
    </row>
    <row r="6297">
      <c r="A6297" s="7">
        <f>HYPERLINK("http://www.lingerieopt.ru/item/1107-trusiki-so-strazami-i-prorezyu/","1107")</f>
      </c>
      <c r="B6297" s="8" t="s">
        <v>6052</v>
      </c>
      <c r="C6297" s="9">
        <v>694</v>
      </c>
      <c r="D6297" s="0">
        <v>6</v>
      </c>
      <c r="E6297" s="10">
        <f>HYPERLINK("http://www.lingerieopt.ru/images/original/633b5552-1029-40ec-9f58-b8ae10de182d.jpg","Фото")</f>
      </c>
    </row>
    <row r="6298">
      <c r="A6298" s="7">
        <f>HYPERLINK("http://www.lingerieopt.ru/item/1107-trusiki-so-strazami-i-prorezyu/","1107")</f>
      </c>
      <c r="B6298" s="8" t="s">
        <v>6053</v>
      </c>
      <c r="C6298" s="9">
        <v>694</v>
      </c>
      <c r="D6298" s="0">
        <v>0</v>
      </c>
      <c r="E6298" s="10">
        <f>HYPERLINK("http://www.lingerieopt.ru/images/original/633b5552-1029-40ec-9f58-b8ae10de182d.jpg","Фото")</f>
      </c>
    </row>
    <row r="6299">
      <c r="A6299" s="7">
        <f>HYPERLINK("http://www.lingerieopt.ru/item/1107-trusiki-so-strazami-i-prorezyu/","1107")</f>
      </c>
      <c r="B6299" s="8" t="s">
        <v>6054</v>
      </c>
      <c r="C6299" s="9">
        <v>694</v>
      </c>
      <c r="D6299" s="0">
        <v>0</v>
      </c>
      <c r="E6299" s="10">
        <f>HYPERLINK("http://www.lingerieopt.ru/images/original/633b5552-1029-40ec-9f58-b8ae10de182d.jpg","Фото")</f>
      </c>
    </row>
    <row r="6300">
      <c r="A6300" s="7">
        <f>HYPERLINK("http://www.lingerieopt.ru/item/1107-trusiki-so-strazami-i-prorezyu/","1107")</f>
      </c>
      <c r="B6300" s="8" t="s">
        <v>6055</v>
      </c>
      <c r="C6300" s="9">
        <v>694</v>
      </c>
      <c r="D6300" s="0">
        <v>4</v>
      </c>
      <c r="E6300" s="10">
        <f>HYPERLINK("http://www.lingerieopt.ru/images/original/633b5552-1029-40ec-9f58-b8ae10de182d.jpg","Фото")</f>
      </c>
    </row>
    <row r="6301">
      <c r="A6301" s="7">
        <f>HYPERLINK("http://www.lingerieopt.ru/item/1109-trusiki-s-bantikom-szadi-i-prorezyu/","1109")</f>
      </c>
      <c r="B6301" s="8" t="s">
        <v>6056</v>
      </c>
      <c r="C6301" s="9">
        <v>647</v>
      </c>
      <c r="D6301" s="0">
        <v>11</v>
      </c>
      <c r="E6301" s="10">
        <f>HYPERLINK("http://www.lingerieopt.ru/images/original/5d75dbb9-17f9-41ab-aebd-0a11b038c258.jpg","Фото")</f>
      </c>
    </row>
    <row r="6302">
      <c r="A6302" s="7">
        <f>HYPERLINK("http://www.lingerieopt.ru/item/1109-trusiki-s-bantikom-szadi-i-prorezyu/","1109")</f>
      </c>
      <c r="B6302" s="8" t="s">
        <v>6057</v>
      </c>
      <c r="C6302" s="9">
        <v>647</v>
      </c>
      <c r="D6302" s="0">
        <v>7</v>
      </c>
      <c r="E6302" s="10">
        <f>HYPERLINK("http://www.lingerieopt.ru/images/original/5d75dbb9-17f9-41ab-aebd-0a11b038c258.jpg","Фото")</f>
      </c>
    </row>
    <row r="6303">
      <c r="A6303" s="7">
        <f>HYPERLINK("http://www.lingerieopt.ru/item/1109-trusiki-s-bantikom-szadi-i-prorezyu/","1109")</f>
      </c>
      <c r="B6303" s="8" t="s">
        <v>6058</v>
      </c>
      <c r="C6303" s="9">
        <v>647</v>
      </c>
      <c r="D6303" s="0">
        <v>0</v>
      </c>
      <c r="E6303" s="10">
        <f>HYPERLINK("http://www.lingerieopt.ru/images/original/5d75dbb9-17f9-41ab-aebd-0a11b038c258.jpg","Фото")</f>
      </c>
    </row>
    <row r="6304">
      <c r="A6304" s="7">
        <f>HYPERLINK("http://www.lingerieopt.ru/item/1109-trusiki-s-bantikom-szadi-i-prorezyu/","1109")</f>
      </c>
      <c r="B6304" s="8" t="s">
        <v>6059</v>
      </c>
      <c r="C6304" s="9">
        <v>647</v>
      </c>
      <c r="D6304" s="0">
        <v>15</v>
      </c>
      <c r="E6304" s="10">
        <f>HYPERLINK("http://www.lingerieopt.ru/images/original/5d75dbb9-17f9-41ab-aebd-0a11b038c258.jpg","Фото")</f>
      </c>
    </row>
    <row r="6305">
      <c r="A6305" s="7">
        <f>HYPERLINK("http://www.lingerieopt.ru/item/1109-trusiki-s-bantikom-szadi-i-prorezyu/","1109")</f>
      </c>
      <c r="B6305" s="8" t="s">
        <v>6060</v>
      </c>
      <c r="C6305" s="9">
        <v>647</v>
      </c>
      <c r="D6305" s="0">
        <v>6</v>
      </c>
      <c r="E6305" s="10">
        <f>HYPERLINK("http://www.lingerieopt.ru/images/original/5d75dbb9-17f9-41ab-aebd-0a11b038c258.jpg","Фото")</f>
      </c>
    </row>
    <row r="6306">
      <c r="A6306" s="7">
        <f>HYPERLINK("http://www.lingerieopt.ru/item/1109-trusiki-s-bantikom-szadi-i-prorezyu/","1109")</f>
      </c>
      <c r="B6306" s="8" t="s">
        <v>6061</v>
      </c>
      <c r="C6306" s="9">
        <v>647</v>
      </c>
      <c r="D6306" s="0">
        <v>16</v>
      </c>
      <c r="E6306" s="10">
        <f>HYPERLINK("http://www.lingerieopt.ru/images/original/5d75dbb9-17f9-41ab-aebd-0a11b038c258.jpg","Фото")</f>
      </c>
    </row>
    <row r="6307">
      <c r="A6307" s="7">
        <f>HYPERLINK("http://www.lingerieopt.ru/item/1112-trusiki-vual-s-vjshivkoi/","1112")</f>
      </c>
      <c r="B6307" s="8" t="s">
        <v>6062</v>
      </c>
      <c r="C6307" s="9">
        <v>665</v>
      </c>
      <c r="D6307" s="0">
        <v>10</v>
      </c>
      <c r="E6307" s="10">
        <f>HYPERLINK("http://www.lingerieopt.ru/images/original/b331c470-64c0-4276-b7ba-c92fe924bd62.jpg","Фото")</f>
      </c>
    </row>
    <row r="6308">
      <c r="A6308" s="7">
        <f>HYPERLINK("http://www.lingerieopt.ru/item/1112-trusiki-vual-s-vjshivkoi/","1112")</f>
      </c>
      <c r="B6308" s="8" t="s">
        <v>6063</v>
      </c>
      <c r="C6308" s="9">
        <v>665</v>
      </c>
      <c r="D6308" s="0">
        <v>5</v>
      </c>
      <c r="E6308" s="10">
        <f>HYPERLINK("http://www.lingerieopt.ru/images/original/b331c470-64c0-4276-b7ba-c92fe924bd62.jpg","Фото")</f>
      </c>
    </row>
    <row r="6309">
      <c r="A6309" s="7">
        <f>HYPERLINK("http://www.lingerieopt.ru/item/1112-trusiki-vual-s-vjshivkoi/","1112")</f>
      </c>
      <c r="B6309" s="8" t="s">
        <v>6064</v>
      </c>
      <c r="C6309" s="9">
        <v>665</v>
      </c>
      <c r="D6309" s="0">
        <v>1</v>
      </c>
      <c r="E6309" s="10">
        <f>HYPERLINK("http://www.lingerieopt.ru/images/original/b331c470-64c0-4276-b7ba-c92fe924bd62.jpg","Фото")</f>
      </c>
    </row>
    <row r="6310">
      <c r="A6310" s="7">
        <f>HYPERLINK("http://www.lingerieopt.ru/item/1112-trusiki-vual-s-vjshivkoi/","1112")</f>
      </c>
      <c r="B6310" s="8" t="s">
        <v>6065</v>
      </c>
      <c r="C6310" s="9">
        <v>665</v>
      </c>
      <c r="D6310" s="0">
        <v>9</v>
      </c>
      <c r="E6310" s="10">
        <f>HYPERLINK("http://www.lingerieopt.ru/images/original/b331c470-64c0-4276-b7ba-c92fe924bd62.jpg","Фото")</f>
      </c>
    </row>
    <row r="6311">
      <c r="A6311" s="7">
        <f>HYPERLINK("http://www.lingerieopt.ru/item/1114-trusiki-s-vjrezami-s-obeih-storon/","1114")</f>
      </c>
      <c r="B6311" s="8" t="s">
        <v>6066</v>
      </c>
      <c r="C6311" s="9">
        <v>694</v>
      </c>
      <c r="D6311" s="0">
        <v>0</v>
      </c>
      <c r="E6311" s="10">
        <f>HYPERLINK("http://www.lingerieopt.ru/images/original/912610e1-1544-4fa0-bef8-ba13031b425d.jpg","Фото")</f>
      </c>
    </row>
    <row r="6312">
      <c r="A6312" s="7">
        <f>HYPERLINK("http://www.lingerieopt.ru/item/1114-trusiki-s-vjrezami-s-obeih-storon/","1114")</f>
      </c>
      <c r="B6312" s="8" t="s">
        <v>6067</v>
      </c>
      <c r="C6312" s="9">
        <v>694</v>
      </c>
      <c r="D6312" s="0">
        <v>9</v>
      </c>
      <c r="E6312" s="10">
        <f>HYPERLINK("http://www.lingerieopt.ru/images/original/912610e1-1544-4fa0-bef8-ba13031b425d.jpg","Фото")</f>
      </c>
    </row>
    <row r="6313">
      <c r="A6313" s="7">
        <f>HYPERLINK("http://www.lingerieopt.ru/item/1115-trusiki-s-kruzhevnjm-poyaskom/","1115")</f>
      </c>
      <c r="B6313" s="8" t="s">
        <v>6068</v>
      </c>
      <c r="C6313" s="9">
        <v>601</v>
      </c>
      <c r="D6313" s="0">
        <v>19</v>
      </c>
      <c r="E6313" s="10">
        <f>HYPERLINK("http://www.lingerieopt.ru/images/original/5abf3979-fe76-45d3-b879-8fd16e3ca208.jpg","Фото")</f>
      </c>
    </row>
    <row r="6314">
      <c r="A6314" s="7">
        <f>HYPERLINK("http://www.lingerieopt.ru/item/1115-trusiki-s-kruzhevnjm-poyaskom/","1115")</f>
      </c>
      <c r="B6314" s="8" t="s">
        <v>6069</v>
      </c>
      <c r="C6314" s="9">
        <v>601</v>
      </c>
      <c r="D6314" s="0">
        <v>19</v>
      </c>
      <c r="E6314" s="10">
        <f>HYPERLINK("http://www.lingerieopt.ru/images/original/5abf3979-fe76-45d3-b879-8fd16e3ca208.jpg","Фото")</f>
      </c>
    </row>
    <row r="6315">
      <c r="A6315" s="7">
        <f>HYPERLINK("http://www.lingerieopt.ru/item/1115-trusiki-s-kruzhevnjm-poyaskom/","1115")</f>
      </c>
      <c r="B6315" s="8" t="s">
        <v>6070</v>
      </c>
      <c r="C6315" s="9">
        <v>601</v>
      </c>
      <c r="D6315" s="0">
        <v>20</v>
      </c>
      <c r="E6315" s="10">
        <f>HYPERLINK("http://www.lingerieopt.ru/images/original/5abf3979-fe76-45d3-b879-8fd16e3ca208.jpg","Фото")</f>
      </c>
    </row>
    <row r="6316">
      <c r="A6316" s="7">
        <f>HYPERLINK("http://www.lingerieopt.ru/item/1115-trusiki-s-kruzhevnjm-poyaskom/","1115")</f>
      </c>
      <c r="B6316" s="8" t="s">
        <v>6071</v>
      </c>
      <c r="C6316" s="9">
        <v>601</v>
      </c>
      <c r="D6316" s="0">
        <v>17</v>
      </c>
      <c r="E6316" s="10">
        <f>HYPERLINK("http://www.lingerieopt.ru/images/original/5abf3979-fe76-45d3-b879-8fd16e3ca208.jpg","Фото")</f>
      </c>
    </row>
    <row r="6317">
      <c r="A6317" s="7">
        <f>HYPERLINK("http://www.lingerieopt.ru/item/1119-trusiki-s-prorezyu-i-vjshitjm-cvetochkom/","1119")</f>
      </c>
      <c r="B6317" s="8" t="s">
        <v>6072</v>
      </c>
      <c r="C6317" s="9">
        <v>556</v>
      </c>
      <c r="D6317" s="0">
        <v>11</v>
      </c>
      <c r="E6317" s="10">
        <f>HYPERLINK("http://www.lingerieopt.ru/images/original/0d582aa6-2067-49e6-94d2-c9afbee99fb3.jpg","Фото")</f>
      </c>
    </row>
    <row r="6318">
      <c r="A6318" s="7">
        <f>HYPERLINK("http://www.lingerieopt.ru/item/1121-akkuratnje-trusiki-string-s-dostupom/","1121")</f>
      </c>
      <c r="B6318" s="8" t="s">
        <v>6073</v>
      </c>
      <c r="C6318" s="9">
        <v>508</v>
      </c>
      <c r="D6318" s="0">
        <v>18</v>
      </c>
      <c r="E6318" s="10">
        <f>HYPERLINK("http://www.lingerieopt.ru/images/original/d9e7ce69-6b9f-4d70-ad8e-62bdb7c0d131.jpg","Фото")</f>
      </c>
    </row>
    <row r="6319">
      <c r="A6319" s="7">
        <f>HYPERLINK("http://www.lingerieopt.ru/item/1121-akkuratnje-trusiki-string-s-dostupom/","1121")</f>
      </c>
      <c r="B6319" s="8" t="s">
        <v>6074</v>
      </c>
      <c r="C6319" s="9">
        <v>508</v>
      </c>
      <c r="D6319" s="0">
        <v>34</v>
      </c>
      <c r="E6319" s="10">
        <f>HYPERLINK("http://www.lingerieopt.ru/images/original/d9e7ce69-6b9f-4d70-ad8e-62bdb7c0d131.jpg","Фото")</f>
      </c>
    </row>
    <row r="6320">
      <c r="A6320" s="7">
        <f>HYPERLINK("http://www.lingerieopt.ru/item/1122-trusiki-s-kruzhevnoi-oborkoi-i-dostupom/","1122")</f>
      </c>
      <c r="B6320" s="8" t="s">
        <v>6075</v>
      </c>
      <c r="C6320" s="9">
        <v>580</v>
      </c>
      <c r="D6320" s="0">
        <v>0</v>
      </c>
      <c r="E6320" s="10">
        <f>HYPERLINK("http://www.lingerieopt.ru/images/original/5a1b570c-366f-4a13-bef1-f06123e4cd43.jpg","Фото")</f>
      </c>
    </row>
    <row r="6321">
      <c r="A6321" s="7">
        <f>HYPERLINK("http://www.lingerieopt.ru/item/1122-trusiki-s-kruzhevnoi-oborkoi-i-dostupom/","1122")</f>
      </c>
      <c r="B6321" s="8" t="s">
        <v>6076</v>
      </c>
      <c r="C6321" s="9">
        <v>580</v>
      </c>
      <c r="D6321" s="0">
        <v>13</v>
      </c>
      <c r="E6321" s="10">
        <f>HYPERLINK("http://www.lingerieopt.ru/images/original/5a1b570c-366f-4a13-bef1-f06123e4cd43.jpg","Фото")</f>
      </c>
    </row>
    <row r="6322">
      <c r="A6322" s="7">
        <f>HYPERLINK("http://www.lingerieopt.ru/item/1123-azhurnje-trusiki-s-vjrezom-speredi/","1123")</f>
      </c>
      <c r="B6322" s="8" t="s">
        <v>6077</v>
      </c>
      <c r="C6322" s="9">
        <v>718</v>
      </c>
      <c r="D6322" s="0">
        <v>0</v>
      </c>
      <c r="E6322" s="10">
        <f>HYPERLINK("http://www.lingerieopt.ru/images/original/7a8f2a34-cfdc-40e9-82a9-06656462bc54.jpg","Фото")</f>
      </c>
    </row>
    <row r="6323">
      <c r="A6323" s="7">
        <f>HYPERLINK("http://www.lingerieopt.ru/item/1123-azhurnje-trusiki-s-vjrezom-speredi/","1123")</f>
      </c>
      <c r="B6323" s="8" t="s">
        <v>6078</v>
      </c>
      <c r="C6323" s="9">
        <v>718</v>
      </c>
      <c r="D6323" s="0">
        <v>0</v>
      </c>
      <c r="E6323" s="10">
        <f>HYPERLINK("http://www.lingerieopt.ru/images/original/7a8f2a34-cfdc-40e9-82a9-06656462bc54.jpg","Фото")</f>
      </c>
    </row>
    <row r="6324">
      <c r="A6324" s="7">
        <f>HYPERLINK("http://www.lingerieopt.ru/item/1123-azhurnje-trusiki-s-vjrezom-speredi/","1123")</f>
      </c>
      <c r="B6324" s="8" t="s">
        <v>6079</v>
      </c>
      <c r="C6324" s="9">
        <v>718</v>
      </c>
      <c r="D6324" s="0">
        <v>8</v>
      </c>
      <c r="E6324" s="10">
        <f>HYPERLINK("http://www.lingerieopt.ru/images/original/7a8f2a34-cfdc-40e9-82a9-06656462bc54.jpg","Фото")</f>
      </c>
    </row>
    <row r="6325">
      <c r="A6325" s="7">
        <f>HYPERLINK("http://www.lingerieopt.ru/item/1123-azhurnje-trusiki-s-vjrezom-speredi/","1123")</f>
      </c>
      <c r="B6325" s="8" t="s">
        <v>6080</v>
      </c>
      <c r="C6325" s="9">
        <v>718</v>
      </c>
      <c r="D6325" s="0">
        <v>4</v>
      </c>
      <c r="E6325" s="10">
        <f>HYPERLINK("http://www.lingerieopt.ru/images/original/7a8f2a34-cfdc-40e9-82a9-06656462bc54.jpg","Фото")</f>
      </c>
    </row>
    <row r="6326">
      <c r="A6326" s="7">
        <f>HYPERLINK("http://www.lingerieopt.ru/item/1128-trusiki-shortiki-s-kruzhevnjmi-vstavkami/","1128")</f>
      </c>
      <c r="B6326" s="8" t="s">
        <v>6081</v>
      </c>
      <c r="C6326" s="9">
        <v>503</v>
      </c>
      <c r="D6326" s="0">
        <v>3</v>
      </c>
      <c r="E6326" s="10">
        <f>HYPERLINK("http://www.lingerieopt.ru/images/original/65eec535-2b44-43e4-a8fb-33053fe742da.jpg","Фото")</f>
      </c>
    </row>
    <row r="6327">
      <c r="A6327" s="7">
        <f>HYPERLINK("http://www.lingerieopt.ru/item/1128-trusiki-shortiki-s-kruzhevnjmi-vstavkami/","1128")</f>
      </c>
      <c r="B6327" s="8" t="s">
        <v>6082</v>
      </c>
      <c r="C6327" s="9">
        <v>503</v>
      </c>
      <c r="D6327" s="0">
        <v>0</v>
      </c>
      <c r="E6327" s="10">
        <f>HYPERLINK("http://www.lingerieopt.ru/images/original/65eec535-2b44-43e4-a8fb-33053fe742da.jpg","Фото")</f>
      </c>
    </row>
    <row r="6328">
      <c r="A6328" s="7">
        <f>HYPERLINK("http://www.lingerieopt.ru/item/1128-trusiki-shortiki-s-kruzhevnjmi-vstavkami/","1128")</f>
      </c>
      <c r="B6328" s="8" t="s">
        <v>6083</v>
      </c>
      <c r="C6328" s="9">
        <v>503</v>
      </c>
      <c r="D6328" s="0">
        <v>0</v>
      </c>
      <c r="E6328" s="10">
        <f>HYPERLINK("http://www.lingerieopt.ru/images/original/65eec535-2b44-43e4-a8fb-33053fe742da.jpg","Фото")</f>
      </c>
    </row>
    <row r="6329">
      <c r="A6329" s="7">
        <f>HYPERLINK("http://www.lingerieopt.ru/item/1128-trusiki-shortiki-s-kruzhevnjmi-vstavkami/","1128")</f>
      </c>
      <c r="B6329" s="8" t="s">
        <v>6084</v>
      </c>
      <c r="C6329" s="9">
        <v>503</v>
      </c>
      <c r="D6329" s="0">
        <v>0</v>
      </c>
      <c r="E6329" s="10">
        <f>HYPERLINK("http://www.lingerieopt.ru/images/original/65eec535-2b44-43e4-a8fb-33053fe742da.jpg","Фото")</f>
      </c>
    </row>
    <row r="6330">
      <c r="A6330" s="7">
        <f>HYPERLINK("http://www.lingerieopt.ru/item/1128-trusiki-shortiki-s-kruzhevnjmi-vstavkami/","1128")</f>
      </c>
      <c r="B6330" s="8" t="s">
        <v>6085</v>
      </c>
      <c r="C6330" s="9">
        <v>503</v>
      </c>
      <c r="D6330" s="0">
        <v>0</v>
      </c>
      <c r="E6330" s="10">
        <f>HYPERLINK("http://www.lingerieopt.ru/images/original/65eec535-2b44-43e4-a8fb-33053fe742da.jpg","Фото")</f>
      </c>
    </row>
    <row r="6331">
      <c r="A6331" s="7">
        <f>HYPERLINK("http://www.lingerieopt.ru/item/1128-trusiki-shortiki-s-kruzhevnjmi-vstavkami/","1128")</f>
      </c>
      <c r="B6331" s="8" t="s">
        <v>6086</v>
      </c>
      <c r="C6331" s="9">
        <v>503</v>
      </c>
      <c r="D6331" s="0">
        <v>2</v>
      </c>
      <c r="E6331" s="10">
        <f>HYPERLINK("http://www.lingerieopt.ru/images/original/65eec535-2b44-43e4-a8fb-33053fe742da.jpg","Фото")</f>
      </c>
    </row>
    <row r="6332">
      <c r="A6332" s="7">
        <f>HYPERLINK("http://www.lingerieopt.ru/item/1129-trusiki-s-vjrezom-i-bantom-szadi/","1129")</f>
      </c>
      <c r="B6332" s="8" t="s">
        <v>6087</v>
      </c>
      <c r="C6332" s="9">
        <v>508</v>
      </c>
      <c r="D6332" s="0">
        <v>16</v>
      </c>
      <c r="E6332" s="10">
        <f>HYPERLINK("http://www.lingerieopt.ru/images/original/54e50433-ea69-434c-9e4c-3441b0aaf9e9.jpg","Фото")</f>
      </c>
    </row>
    <row r="6333">
      <c r="A6333" s="7">
        <f>HYPERLINK("http://www.lingerieopt.ru/item/1129-trusiki-s-vjrezom-i-bantom-szadi/","1129")</f>
      </c>
      <c r="B6333" s="8" t="s">
        <v>6088</v>
      </c>
      <c r="C6333" s="9">
        <v>508</v>
      </c>
      <c r="D6333" s="0">
        <v>4</v>
      </c>
      <c r="E6333" s="10">
        <f>HYPERLINK("http://www.lingerieopt.ru/images/original/54e50433-ea69-434c-9e4c-3441b0aaf9e9.jpg","Фото")</f>
      </c>
    </row>
    <row r="6334">
      <c r="A6334" s="7">
        <f>HYPERLINK("http://www.lingerieopt.ru/item/1129-trusiki-s-vjrezom-i-bantom-szadi/","1129")</f>
      </c>
      <c r="B6334" s="8" t="s">
        <v>6089</v>
      </c>
      <c r="C6334" s="9">
        <v>508</v>
      </c>
      <c r="D6334" s="0">
        <v>6</v>
      </c>
      <c r="E6334" s="10">
        <f>HYPERLINK("http://www.lingerieopt.ru/images/original/54e50433-ea69-434c-9e4c-3441b0aaf9e9.jpg","Фото")</f>
      </c>
    </row>
    <row r="6335">
      <c r="A6335" s="7">
        <f>HYPERLINK("http://www.lingerieopt.ru/item/1130-stringi-s-prorezyu-i-bantikom/","1130")</f>
      </c>
      <c r="B6335" s="8" t="s">
        <v>6090</v>
      </c>
      <c r="C6335" s="9">
        <v>486</v>
      </c>
      <c r="D6335" s="0">
        <v>13</v>
      </c>
      <c r="E6335" s="10">
        <f>HYPERLINK("http://www.lingerieopt.ru/images/original/38204245-9fb9-403d-9ff6-95b85ea45772.jpg","Фото")</f>
      </c>
    </row>
    <row r="6336">
      <c r="A6336" s="7">
        <f>HYPERLINK("http://www.lingerieopt.ru/item/1130-stringi-s-prorezyu-i-bantikom/","1130")</f>
      </c>
      <c r="B6336" s="8" t="s">
        <v>6091</v>
      </c>
      <c r="C6336" s="9">
        <v>486</v>
      </c>
      <c r="D6336" s="0">
        <v>0</v>
      </c>
      <c r="E6336" s="10">
        <f>HYPERLINK("http://www.lingerieopt.ru/images/original/38204245-9fb9-403d-9ff6-95b85ea45772.jpg","Фото")</f>
      </c>
    </row>
    <row r="6337">
      <c r="A6337" s="7">
        <f>HYPERLINK("http://www.lingerieopt.ru/item/1130-stringi-s-prorezyu-i-bantikom/","1130")</f>
      </c>
      <c r="B6337" s="8" t="s">
        <v>6092</v>
      </c>
      <c r="C6337" s="9">
        <v>486</v>
      </c>
      <c r="D6337" s="0">
        <v>10</v>
      </c>
      <c r="E6337" s="10">
        <f>HYPERLINK("http://www.lingerieopt.ru/images/original/38204245-9fb9-403d-9ff6-95b85ea45772.jpg","Фото")</f>
      </c>
    </row>
    <row r="6338">
      <c r="A6338" s="7">
        <f>HYPERLINK("http://www.lingerieopt.ru/item/2085-trusiki-stringi-s-azhurnoi-oborkoi/","2085")</f>
      </c>
      <c r="B6338" s="8" t="s">
        <v>6093</v>
      </c>
      <c r="C6338" s="9">
        <v>616</v>
      </c>
      <c r="D6338" s="0">
        <v>3</v>
      </c>
      <c r="E6338" s="10">
        <f>HYPERLINK("http://www.lingerieopt.ru/images/original/1737f734-65e6-4d98-8731-6b85e1d604b3.jpg","Фото")</f>
      </c>
    </row>
    <row r="6339">
      <c r="A6339" s="7">
        <f>HYPERLINK("http://www.lingerieopt.ru/item/2085-trusiki-stringi-s-azhurnoi-oborkoi/","2085")</f>
      </c>
      <c r="B6339" s="8" t="s">
        <v>6094</v>
      </c>
      <c r="C6339" s="9">
        <v>616</v>
      </c>
      <c r="D6339" s="0">
        <v>3</v>
      </c>
      <c r="E6339" s="10">
        <f>HYPERLINK("http://www.lingerieopt.ru/images/original/1737f734-65e6-4d98-8731-6b85e1d604b3.jpg","Фото")</f>
      </c>
    </row>
    <row r="6340">
      <c r="A6340" s="7">
        <f>HYPERLINK("http://www.lingerieopt.ru/item/2086-trusiki-s-kruzhevnoi-vstavkoi-i-dostupom/","2086")</f>
      </c>
      <c r="B6340" s="8" t="s">
        <v>6095</v>
      </c>
      <c r="C6340" s="9">
        <v>678</v>
      </c>
      <c r="D6340" s="0">
        <v>2</v>
      </c>
      <c r="E6340" s="10">
        <f>HYPERLINK("http://www.lingerieopt.ru/images/original/afe211c5-3805-4d36-a0bf-cfd5d6229d57.jpg","Фото")</f>
      </c>
    </row>
    <row r="6341">
      <c r="A6341" s="7">
        <f>HYPERLINK("http://www.lingerieopt.ru/item/2086-trusiki-s-kruzhevnoi-vstavkoi-i-dostupom/","2086")</f>
      </c>
      <c r="B6341" s="8" t="s">
        <v>6096</v>
      </c>
      <c r="C6341" s="9">
        <v>678</v>
      </c>
      <c r="D6341" s="0">
        <v>0</v>
      </c>
      <c r="E6341" s="10">
        <f>HYPERLINK("http://www.lingerieopt.ru/images/original/afe211c5-3805-4d36-a0bf-cfd5d6229d57.jpg","Фото")</f>
      </c>
    </row>
    <row r="6342">
      <c r="A6342" s="7">
        <f>HYPERLINK("http://www.lingerieopt.ru/item/2086-trusiki-s-kruzhevnoi-vstavkoi-i-dostupom/","2086")</f>
      </c>
      <c r="B6342" s="8" t="s">
        <v>6097</v>
      </c>
      <c r="C6342" s="9">
        <v>678</v>
      </c>
      <c r="D6342" s="0">
        <v>0</v>
      </c>
      <c r="E6342" s="10">
        <f>HYPERLINK("http://www.lingerieopt.ru/images/original/afe211c5-3805-4d36-a0bf-cfd5d6229d57.jpg","Фото")</f>
      </c>
    </row>
    <row r="6343">
      <c r="A6343" s="7">
        <f>HYPERLINK("http://www.lingerieopt.ru/item/2086-trusiki-s-kruzhevnoi-vstavkoi-i-dostupom/","2086")</f>
      </c>
      <c r="B6343" s="8" t="s">
        <v>6098</v>
      </c>
      <c r="C6343" s="9">
        <v>678</v>
      </c>
      <c r="D6343" s="0">
        <v>0</v>
      </c>
      <c r="E6343" s="10">
        <f>HYPERLINK("http://www.lingerieopt.ru/images/original/afe211c5-3805-4d36-a0bf-cfd5d6229d57.jpg","Фото")</f>
      </c>
    </row>
    <row r="6344">
      <c r="A6344" s="7">
        <f>HYPERLINK("http://www.lingerieopt.ru/item/2086-trusiki-s-kruzhevnoi-vstavkoi-i-dostupom/","2086")</f>
      </c>
      <c r="B6344" s="8" t="s">
        <v>6099</v>
      </c>
      <c r="C6344" s="9">
        <v>678</v>
      </c>
      <c r="D6344" s="0">
        <v>2</v>
      </c>
      <c r="E6344" s="10">
        <f>HYPERLINK("http://www.lingerieopt.ru/images/original/afe211c5-3805-4d36-a0bf-cfd5d6229d57.jpg","Фото")</f>
      </c>
    </row>
    <row r="6345">
      <c r="A6345" s="7">
        <f>HYPERLINK("http://www.lingerieopt.ru/item/2086-trusiki-s-kruzhevnoi-vstavkoi-i-dostupom/","2086")</f>
      </c>
      <c r="B6345" s="8" t="s">
        <v>6100</v>
      </c>
      <c r="C6345" s="9">
        <v>678</v>
      </c>
      <c r="D6345" s="0">
        <v>0</v>
      </c>
      <c r="E6345" s="10">
        <f>HYPERLINK("http://www.lingerieopt.ru/images/original/afe211c5-3805-4d36-a0bf-cfd5d6229d57.jpg","Фото")</f>
      </c>
    </row>
    <row r="6346">
      <c r="A6346" s="7">
        <f>HYPERLINK("http://www.lingerieopt.ru/item/2087-poluprozrachnje-trusiki-stringi-s-dostupom/","2087")</f>
      </c>
      <c r="B6346" s="8" t="s">
        <v>6101</v>
      </c>
      <c r="C6346" s="9">
        <v>618</v>
      </c>
      <c r="D6346" s="0">
        <v>4</v>
      </c>
      <c r="E6346" s="10">
        <f>HYPERLINK("http://www.lingerieopt.ru/images/original/d06ed531-f231-4873-992e-11e4dfec402e.jpg","Фото")</f>
      </c>
    </row>
    <row r="6347">
      <c r="A6347" s="7">
        <f>HYPERLINK("http://www.lingerieopt.ru/item/2087-poluprozrachnje-trusiki-stringi-s-dostupom/","2087")</f>
      </c>
      <c r="B6347" s="8" t="s">
        <v>6102</v>
      </c>
      <c r="C6347" s="9">
        <v>618</v>
      </c>
      <c r="D6347" s="0">
        <v>5</v>
      </c>
      <c r="E6347" s="10">
        <f>HYPERLINK("http://www.lingerieopt.ru/images/original/d06ed531-f231-4873-992e-11e4dfec402e.jpg","Фото")</f>
      </c>
    </row>
    <row r="6348">
      <c r="A6348" s="7">
        <f>HYPERLINK("http://www.lingerieopt.ru/item/2089-trusiki-s-dostupom-i-bantikom/","2089")</f>
      </c>
      <c r="B6348" s="8" t="s">
        <v>6103</v>
      </c>
      <c r="C6348" s="9">
        <v>834</v>
      </c>
      <c r="D6348" s="0">
        <v>10</v>
      </c>
      <c r="E6348" s="10">
        <f>HYPERLINK("http://www.lingerieopt.ru/images/original/7afb245b-c86d-4ada-9de3-ff90a081466f.jpg","Фото")</f>
      </c>
    </row>
    <row r="6349">
      <c r="A6349" s="7">
        <f>HYPERLINK("http://www.lingerieopt.ru/item/2089-trusiki-s-dostupom-i-bantikom/","2089")</f>
      </c>
      <c r="B6349" s="8" t="s">
        <v>6104</v>
      </c>
      <c r="C6349" s="9">
        <v>834</v>
      </c>
      <c r="D6349" s="0">
        <v>1</v>
      </c>
      <c r="E6349" s="10">
        <f>HYPERLINK("http://www.lingerieopt.ru/images/original/7afb245b-c86d-4ada-9de3-ff90a081466f.jpg","Фото")</f>
      </c>
    </row>
    <row r="6350">
      <c r="A6350" s="7">
        <f>HYPERLINK("http://www.lingerieopt.ru/item/2089-trusiki-s-dostupom-i-bantikom/","2089")</f>
      </c>
      <c r="B6350" s="8" t="s">
        <v>6105</v>
      </c>
      <c r="C6350" s="9">
        <v>834</v>
      </c>
      <c r="D6350" s="0">
        <v>4</v>
      </c>
      <c r="E6350" s="10">
        <f>HYPERLINK("http://www.lingerieopt.ru/images/original/7afb245b-c86d-4ada-9de3-ff90a081466f.jpg","Фото")</f>
      </c>
    </row>
    <row r="6351">
      <c r="A6351" s="7">
        <f>HYPERLINK("http://www.lingerieopt.ru/item/2089-trusiki-s-dostupom-i-bantikom/","2089")</f>
      </c>
      <c r="B6351" s="8" t="s">
        <v>6106</v>
      </c>
      <c r="C6351" s="9">
        <v>834</v>
      </c>
      <c r="D6351" s="0">
        <v>7</v>
      </c>
      <c r="E6351" s="10">
        <f>HYPERLINK("http://www.lingerieopt.ru/images/original/7afb245b-c86d-4ada-9de3-ff90a081466f.jpg","Фото")</f>
      </c>
    </row>
    <row r="6352">
      <c r="A6352" s="7">
        <f>HYPERLINK("http://www.lingerieopt.ru/item/2089-trusiki-s-dostupom-i-bantikom/","2089")</f>
      </c>
      <c r="B6352" s="8" t="s">
        <v>6107</v>
      </c>
      <c r="C6352" s="9">
        <v>834</v>
      </c>
      <c r="D6352" s="0">
        <v>4</v>
      </c>
      <c r="E6352" s="10">
        <f>HYPERLINK("http://www.lingerieopt.ru/images/original/7afb245b-c86d-4ada-9de3-ff90a081466f.jpg","Фото")</f>
      </c>
    </row>
    <row r="6353">
      <c r="A6353" s="7">
        <f>HYPERLINK("http://www.lingerieopt.ru/item/2089-trusiki-s-dostupom-i-bantikom/","2089")</f>
      </c>
      <c r="B6353" s="8" t="s">
        <v>6108</v>
      </c>
      <c r="C6353" s="9">
        <v>834</v>
      </c>
      <c r="D6353" s="0">
        <v>7</v>
      </c>
      <c r="E6353" s="10">
        <f>HYPERLINK("http://www.lingerieopt.ru/images/original/7afb245b-c86d-4ada-9de3-ff90a081466f.jpg","Фото")</f>
      </c>
    </row>
    <row r="6354">
      <c r="A6354" s="7">
        <f>HYPERLINK("http://www.lingerieopt.ru/item/2304-chernje-zhenskie-stringi/","2304")</f>
      </c>
      <c r="B6354" s="8" t="s">
        <v>6109</v>
      </c>
      <c r="C6354" s="9">
        <v>601</v>
      </c>
      <c r="D6354" s="0">
        <v>12</v>
      </c>
      <c r="E6354" s="10">
        <f>HYPERLINK("http://www.lingerieopt.ru/images/original/bae1bf0e-7a08-4468-9632-a9833b33ea11.jpg","Фото")</f>
      </c>
    </row>
    <row r="6355">
      <c r="A6355" s="7">
        <f>HYPERLINK("http://www.lingerieopt.ru/item/2304-chernje-zhenskie-stringi/","2304")</f>
      </c>
      <c r="B6355" s="8" t="s">
        <v>6110</v>
      </c>
      <c r="C6355" s="9">
        <v>601</v>
      </c>
      <c r="D6355" s="0">
        <v>11</v>
      </c>
      <c r="E6355" s="10">
        <f>HYPERLINK("http://www.lingerieopt.ru/images/original/bae1bf0e-7a08-4468-9632-a9833b33ea11.jpg","Фото")</f>
      </c>
    </row>
    <row r="6356">
      <c r="A6356" s="7">
        <f>HYPERLINK("http://www.lingerieopt.ru/item/2304-chernje-zhenskie-stringi/","2304")</f>
      </c>
      <c r="B6356" s="8" t="s">
        <v>6111</v>
      </c>
      <c r="C6356" s="9">
        <v>601</v>
      </c>
      <c r="D6356" s="0">
        <v>11</v>
      </c>
      <c r="E6356" s="10">
        <f>HYPERLINK("http://www.lingerieopt.ru/images/original/bae1bf0e-7a08-4468-9632-a9833b33ea11.jpg","Фото")</f>
      </c>
    </row>
    <row r="6357">
      <c r="A6357" s="7">
        <f>HYPERLINK("http://www.lingerieopt.ru/item/2304-chernje-zhenskie-stringi/","2304")</f>
      </c>
      <c r="B6357" s="8" t="s">
        <v>6112</v>
      </c>
      <c r="C6357" s="9">
        <v>601</v>
      </c>
      <c r="D6357" s="0">
        <v>0</v>
      </c>
      <c r="E6357" s="10">
        <f>HYPERLINK("http://www.lingerieopt.ru/images/original/bae1bf0e-7a08-4468-9632-a9833b33ea11.jpg","Фото")</f>
      </c>
    </row>
    <row r="6358">
      <c r="A6358" s="7">
        <f>HYPERLINK("http://www.lingerieopt.ru/item/2528-otkrjtje-trusiki-stringi-indra/","2528")</f>
      </c>
      <c r="B6358" s="8" t="s">
        <v>6113</v>
      </c>
      <c r="C6358" s="9">
        <v>405</v>
      </c>
      <c r="D6358" s="0">
        <v>4</v>
      </c>
      <c r="E6358" s="10">
        <f>HYPERLINK("http://www.lingerieopt.ru/images/original/0409457b-a24c-490c-bdf9-1c101e23fc5c.jpg","Фото")</f>
      </c>
    </row>
    <row r="6359">
      <c r="A6359" s="7">
        <f>HYPERLINK("http://www.lingerieopt.ru/item/2528-otkrjtje-trusiki-stringi-indra/","2528")</f>
      </c>
      <c r="B6359" s="8" t="s">
        <v>6114</v>
      </c>
      <c r="C6359" s="9">
        <v>405</v>
      </c>
      <c r="D6359" s="0">
        <v>21</v>
      </c>
      <c r="E6359" s="10">
        <f>HYPERLINK("http://www.lingerieopt.ru/images/original/0409457b-a24c-490c-bdf9-1c101e23fc5c.jpg","Фото")</f>
      </c>
    </row>
    <row r="6360">
      <c r="A6360" s="7">
        <f>HYPERLINK("http://www.lingerieopt.ru/item/3484-trusiki-shortj-militari/","3484")</f>
      </c>
      <c r="B6360" s="8" t="s">
        <v>6115</v>
      </c>
      <c r="C6360" s="9">
        <v>241</v>
      </c>
      <c r="D6360" s="0">
        <v>30</v>
      </c>
      <c r="E6360" s="10">
        <f>HYPERLINK("http://www.lingerieopt.ru/images/original/80a062ea-c0c6-49a8-978f-ab61d23c9bf3.jpg","Фото")</f>
      </c>
    </row>
    <row r="6361">
      <c r="A6361" s="7">
        <f>HYPERLINK("http://www.lingerieopt.ru/item/3484-trusiki-shortj-militari/","3484")</f>
      </c>
      <c r="B6361" s="8" t="s">
        <v>6116</v>
      </c>
      <c r="C6361" s="9">
        <v>241</v>
      </c>
      <c r="D6361" s="0">
        <v>0</v>
      </c>
      <c r="E6361" s="10">
        <f>HYPERLINK("http://www.lingerieopt.ru/images/original/80a062ea-c0c6-49a8-978f-ab61d23c9bf3.jpg","Фото")</f>
      </c>
    </row>
    <row r="6362">
      <c r="A6362" s="7">
        <f>HYPERLINK("http://www.lingerieopt.ru/item/3484-trusiki-shortj-militari/","3484")</f>
      </c>
      <c r="B6362" s="8" t="s">
        <v>6117</v>
      </c>
      <c r="C6362" s="9">
        <v>241</v>
      </c>
      <c r="D6362" s="0">
        <v>30</v>
      </c>
      <c r="E6362" s="10">
        <f>HYPERLINK("http://www.lingerieopt.ru/images/original/80a062ea-c0c6-49a8-978f-ab61d23c9bf3.jpg","Фото")</f>
      </c>
    </row>
    <row r="6363">
      <c r="A6363" s="7">
        <f>HYPERLINK("http://www.lingerieopt.ru/item/3486-trusj-slipj-iz-hlopka-na-shirokoi-rezinke-hustler/","3486")</f>
      </c>
      <c r="B6363" s="8" t="s">
        <v>6118</v>
      </c>
      <c r="C6363" s="9">
        <v>502</v>
      </c>
      <c r="D6363" s="0">
        <v>0</v>
      </c>
      <c r="E6363" s="10">
        <f>HYPERLINK("http://www.lingerieopt.ru/images/original/4a4d46fc-106a-42cd-a307-82035bb9bb79.jpg","Фото")</f>
      </c>
    </row>
    <row r="6364">
      <c r="A6364" s="7">
        <f>HYPERLINK("http://www.lingerieopt.ru/item/3486-trusj-slipj-iz-hlopka-na-shirokoi-rezinke-hustler/","3486")</f>
      </c>
      <c r="B6364" s="8" t="s">
        <v>6119</v>
      </c>
      <c r="C6364" s="9">
        <v>502</v>
      </c>
      <c r="D6364" s="0">
        <v>3</v>
      </c>
      <c r="E6364" s="10">
        <f>HYPERLINK("http://www.lingerieopt.ru/images/original/4a4d46fc-106a-42cd-a307-82035bb9bb79.jpg","Фото")</f>
      </c>
    </row>
    <row r="6365">
      <c r="A6365" s="7">
        <f>HYPERLINK("http://www.lingerieopt.ru/item/3486-trusj-slipj-iz-hlopka-na-shirokoi-rezinke-hustler/","3486")</f>
      </c>
      <c r="B6365" s="8" t="s">
        <v>6120</v>
      </c>
      <c r="C6365" s="9">
        <v>502</v>
      </c>
      <c r="D6365" s="0">
        <v>0</v>
      </c>
      <c r="E6365" s="10">
        <f>HYPERLINK("http://www.lingerieopt.ru/images/original/4a4d46fc-106a-42cd-a307-82035bb9bb79.jpg","Фото")</f>
      </c>
    </row>
    <row r="6366">
      <c r="A6366" s="7">
        <f>HYPERLINK("http://www.lingerieopt.ru/item/3486-trusj-slipj-iz-hlopka-na-shirokoi-rezinke-hustler/","3486")</f>
      </c>
      <c r="B6366" s="8" t="s">
        <v>6121</v>
      </c>
      <c r="C6366" s="9">
        <v>502</v>
      </c>
      <c r="D6366" s="0">
        <v>0</v>
      </c>
      <c r="E6366" s="10">
        <f>HYPERLINK("http://www.lingerieopt.ru/images/original/4a4d46fc-106a-42cd-a307-82035bb9bb79.jpg","Фото")</f>
      </c>
    </row>
    <row r="6367">
      <c r="A6367" s="7">
        <f>HYPERLINK("http://www.lingerieopt.ru/item/3486-trusj-slipj-iz-hlopka-na-shirokoi-rezinke-hustler/","3486")</f>
      </c>
      <c r="B6367" s="8" t="s">
        <v>6122</v>
      </c>
      <c r="C6367" s="9">
        <v>502</v>
      </c>
      <c r="D6367" s="0">
        <v>0</v>
      </c>
      <c r="E6367" s="10">
        <f>HYPERLINK("http://www.lingerieopt.ru/images/original/4a4d46fc-106a-42cd-a307-82035bb9bb79.jpg","Фото")</f>
      </c>
    </row>
    <row r="6368">
      <c r="A6368" s="7">
        <f>HYPERLINK("http://www.lingerieopt.ru/item/3490-trusiki-tanga-iz-kozhi-na-shirokoi-rezinke/","3490")</f>
      </c>
      <c r="B6368" s="8" t="s">
        <v>6123</v>
      </c>
      <c r="C6368" s="9">
        <v>267</v>
      </c>
      <c r="D6368" s="0">
        <v>6</v>
      </c>
      <c r="E6368" s="10">
        <f>HYPERLINK("http://www.lingerieopt.ru/images/original/8d7837a4-2fea-46d3-9ee5-25f6c394d2e7.jpg","Фото")</f>
      </c>
    </row>
    <row r="6369">
      <c r="A6369" s="7">
        <f>HYPERLINK("http://www.lingerieopt.ru/item/3490-trusiki-tanga-iz-kozhi-na-shirokoi-rezinke/","3490")</f>
      </c>
      <c r="B6369" s="8" t="s">
        <v>6124</v>
      </c>
      <c r="C6369" s="9">
        <v>267</v>
      </c>
      <c r="D6369" s="0">
        <v>0</v>
      </c>
      <c r="E6369" s="10">
        <f>HYPERLINK("http://www.lingerieopt.ru/images/original/8d7837a4-2fea-46d3-9ee5-25f6c394d2e7.jpg","Фото")</f>
      </c>
    </row>
    <row r="6370">
      <c r="A6370" s="7">
        <f>HYPERLINK("http://www.lingerieopt.ru/item/3490-trusiki-tanga-iz-kozhi-na-shirokoi-rezinke/","3490")</f>
      </c>
      <c r="B6370" s="8" t="s">
        <v>6125</v>
      </c>
      <c r="C6370" s="9">
        <v>267</v>
      </c>
      <c r="D6370" s="0">
        <v>0</v>
      </c>
      <c r="E6370" s="10">
        <f>HYPERLINK("http://www.lingerieopt.ru/images/original/8d7837a4-2fea-46d3-9ee5-25f6c394d2e7.jpg","Фото")</f>
      </c>
    </row>
    <row r="6371">
      <c r="A6371" s="7">
        <f>HYPERLINK("http://www.lingerieopt.ru/item/3490-trusiki-tanga-iz-kozhi-na-shirokoi-rezinke/","3490")</f>
      </c>
      <c r="B6371" s="8" t="s">
        <v>6126</v>
      </c>
      <c r="C6371" s="9">
        <v>267</v>
      </c>
      <c r="D6371" s="0">
        <v>30</v>
      </c>
      <c r="E6371" s="10">
        <f>HYPERLINK("http://www.lingerieopt.ru/images/original/8d7837a4-2fea-46d3-9ee5-25f6c394d2e7.jpg","Фото")</f>
      </c>
    </row>
    <row r="6372">
      <c r="A6372" s="7">
        <f>HYPERLINK("http://www.lingerieopt.ru/item/3490-trusiki-tanga-iz-kozhi-na-shirokoi-rezinke/","3490")</f>
      </c>
      <c r="B6372" s="8" t="s">
        <v>6127</v>
      </c>
      <c r="C6372" s="9">
        <v>267</v>
      </c>
      <c r="D6372" s="0">
        <v>0</v>
      </c>
      <c r="E6372" s="10">
        <f>HYPERLINK("http://www.lingerieopt.ru/images/original/8d7837a4-2fea-46d3-9ee5-25f6c394d2e7.jpg","Фото")</f>
      </c>
    </row>
    <row r="6373">
      <c r="A6373" s="7">
        <f>HYPERLINK("http://www.lingerieopt.ru/item/3490-trusiki-tanga-iz-kozhi-na-shirokoi-rezinke/","3490")</f>
      </c>
      <c r="B6373" s="8" t="s">
        <v>6128</v>
      </c>
      <c r="C6373" s="9">
        <v>267</v>
      </c>
      <c r="D6373" s="0">
        <v>0</v>
      </c>
      <c r="E6373" s="10">
        <f>HYPERLINK("http://www.lingerieopt.ru/images/original/8d7837a4-2fea-46d3-9ee5-25f6c394d2e7.jpg","Фото")</f>
      </c>
    </row>
    <row r="6374">
      <c r="A6374" s="7">
        <f>HYPERLINK("http://www.lingerieopt.ru/item/3511-chernje-trusiki-s-rozovoi-nadpisyu-slut-i-serdechkami/","3511")</f>
      </c>
      <c r="B6374" s="8" t="s">
        <v>6129</v>
      </c>
      <c r="C6374" s="9">
        <v>307</v>
      </c>
      <c r="D6374" s="0">
        <v>6</v>
      </c>
      <c r="E6374" s="10">
        <f>HYPERLINK("http://www.lingerieopt.ru/images/original/8886c65a-6bcf-4fa2-9fd2-81f2dd4a77fb.jpg","Фото")</f>
      </c>
    </row>
    <row r="6375">
      <c r="A6375" s="7">
        <f>HYPERLINK("http://www.lingerieopt.ru/item/3511-chernje-trusiki-s-rozovoi-nadpisyu-slut-i-serdechkami/","3511")</f>
      </c>
      <c r="B6375" s="8" t="s">
        <v>6130</v>
      </c>
      <c r="C6375" s="9">
        <v>307</v>
      </c>
      <c r="D6375" s="0">
        <v>30</v>
      </c>
      <c r="E6375" s="10">
        <f>HYPERLINK("http://www.lingerieopt.ru/images/original/8886c65a-6bcf-4fa2-9fd2-81f2dd4a77fb.jpg","Фото")</f>
      </c>
    </row>
    <row r="6376">
      <c r="A6376" s="7">
        <f>HYPERLINK("http://www.lingerieopt.ru/item/3512-zhenskie-trusiki-hustler-s-abbreviaturoi-dtf/","3512")</f>
      </c>
      <c r="B6376" s="8" t="s">
        <v>6131</v>
      </c>
      <c r="C6376" s="9">
        <v>295</v>
      </c>
      <c r="D6376" s="0">
        <v>30</v>
      </c>
      <c r="E6376" s="10">
        <f>HYPERLINK("http://www.lingerieopt.ru/images/original/47a625f7-0888-4840-87d5-1ffd7a2c6a3e.jpg","Фото")</f>
      </c>
    </row>
    <row r="6377">
      <c r="A6377" s="7">
        <f>HYPERLINK("http://www.lingerieopt.ru/item/3512-zhenskie-trusiki-hustler-s-abbreviaturoi-dtf/","3512")</f>
      </c>
      <c r="B6377" s="8" t="s">
        <v>6132</v>
      </c>
      <c r="C6377" s="9">
        <v>295</v>
      </c>
      <c r="D6377" s="0">
        <v>30</v>
      </c>
      <c r="E6377" s="10">
        <f>HYPERLINK("http://www.lingerieopt.ru/images/original/47a625f7-0888-4840-87d5-1ffd7a2c6a3e.jpg","Фото")</f>
      </c>
    </row>
    <row r="6378">
      <c r="A6378" s="7">
        <f>HYPERLINK("http://www.lingerieopt.ru/item/3514-zhenskie-trusiki-hustler-s-nadpisyu-sinner/","3514")</f>
      </c>
      <c r="B6378" s="8" t="s">
        <v>6133</v>
      </c>
      <c r="C6378" s="9">
        <v>149</v>
      </c>
      <c r="D6378" s="0">
        <v>0</v>
      </c>
      <c r="E6378" s="10">
        <f>HYPERLINK("http://www.lingerieopt.ru/images/original/f88845b6-fbfb-4815-9c51-118a0a40eb9c.jpg","Фото")</f>
      </c>
    </row>
    <row r="6379">
      <c r="A6379" s="7">
        <f>HYPERLINK("http://www.lingerieopt.ru/item/3514-zhenskie-trusiki-hustler-s-nadpisyu-sinner/","3514")</f>
      </c>
      <c r="B6379" s="8" t="s">
        <v>6134</v>
      </c>
      <c r="C6379" s="9">
        <v>149</v>
      </c>
      <c r="D6379" s="0">
        <v>7</v>
      </c>
      <c r="E6379" s="10">
        <f>HYPERLINK("http://www.lingerieopt.ru/images/original/f88845b6-fbfb-4815-9c51-118a0a40eb9c.jpg","Фото")</f>
      </c>
    </row>
    <row r="6380">
      <c r="A6380" s="7">
        <f>HYPERLINK("http://www.lingerieopt.ru/item/3515-zhenskie-trusiki-hustler-s-nadpisyu-barely-legal/","3515")</f>
      </c>
      <c r="B6380" s="8" t="s">
        <v>6135</v>
      </c>
      <c r="C6380" s="9">
        <v>295</v>
      </c>
      <c r="D6380" s="0">
        <v>6</v>
      </c>
      <c r="E6380" s="10">
        <f>HYPERLINK("http://www.lingerieopt.ru/images/original/76098c18-caa2-4c75-8246-86c5f441051c.jpg","Фото")</f>
      </c>
    </row>
    <row r="6381">
      <c r="A6381" s="7">
        <f>HYPERLINK("http://www.lingerieopt.ru/item/3515-zhenskie-trusiki-hustler-s-nadpisyu-barely-legal/","3515")</f>
      </c>
      <c r="B6381" s="8" t="s">
        <v>6136</v>
      </c>
      <c r="C6381" s="9">
        <v>295</v>
      </c>
      <c r="D6381" s="0">
        <v>0</v>
      </c>
      <c r="E6381" s="10">
        <f>HYPERLINK("http://www.lingerieopt.ru/images/original/76098c18-caa2-4c75-8246-86c5f441051c.jpg","Фото")</f>
      </c>
    </row>
    <row r="6382">
      <c r="A6382" s="7">
        <f>HYPERLINK("http://www.lingerieopt.ru/item/3516-zhenskie-trusiki-hustler-s-nadpisyu-i-accept-tips/","3516")</f>
      </c>
      <c r="B6382" s="8" t="s">
        <v>6137</v>
      </c>
      <c r="C6382" s="9">
        <v>295</v>
      </c>
      <c r="D6382" s="0">
        <v>1</v>
      </c>
      <c r="E6382" s="10">
        <f>HYPERLINK("http://www.lingerieopt.ru/images/original/1363d6c4-f919-4f27-9e52-18ed1ba51a57.jpg","Фото")</f>
      </c>
    </row>
    <row r="6383">
      <c r="A6383" s="7">
        <f>HYPERLINK("http://www.lingerieopt.ru/item/3516-zhenskie-trusiki-hustler-s-nadpisyu-i-accept-tips/","3516")</f>
      </c>
      <c r="B6383" s="8" t="s">
        <v>6138</v>
      </c>
      <c r="C6383" s="9">
        <v>295</v>
      </c>
      <c r="D6383" s="0">
        <v>6</v>
      </c>
      <c r="E6383" s="10">
        <f>HYPERLINK("http://www.lingerieopt.ru/images/original/1363d6c4-f919-4f27-9e52-18ed1ba51a57.jpg","Фото")</f>
      </c>
    </row>
    <row r="6384">
      <c r="A6384" s="7">
        <f>HYPERLINK("http://www.lingerieopt.ru/item/3520-trusiki-slip-s-nadpisyu-strazami-milf/","3520")</f>
      </c>
      <c r="B6384" s="8" t="s">
        <v>6139</v>
      </c>
      <c r="C6384" s="9">
        <v>295</v>
      </c>
      <c r="D6384" s="0">
        <v>6</v>
      </c>
      <c r="E6384" s="10">
        <f>HYPERLINK("http://www.lingerieopt.ru/images/original/8baa4cb9-11bf-4658-a15a-2e9ac83bae7d.jpg","Фото")</f>
      </c>
    </row>
    <row r="6385">
      <c r="A6385" s="7">
        <f>HYPERLINK("http://www.lingerieopt.ru/item/3520-trusiki-slip-s-nadpisyu-strazami-milf/","3520")</f>
      </c>
      <c r="B6385" s="8" t="s">
        <v>6140</v>
      </c>
      <c r="C6385" s="9">
        <v>295</v>
      </c>
      <c r="D6385" s="0">
        <v>32</v>
      </c>
      <c r="E6385" s="10">
        <f>HYPERLINK("http://www.lingerieopt.ru/images/original/8baa4cb9-11bf-4658-a15a-2e9ac83bae7d.jpg","Фото")</f>
      </c>
    </row>
    <row r="6386">
      <c r="A6386" s="7">
        <f>HYPERLINK("http://www.lingerieopt.ru/item/3522-trusiki-slip-s-nadpisyu-strazami-hustler/","3522")</f>
      </c>
      <c r="B6386" s="8" t="s">
        <v>6141</v>
      </c>
      <c r="C6386" s="9">
        <v>295</v>
      </c>
      <c r="D6386" s="0">
        <v>6</v>
      </c>
      <c r="E6386" s="10">
        <f>HYPERLINK("http://www.lingerieopt.ru/images/original/890b4084-0e73-4575-ac37-14d8e620c53f.jpg","Фото")</f>
      </c>
    </row>
    <row r="6387">
      <c r="A6387" s="7">
        <f>HYPERLINK("http://www.lingerieopt.ru/item/3522-trusiki-slip-s-nadpisyu-strazami-hustler/","3522")</f>
      </c>
      <c r="B6387" s="8" t="s">
        <v>6142</v>
      </c>
      <c r="C6387" s="9">
        <v>295</v>
      </c>
      <c r="D6387" s="0">
        <v>30</v>
      </c>
      <c r="E6387" s="10">
        <f>HYPERLINK("http://www.lingerieopt.ru/images/original/890b4084-0e73-4575-ac37-14d8e620c53f.jpg","Фото")</f>
      </c>
    </row>
    <row r="6388">
      <c r="A6388" s="7">
        <f>HYPERLINK("http://www.lingerieopt.ru/item/3523-trusiki-slip-s-nadpisyu-strazami-100-dtf/","3523")</f>
      </c>
      <c r="B6388" s="8" t="s">
        <v>6143</v>
      </c>
      <c r="C6388" s="9">
        <v>295</v>
      </c>
      <c r="D6388" s="0">
        <v>30</v>
      </c>
      <c r="E6388" s="10">
        <f>HYPERLINK("http://www.lingerieopt.ru/images/original/ae8bd7e1-5f55-42d9-952b-d23f2ab797d8.jpg","Фото")</f>
      </c>
    </row>
    <row r="6389">
      <c r="A6389" s="7">
        <f>HYPERLINK("http://www.lingerieopt.ru/item/3523-trusiki-slip-s-nadpisyu-strazami-100-dtf/","3523")</f>
      </c>
      <c r="B6389" s="8" t="s">
        <v>6144</v>
      </c>
      <c r="C6389" s="9">
        <v>295</v>
      </c>
      <c r="D6389" s="0">
        <v>30</v>
      </c>
      <c r="E6389" s="10">
        <f>HYPERLINK("http://www.lingerieopt.ru/images/original/ae8bd7e1-5f55-42d9-952b-d23f2ab797d8.jpg","Фото")</f>
      </c>
    </row>
    <row r="6390">
      <c r="A6390" s="7">
        <f>HYPERLINK("http://www.lingerieopt.ru/item/3525-fioletovje-azhurnje-trusiki-tanga/","3525")</f>
      </c>
      <c r="B6390" s="8" t="s">
        <v>6145</v>
      </c>
      <c r="C6390" s="9">
        <v>307</v>
      </c>
      <c r="D6390" s="0">
        <v>30</v>
      </c>
      <c r="E6390" s="10">
        <f>HYPERLINK("http://www.lingerieopt.ru/images/original/3dd8d91d-a7c1-4e94-83d6-54601cc1654f.jpg","Фото")</f>
      </c>
    </row>
    <row r="6391">
      <c r="A6391" s="7">
        <f>HYPERLINK("http://www.lingerieopt.ru/item/3525-fioletovje-azhurnje-trusiki-tanga/","3525")</f>
      </c>
      <c r="B6391" s="8" t="s">
        <v>6146</v>
      </c>
      <c r="C6391" s="9">
        <v>307</v>
      </c>
      <c r="D6391" s="0">
        <v>8</v>
      </c>
      <c r="E6391" s="10">
        <f>HYPERLINK("http://www.lingerieopt.ru/images/original/3dd8d91d-a7c1-4e94-83d6-54601cc1654f.jpg","Фото")</f>
      </c>
    </row>
    <row r="6392">
      <c r="A6392" s="7">
        <f>HYPERLINK("http://www.lingerieopt.ru/item/3526-neonovo-rozovje-shortiki-s-ryushkami/","3526")</f>
      </c>
      <c r="B6392" s="8" t="s">
        <v>6147</v>
      </c>
      <c r="C6392" s="9">
        <v>726</v>
      </c>
      <c r="D6392" s="0">
        <v>0</v>
      </c>
      <c r="E6392" s="10">
        <f>HYPERLINK("http://www.lingerieopt.ru/images/original/77e364d1-de9d-4465-adeb-789adab4b603.jpg","Фото")</f>
      </c>
    </row>
    <row r="6393">
      <c r="A6393" s="7">
        <f>HYPERLINK("http://www.lingerieopt.ru/item/3526-neonovo-rozovje-shortiki-s-ryushkami/","3526")</f>
      </c>
      <c r="B6393" s="8" t="s">
        <v>6148</v>
      </c>
      <c r="C6393" s="9">
        <v>726</v>
      </c>
      <c r="D6393" s="0">
        <v>30</v>
      </c>
      <c r="E6393" s="10">
        <f>HYPERLINK("http://www.lingerieopt.ru/images/original/77e364d1-de9d-4465-adeb-789adab4b603.jpg","Фото")</f>
      </c>
    </row>
    <row r="6394">
      <c r="A6394" s="7">
        <f>HYPERLINK("http://www.lingerieopt.ru/item/3532-trusiki-s-bleskom-i-kruzhevnoi-okantovkoi/","3532")</f>
      </c>
      <c r="B6394" s="8" t="s">
        <v>6149</v>
      </c>
      <c r="C6394" s="9">
        <v>316</v>
      </c>
      <c r="D6394" s="0">
        <v>30</v>
      </c>
      <c r="E6394" s="10">
        <f>HYPERLINK("http://www.lingerieopt.ru/images/original/88cfe5b5-c74b-499b-ae35-1cef562d2657.jpg","Фото")</f>
      </c>
    </row>
    <row r="6395">
      <c r="A6395" s="7">
        <f>HYPERLINK("http://www.lingerieopt.ru/item/3532-trusiki-s-bleskom-i-kruzhevnoi-okantovkoi/","3532")</f>
      </c>
      <c r="B6395" s="8" t="s">
        <v>6150</v>
      </c>
      <c r="C6395" s="9">
        <v>316</v>
      </c>
      <c r="D6395" s="0">
        <v>30</v>
      </c>
      <c r="E6395" s="10">
        <f>HYPERLINK("http://www.lingerieopt.ru/images/original/88cfe5b5-c74b-499b-ae35-1cef562d2657.jpg","Фото")</f>
      </c>
    </row>
    <row r="6396">
      <c r="A6396" s="7">
        <f>HYPERLINK("http://www.lingerieopt.ru/item/3532-trusiki-s-bleskom-i-kruzhevnoi-okantovkoi/","3532")</f>
      </c>
      <c r="B6396" s="8" t="s">
        <v>6151</v>
      </c>
      <c r="C6396" s="9">
        <v>316</v>
      </c>
      <c r="D6396" s="0">
        <v>30</v>
      </c>
      <c r="E6396" s="10">
        <f>HYPERLINK("http://www.lingerieopt.ru/images/original/88cfe5b5-c74b-499b-ae35-1cef562d2657.jpg","Фото")</f>
      </c>
    </row>
    <row r="6397">
      <c r="A6397" s="7">
        <f>HYPERLINK("http://www.lingerieopt.ru/item/3532-trusiki-s-bleskom-i-kruzhevnoi-okantovkoi/","3532")</f>
      </c>
      <c r="B6397" s="8" t="s">
        <v>6152</v>
      </c>
      <c r="C6397" s="9">
        <v>316</v>
      </c>
      <c r="D6397" s="0">
        <v>30</v>
      </c>
      <c r="E6397" s="10">
        <f>HYPERLINK("http://www.lingerieopt.ru/images/original/88cfe5b5-c74b-499b-ae35-1cef562d2657.jpg","Фото")</f>
      </c>
    </row>
    <row r="6398">
      <c r="A6398" s="7">
        <f>HYPERLINK("http://www.lingerieopt.ru/item/3535-rozovje-trusiki-stringi-na-shirokoi-rezinke/","3535")</f>
      </c>
      <c r="B6398" s="8" t="s">
        <v>6153</v>
      </c>
      <c r="C6398" s="9">
        <v>385</v>
      </c>
      <c r="D6398" s="0">
        <v>3</v>
      </c>
      <c r="E6398" s="10">
        <f>HYPERLINK("http://www.lingerieopt.ru/images/original/bb731db7-b323-49cb-8e54-1ea9a033efc0.jpg","Фото")</f>
      </c>
    </row>
    <row r="6399">
      <c r="A6399" s="7">
        <f>HYPERLINK("http://www.lingerieopt.ru/item/3535-rozovje-trusiki-stringi-na-shirokoi-rezinke/","3535")</f>
      </c>
      <c r="B6399" s="8" t="s">
        <v>6154</v>
      </c>
      <c r="C6399" s="9">
        <v>385</v>
      </c>
      <c r="D6399" s="0">
        <v>30</v>
      </c>
      <c r="E6399" s="10">
        <f>HYPERLINK("http://www.lingerieopt.ru/images/original/bb731db7-b323-49cb-8e54-1ea9a033efc0.jpg","Фото")</f>
      </c>
    </row>
    <row r="6400">
      <c r="A6400" s="7">
        <f>HYPERLINK("http://www.lingerieopt.ru/item/3537-rozovje-trusiki-s-podvyazkami-dlya-chulok/","3537")</f>
      </c>
      <c r="B6400" s="8" t="s">
        <v>6155</v>
      </c>
      <c r="C6400" s="9">
        <v>627</v>
      </c>
      <c r="D6400" s="0">
        <v>30</v>
      </c>
      <c r="E6400" s="10">
        <f>HYPERLINK("http://www.lingerieopt.ru/images/original/0c887936-1e8b-43c5-94b0-c6387f1e8b11.jpg","Фото")</f>
      </c>
    </row>
    <row r="6401">
      <c r="A6401" s="7">
        <f>HYPERLINK("http://www.lingerieopt.ru/item/3537-rozovje-trusiki-s-podvyazkami-dlya-chulok/","3537")</f>
      </c>
      <c r="B6401" s="8" t="s">
        <v>6156</v>
      </c>
      <c r="C6401" s="9">
        <v>627</v>
      </c>
      <c r="D6401" s="0">
        <v>0</v>
      </c>
      <c r="E6401" s="10">
        <f>HYPERLINK("http://www.lingerieopt.ru/images/original/0c887936-1e8b-43c5-94b0-c6387f1e8b11.jpg","Фото")</f>
      </c>
    </row>
    <row r="6402">
      <c r="A6402" s="7">
        <f>HYPERLINK("http://www.lingerieopt.ru/item/3539-poluprozrachnje-kruzhevnje-shortiki/","3539")</f>
      </c>
      <c r="B6402" s="8" t="s">
        <v>6157</v>
      </c>
      <c r="C6402" s="9">
        <v>376</v>
      </c>
      <c r="D6402" s="0">
        <v>31</v>
      </c>
      <c r="E6402" s="10">
        <f>HYPERLINK("http://www.lingerieopt.ru/images/original/4fb59591-50a7-48de-9e48-ad4b76833d4f.jpg","Фото")</f>
      </c>
    </row>
    <row r="6403">
      <c r="A6403" s="7">
        <f>HYPERLINK("http://www.lingerieopt.ru/item/3539-poluprozrachnje-kruzhevnje-shortiki/","3539")</f>
      </c>
      <c r="B6403" s="8" t="s">
        <v>6158</v>
      </c>
      <c r="C6403" s="9">
        <v>376</v>
      </c>
      <c r="D6403" s="0">
        <v>0</v>
      </c>
      <c r="E6403" s="10">
        <f>HYPERLINK("http://www.lingerieopt.ru/images/original/4fb59591-50a7-48de-9e48-ad4b76833d4f.jpg","Фото")</f>
      </c>
    </row>
    <row r="6404">
      <c r="A6404" s="7">
        <f>HYPERLINK("http://www.lingerieopt.ru/item/3549-elastichnje-trusiki-shortiki/","3549")</f>
      </c>
      <c r="B6404" s="8" t="s">
        <v>6159</v>
      </c>
      <c r="C6404" s="9">
        <v>646</v>
      </c>
      <c r="D6404" s="0">
        <v>30</v>
      </c>
      <c r="E6404" s="10">
        <f>HYPERLINK("http://www.lingerieopt.ru/images/original/c4883994-3046-4a5a-8714-172b32564094.jpg","Фото")</f>
      </c>
    </row>
    <row r="6405">
      <c r="A6405" s="7">
        <f>HYPERLINK("http://www.lingerieopt.ru/item/3549-elastichnje-trusiki-shortiki/","3549")</f>
      </c>
      <c r="B6405" s="8" t="s">
        <v>6160</v>
      </c>
      <c r="C6405" s="9">
        <v>646</v>
      </c>
      <c r="D6405" s="0">
        <v>31</v>
      </c>
      <c r="E6405" s="10">
        <f>HYPERLINK("http://www.lingerieopt.ru/images/original/c4883994-3046-4a5a-8714-172b32564094.jpg","Фото")</f>
      </c>
    </row>
    <row r="6406">
      <c r="A6406" s="7">
        <f>HYPERLINK("http://www.lingerieopt.ru/item/3549-elastichnje-trusiki-shortiki/","3549")</f>
      </c>
      <c r="B6406" s="8" t="s">
        <v>6161</v>
      </c>
      <c r="C6406" s="9">
        <v>646</v>
      </c>
      <c r="D6406" s="0">
        <v>30</v>
      </c>
      <c r="E6406" s="10">
        <f>HYPERLINK("http://www.lingerieopt.ru/images/original/c4883994-3046-4a5a-8714-172b32564094.jpg","Фото")</f>
      </c>
    </row>
    <row r="6407">
      <c r="A6407" s="7">
        <f>HYPERLINK("http://www.lingerieopt.ru/item/3549-elastichnje-trusiki-shortiki/","3549")</f>
      </c>
      <c r="B6407" s="8" t="s">
        <v>6162</v>
      </c>
      <c r="C6407" s="9">
        <v>646</v>
      </c>
      <c r="D6407" s="0">
        <v>6</v>
      </c>
      <c r="E6407" s="10">
        <f>HYPERLINK("http://www.lingerieopt.ru/images/original/c4883994-3046-4a5a-8714-172b32564094.jpg","Фото")</f>
      </c>
    </row>
    <row r="6408">
      <c r="A6408" s="7">
        <f>HYPERLINK("http://www.lingerieopt.ru/item/3568-trusiki-tanga-s-dekorativnoi-shnurovkoi/","3568")</f>
      </c>
      <c r="B6408" s="8" t="s">
        <v>6163</v>
      </c>
      <c r="C6408" s="9">
        <v>627</v>
      </c>
      <c r="D6408" s="0">
        <v>0</v>
      </c>
      <c r="E6408" s="10">
        <f>HYPERLINK("http://www.lingerieopt.ru/images/original/6b00cf62-d883-4f96-9315-12cd59f361d7.jpg","Фото")</f>
      </c>
    </row>
    <row r="6409">
      <c r="A6409" s="7">
        <f>HYPERLINK("http://www.lingerieopt.ru/item/3568-trusiki-tanga-s-dekorativnoi-shnurovkoi/","3568")</f>
      </c>
      <c r="B6409" s="8" t="s">
        <v>6164</v>
      </c>
      <c r="C6409" s="9">
        <v>627</v>
      </c>
      <c r="D6409" s="0">
        <v>30</v>
      </c>
      <c r="E6409" s="10">
        <f>HYPERLINK("http://www.lingerieopt.ru/images/original/6b00cf62-d883-4f96-9315-12cd59f361d7.jpg","Фото")</f>
      </c>
    </row>
    <row r="6410">
      <c r="A6410" s="7">
        <f>HYPERLINK("http://www.lingerieopt.ru/item/3568-trusiki-tanga-s-dekorativnoi-shnurovkoi/","3568")</f>
      </c>
      <c r="B6410" s="8" t="s">
        <v>6165</v>
      </c>
      <c r="C6410" s="9">
        <v>627</v>
      </c>
      <c r="D6410" s="0">
        <v>6</v>
      </c>
      <c r="E6410" s="10">
        <f>HYPERLINK("http://www.lingerieopt.ru/images/original/6b00cf62-d883-4f96-9315-12cd59f361d7.jpg","Фото")</f>
      </c>
    </row>
    <row r="6411">
      <c r="A6411" s="7">
        <f>HYPERLINK("http://www.lingerieopt.ru/item/3588-trusiki-string-na-podtyazhkah-business-style/","3588")</f>
      </c>
      <c r="B6411" s="8" t="s">
        <v>6166</v>
      </c>
      <c r="C6411" s="9">
        <v>775</v>
      </c>
      <c r="D6411" s="0">
        <v>6</v>
      </c>
      <c r="E6411" s="10">
        <f>HYPERLINK("http://www.lingerieopt.ru/images/original/14b32c33-2060-4e87-ba72-479dc34afb90.jpg","Фото")</f>
      </c>
    </row>
    <row r="6412">
      <c r="A6412" s="7">
        <f>HYPERLINK("http://www.lingerieopt.ru/item/3588-trusiki-string-na-podtyazhkah-business-style/","3588")</f>
      </c>
      <c r="B6412" s="8" t="s">
        <v>6167</v>
      </c>
      <c r="C6412" s="9">
        <v>775</v>
      </c>
      <c r="D6412" s="0">
        <v>0</v>
      </c>
      <c r="E6412" s="10">
        <f>HYPERLINK("http://www.lingerieopt.ru/images/original/14b32c33-2060-4e87-ba72-479dc34afb90.jpg","Фото")</f>
      </c>
    </row>
    <row r="6413">
      <c r="A6413" s="7">
        <f>HYPERLINK("http://www.lingerieopt.ru/item/3653-shortiki-s-ryushami/","3653")</f>
      </c>
      <c r="B6413" s="8" t="s">
        <v>6168</v>
      </c>
      <c r="C6413" s="9">
        <v>710</v>
      </c>
      <c r="D6413" s="0">
        <v>30</v>
      </c>
      <c r="E6413" s="10">
        <f>HYPERLINK("http://www.lingerieopt.ru/images/original/4af693b3-3e28-4b3e-950f-ce872a3cacad.jpg","Фото")</f>
      </c>
    </row>
    <row r="6414">
      <c r="A6414" s="7">
        <f>HYPERLINK("http://www.lingerieopt.ru/item/3653-shortiki-s-ryushami/","3653")</f>
      </c>
      <c r="B6414" s="8" t="s">
        <v>6169</v>
      </c>
      <c r="C6414" s="9">
        <v>710</v>
      </c>
      <c r="D6414" s="0">
        <v>30</v>
      </c>
      <c r="E6414" s="10">
        <f>HYPERLINK("http://www.lingerieopt.ru/images/original/4af693b3-3e28-4b3e-950f-ce872a3cacad.jpg","Фото")</f>
      </c>
    </row>
    <row r="6415">
      <c r="A6415" s="7">
        <f>HYPERLINK("http://www.lingerieopt.ru/item/3653-shortiki-s-ryushami/","3653")</f>
      </c>
      <c r="B6415" s="8" t="s">
        <v>6170</v>
      </c>
      <c r="C6415" s="9">
        <v>710</v>
      </c>
      <c r="D6415" s="0">
        <v>0</v>
      </c>
      <c r="E6415" s="10">
        <f>HYPERLINK("http://www.lingerieopt.ru/images/original/4af693b3-3e28-4b3e-950f-ce872a3cacad.jpg","Фото")</f>
      </c>
    </row>
    <row r="6416">
      <c r="A6416" s="7">
        <f>HYPERLINK("http://www.lingerieopt.ru/item/3653-shortiki-s-ryushami/","3653")</f>
      </c>
      <c r="B6416" s="8" t="s">
        <v>6171</v>
      </c>
      <c r="C6416" s="9">
        <v>710</v>
      </c>
      <c r="D6416" s="0">
        <v>0</v>
      </c>
      <c r="E6416" s="10">
        <f>HYPERLINK("http://www.lingerieopt.ru/images/original/4af693b3-3e28-4b3e-950f-ce872a3cacad.jpg","Фото")</f>
      </c>
    </row>
    <row r="6417">
      <c r="A6417" s="7">
        <f>HYPERLINK("http://www.lingerieopt.ru/item/3653-shortiki-s-ryushami/","3653")</f>
      </c>
      <c r="B6417" s="8" t="s">
        <v>6172</v>
      </c>
      <c r="C6417" s="9">
        <v>710</v>
      </c>
      <c r="D6417" s="0">
        <v>30</v>
      </c>
      <c r="E6417" s="10">
        <f>HYPERLINK("http://www.lingerieopt.ru/images/original/4af693b3-3e28-4b3e-950f-ce872a3cacad.jpg","Фото")</f>
      </c>
    </row>
    <row r="6418">
      <c r="A6418" s="7">
        <f>HYPERLINK("http://www.lingerieopt.ru/item/3653-shortiki-s-ryushami/","3653")</f>
      </c>
      <c r="B6418" s="8" t="s">
        <v>6173</v>
      </c>
      <c r="C6418" s="9">
        <v>710</v>
      </c>
      <c r="D6418" s="0">
        <v>0</v>
      </c>
      <c r="E6418" s="10">
        <f>HYPERLINK("http://www.lingerieopt.ru/images/original/4af693b3-3e28-4b3e-950f-ce872a3cacad.jpg","Фото")</f>
      </c>
    </row>
    <row r="6419">
      <c r="A6419" s="7">
        <f>HYPERLINK("http://www.lingerieopt.ru/item/3653-shortiki-s-ryushami/","3653")</f>
      </c>
      <c r="B6419" s="8" t="s">
        <v>6174</v>
      </c>
      <c r="C6419" s="9">
        <v>710</v>
      </c>
      <c r="D6419" s="0">
        <v>30</v>
      </c>
      <c r="E6419" s="10">
        <f>HYPERLINK("http://www.lingerieopt.ru/images/original/4af693b3-3e28-4b3e-950f-ce872a3cacad.jpg","Фото")</f>
      </c>
    </row>
    <row r="6420">
      <c r="A6420" s="7">
        <f>HYPERLINK("http://www.lingerieopt.ru/item/3848-komplekt-trucikov-tanga-so-shnurovkoi-6-sht/","3848")</f>
      </c>
      <c r="B6420" s="8" t="s">
        <v>6175</v>
      </c>
      <c r="C6420" s="9">
        <v>2134</v>
      </c>
      <c r="D6420" s="0">
        <v>0</v>
      </c>
      <c r="E6420" s="10">
        <f>HYPERLINK("http://www.lingerieopt.ru/images/original/ed57bb16-0d7a-4cd4-9251-761da0bfa9ba.jpg","Фото")</f>
      </c>
    </row>
    <row r="6421">
      <c r="A6421" s="7">
        <f>HYPERLINK("http://www.lingerieopt.ru/item/3848-komplekt-trucikov-tanga-so-shnurovkoi-6-sht/","3848")</f>
      </c>
      <c r="B6421" s="8" t="s">
        <v>6176</v>
      </c>
      <c r="C6421" s="9">
        <v>2134</v>
      </c>
      <c r="D6421" s="0">
        <v>2</v>
      </c>
      <c r="E6421" s="10">
        <f>HYPERLINK("http://www.lingerieopt.ru/images/original/ed57bb16-0d7a-4cd4-9251-761da0bfa9ba.jpg","Фото")</f>
      </c>
    </row>
    <row r="6422">
      <c r="A6422" s="7">
        <f>HYPERLINK("http://www.lingerieopt.ru/item/3849-trusiki-slipj-s-bahromoi/","3849")</f>
      </c>
      <c r="B6422" s="8" t="s">
        <v>6177</v>
      </c>
      <c r="C6422" s="9">
        <v>697</v>
      </c>
      <c r="D6422" s="0">
        <v>0</v>
      </c>
      <c r="E6422" s="10">
        <f>HYPERLINK("http://www.lingerieopt.ru/images/original/07039fcd-690c-4a2c-a62a-50ea55e3f0d8.jpg","Фото")</f>
      </c>
    </row>
    <row r="6423">
      <c r="A6423" s="7">
        <f>HYPERLINK("http://www.lingerieopt.ru/item/3849-trusiki-slipj-s-bahromoi/","3849")</f>
      </c>
      <c r="B6423" s="8" t="s">
        <v>6178</v>
      </c>
      <c r="C6423" s="9">
        <v>697</v>
      </c>
      <c r="D6423" s="0">
        <v>10</v>
      </c>
      <c r="E6423" s="10">
        <f>HYPERLINK("http://www.lingerieopt.ru/images/original/07039fcd-690c-4a2c-a62a-50ea55e3f0d8.jpg","Фото")</f>
      </c>
    </row>
    <row r="6424">
      <c r="A6424" s="7">
        <f>HYPERLINK("http://www.lingerieopt.ru/item/3926-trusiki-s-atlasnjm-poyasom/","3926")</f>
      </c>
      <c r="B6424" s="8" t="s">
        <v>6179</v>
      </c>
      <c r="C6424" s="9">
        <v>865</v>
      </c>
      <c r="D6424" s="0">
        <v>30</v>
      </c>
      <c r="E6424" s="10">
        <f>HYPERLINK("http://www.lingerieopt.ru/images/original/a82e529d-d6f6-4c2a-a897-7298cdef12fd.jpg","Фото")</f>
      </c>
    </row>
    <row r="6425">
      <c r="A6425" s="7">
        <f>HYPERLINK("http://www.lingerieopt.ru/item/3926-trusiki-s-atlasnjm-poyasom/","3926")</f>
      </c>
      <c r="B6425" s="8" t="s">
        <v>6180</v>
      </c>
      <c r="C6425" s="9">
        <v>865</v>
      </c>
      <c r="D6425" s="0">
        <v>30</v>
      </c>
      <c r="E6425" s="10">
        <f>HYPERLINK("http://www.lingerieopt.ru/images/original/a82e529d-d6f6-4c2a-a897-7298cdef12fd.jpg","Фото")</f>
      </c>
    </row>
    <row r="6426">
      <c r="A6426" s="7">
        <f>HYPERLINK("http://www.lingerieopt.ru/item/3927-azhurnje-trusiki-s-dekorativnoi-shnurovkoi-szadi/","3927")</f>
      </c>
      <c r="B6426" s="8" t="s">
        <v>6181</v>
      </c>
      <c r="C6426" s="9">
        <v>865</v>
      </c>
      <c r="D6426" s="0">
        <v>30</v>
      </c>
      <c r="E6426" s="10">
        <f>HYPERLINK("http://www.lingerieopt.ru/images/original/ce40532b-1d06-4f6a-bb30-d1bf40fabd2e.jpg","Фото")</f>
      </c>
    </row>
    <row r="6427">
      <c r="A6427" s="7">
        <f>HYPERLINK("http://www.lingerieopt.ru/item/3927-azhurnje-trusiki-s-dekorativnoi-shnurovkoi-szadi/","3927")</f>
      </c>
      <c r="B6427" s="8" t="s">
        <v>6182</v>
      </c>
      <c r="C6427" s="9">
        <v>865</v>
      </c>
      <c r="D6427" s="0">
        <v>30</v>
      </c>
      <c r="E6427" s="10">
        <f>HYPERLINK("http://www.lingerieopt.ru/images/original/ce40532b-1d06-4f6a-bb30-d1bf40fabd2e.jpg","Фото")</f>
      </c>
    </row>
    <row r="6428">
      <c r="A6428" s="7">
        <f>HYPERLINK("http://www.lingerieopt.ru/item/3927-azhurnje-trusiki-s-dekorativnoi-shnurovkoi-szadi/","3927")</f>
      </c>
      <c r="B6428" s="8" t="s">
        <v>6183</v>
      </c>
      <c r="C6428" s="9">
        <v>865</v>
      </c>
      <c r="D6428" s="0">
        <v>30</v>
      </c>
      <c r="E6428" s="10">
        <f>HYPERLINK("http://www.lingerieopt.ru/images/original/ce40532b-1d06-4f6a-bb30-d1bf40fabd2e.jpg","Фото")</f>
      </c>
    </row>
    <row r="6429">
      <c r="A6429" s="7">
        <f>HYPERLINK("http://www.lingerieopt.ru/item/3927-azhurnje-trusiki-s-dekorativnoi-shnurovkoi-szadi/","3927")</f>
      </c>
      <c r="B6429" s="8" t="s">
        <v>6184</v>
      </c>
      <c r="C6429" s="9">
        <v>865</v>
      </c>
      <c r="D6429" s="0">
        <v>30</v>
      </c>
      <c r="E6429" s="10">
        <f>HYPERLINK("http://www.lingerieopt.ru/images/original/ce40532b-1d06-4f6a-bb30-d1bf40fabd2e.jpg","Фото")</f>
      </c>
    </row>
    <row r="6430">
      <c r="A6430" s="7">
        <f>HYPERLINK("http://www.lingerieopt.ru/item/3969-trusiki-tong-crotchless/","3969")</f>
      </c>
      <c r="B6430" s="8" t="s">
        <v>6185</v>
      </c>
      <c r="C6430" s="9">
        <v>444</v>
      </c>
      <c r="D6430" s="0">
        <v>0</v>
      </c>
      <c r="E6430" s="10">
        <f>HYPERLINK("http://www.lingerieopt.ru/images/original/7bbfe6b0-a9a7-4918-807b-7629b0a5a070.jpg","Фото")</f>
      </c>
    </row>
    <row r="6431">
      <c r="A6431" s="7">
        <f>HYPERLINK("http://www.lingerieopt.ru/item/3969-trusiki-tong-crotchless/","3969")</f>
      </c>
      <c r="B6431" s="8" t="s">
        <v>6186</v>
      </c>
      <c r="C6431" s="9">
        <v>444</v>
      </c>
      <c r="D6431" s="0">
        <v>30</v>
      </c>
      <c r="E6431" s="10">
        <f>HYPERLINK("http://www.lingerieopt.ru/images/original/7bbfe6b0-a9a7-4918-807b-7629b0a5a070.jpg","Фото")</f>
      </c>
    </row>
    <row r="6432">
      <c r="A6432" s="7">
        <f>HYPERLINK("http://www.lingerieopt.ru/item/3969-trusiki-tong-crotchless/","3969")</f>
      </c>
      <c r="B6432" s="8" t="s">
        <v>6187</v>
      </c>
      <c r="C6432" s="9">
        <v>444</v>
      </c>
      <c r="D6432" s="0">
        <v>0</v>
      </c>
      <c r="E6432" s="10">
        <f>HYPERLINK("http://www.lingerieopt.ru/images/original/7bbfe6b0-a9a7-4918-807b-7629b0a5a070.jpg","Фото")</f>
      </c>
    </row>
    <row r="6433">
      <c r="A6433" s="7">
        <f>HYPERLINK("http://www.lingerieopt.ru/item/3969-trusiki-tong-crotchless/","3969")</f>
      </c>
      <c r="B6433" s="8" t="s">
        <v>6188</v>
      </c>
      <c r="C6433" s="9">
        <v>444</v>
      </c>
      <c r="D6433" s="0">
        <v>0</v>
      </c>
      <c r="E6433" s="10">
        <f>HYPERLINK("http://www.lingerieopt.ru/images/original/7bbfe6b0-a9a7-4918-807b-7629b0a5a070.jpg","Фото")</f>
      </c>
    </row>
    <row r="6434">
      <c r="A6434" s="7">
        <f>HYPERLINK("http://www.lingerieopt.ru/item/3969-trusiki-tong-crotchless/","3969")</f>
      </c>
      <c r="B6434" s="8" t="s">
        <v>6189</v>
      </c>
      <c r="C6434" s="9">
        <v>444</v>
      </c>
      <c r="D6434" s="0">
        <v>0</v>
      </c>
      <c r="E6434" s="10">
        <f>HYPERLINK("http://www.lingerieopt.ru/images/original/7bbfe6b0-a9a7-4918-807b-7629b0a5a070.jpg","Фото")</f>
      </c>
    </row>
    <row r="6435">
      <c r="A6435" s="7">
        <f>HYPERLINK("http://www.lingerieopt.ru/item/3969-trusiki-tong-crotchless/","3969")</f>
      </c>
      <c r="B6435" s="8" t="s">
        <v>6190</v>
      </c>
      <c r="C6435" s="9">
        <v>444</v>
      </c>
      <c r="D6435" s="0">
        <v>30</v>
      </c>
      <c r="E6435" s="10">
        <f>HYPERLINK("http://www.lingerieopt.ru/images/original/7bbfe6b0-a9a7-4918-807b-7629b0a5a070.jpg","Фото")</f>
      </c>
    </row>
    <row r="6436">
      <c r="A6436" s="7">
        <f>HYPERLINK("http://www.lingerieopt.ru/item/3969-trusiki-tong-crotchless/","3969")</f>
      </c>
      <c r="B6436" s="8" t="s">
        <v>6191</v>
      </c>
      <c r="C6436" s="9">
        <v>444</v>
      </c>
      <c r="D6436" s="0">
        <v>0</v>
      </c>
      <c r="E6436" s="10">
        <f>HYPERLINK("http://www.lingerieopt.ru/images/original/7bbfe6b0-a9a7-4918-807b-7629b0a5a070.jpg","Фото")</f>
      </c>
    </row>
    <row r="6437">
      <c r="A6437" s="7">
        <f>HYPERLINK("http://www.lingerieopt.ru/item/3969-trusiki-tong-crotchless/","3969")</f>
      </c>
      <c r="B6437" s="8" t="s">
        <v>6192</v>
      </c>
      <c r="C6437" s="9">
        <v>444</v>
      </c>
      <c r="D6437" s="0">
        <v>0</v>
      </c>
      <c r="E6437" s="10">
        <f>HYPERLINK("http://www.lingerieopt.ru/images/original/7bbfe6b0-a9a7-4918-807b-7629b0a5a070.jpg","Фото")</f>
      </c>
    </row>
    <row r="6438">
      <c r="A6438" s="7">
        <f>HYPERLINK("http://www.lingerieopt.ru/item/3969-trusiki-tong-crotchless/","3969")</f>
      </c>
      <c r="B6438" s="8" t="s">
        <v>6193</v>
      </c>
      <c r="C6438" s="9">
        <v>444</v>
      </c>
      <c r="D6438" s="0">
        <v>0</v>
      </c>
      <c r="E6438" s="10">
        <f>HYPERLINK("http://www.lingerieopt.ru/images/original/7bbfe6b0-a9a7-4918-807b-7629b0a5a070.jpg","Фото")</f>
      </c>
    </row>
    <row r="6439">
      <c r="A6439" s="7">
        <f>HYPERLINK("http://www.lingerieopt.ru/item/3969-trusiki-tong-crotchless/","3969")</f>
      </c>
      <c r="B6439" s="8" t="s">
        <v>6194</v>
      </c>
      <c r="C6439" s="9">
        <v>444</v>
      </c>
      <c r="D6439" s="0">
        <v>0</v>
      </c>
      <c r="E6439" s="10">
        <f>HYPERLINK("http://www.lingerieopt.ru/images/original/7bbfe6b0-a9a7-4918-807b-7629b0a5a070.jpg","Фото")</f>
      </c>
    </row>
    <row r="6440">
      <c r="A6440" s="7">
        <f>HYPERLINK("http://www.lingerieopt.ru/item/3969-trusiki-tong-crotchless/","3969")</f>
      </c>
      <c r="B6440" s="8" t="s">
        <v>6195</v>
      </c>
      <c r="C6440" s="9">
        <v>444</v>
      </c>
      <c r="D6440" s="0">
        <v>0</v>
      </c>
      <c r="E6440" s="10">
        <f>HYPERLINK("http://www.lingerieopt.ru/images/original/7bbfe6b0-a9a7-4918-807b-7629b0a5a070.jpg","Фото")</f>
      </c>
    </row>
    <row r="6441">
      <c r="A6441" s="7">
        <f>HYPERLINK("http://www.lingerieopt.ru/item/3969-trusiki-tong-crotchless/","3969")</f>
      </c>
      <c r="B6441" s="8" t="s">
        <v>6196</v>
      </c>
      <c r="C6441" s="9">
        <v>444</v>
      </c>
      <c r="D6441" s="0">
        <v>0</v>
      </c>
      <c r="E6441" s="10">
        <f>HYPERLINK("http://www.lingerieopt.ru/images/original/7bbfe6b0-a9a7-4918-807b-7629b0a5a070.jpg","Фото")</f>
      </c>
    </row>
    <row r="6442">
      <c r="A6442" s="7">
        <f>HYPERLINK("http://www.lingerieopt.ru/item/3969-trusiki-tong-crotchless/","3969")</f>
      </c>
      <c r="B6442" s="8" t="s">
        <v>6197</v>
      </c>
      <c r="C6442" s="9">
        <v>444</v>
      </c>
      <c r="D6442" s="0">
        <v>0</v>
      </c>
      <c r="E6442" s="10">
        <f>HYPERLINK("http://www.lingerieopt.ru/images/original/7bbfe6b0-a9a7-4918-807b-7629b0a5a070.jpg","Фото")</f>
      </c>
    </row>
    <row r="6443">
      <c r="A6443" s="7">
        <f>HYPERLINK("http://www.lingerieopt.ru/item/3971-otkrjtje-rozovje-trusiki/","3971")</f>
      </c>
      <c r="B6443" s="8" t="s">
        <v>6198</v>
      </c>
      <c r="C6443" s="9">
        <v>865</v>
      </c>
      <c r="D6443" s="0">
        <v>30</v>
      </c>
      <c r="E6443" s="10">
        <f>HYPERLINK("http://www.lingerieopt.ru/images/original/f382b0f3-4f00-4cb0-977c-a67a96b01091.jpg","Фото")</f>
      </c>
    </row>
    <row r="6444">
      <c r="A6444" s="7">
        <f>HYPERLINK("http://www.lingerieopt.ru/item/3971-otkrjtje-rozovje-trusiki/","3971")</f>
      </c>
      <c r="B6444" s="8" t="s">
        <v>6199</v>
      </c>
      <c r="C6444" s="9">
        <v>865</v>
      </c>
      <c r="D6444" s="0">
        <v>30</v>
      </c>
      <c r="E6444" s="10">
        <f>HYPERLINK("http://www.lingerieopt.ru/images/original/f382b0f3-4f00-4cb0-977c-a67a96b01091.jpg","Фото")</f>
      </c>
    </row>
    <row r="6445">
      <c r="A6445" s="7">
        <f>HYPERLINK("http://www.lingerieopt.ru/item/3974-trusiki-stringi-iz-kristallov-rhinestone-g-string/","3974")</f>
      </c>
      <c r="B6445" s="8" t="s">
        <v>6200</v>
      </c>
      <c r="C6445" s="9">
        <v>2308</v>
      </c>
      <c r="D6445" s="0">
        <v>6</v>
      </c>
      <c r="E6445" s="10">
        <f>HYPERLINK("http://www.lingerieopt.ru/images/original/f9a06b5f-bdf1-4cc0-a046-c7faa9fbc09f.jpg","Фото")</f>
      </c>
    </row>
    <row r="6446">
      <c r="A6446" s="7">
        <f>HYPERLINK("http://www.lingerieopt.ru/item/3975-trusiki-stringi-iz-zolotjh-kristallov-rhinestone-g-string/","3975")</f>
      </c>
      <c r="B6446" s="8" t="s">
        <v>6201</v>
      </c>
      <c r="C6446" s="9">
        <v>2308</v>
      </c>
      <c r="D6446" s="0">
        <v>30</v>
      </c>
      <c r="E6446" s="10">
        <f>HYPERLINK("http://www.lingerieopt.ru/images/original/991f12a1-638f-4171-b94a-f3069d81cde0.jpg","Фото")</f>
      </c>
    </row>
    <row r="6447">
      <c r="A6447" s="7">
        <f>HYPERLINK("http://www.lingerieopt.ru/item/3977-otkrjtje-trusiki-s-bantom-na-pope/","3977")</f>
      </c>
      <c r="B6447" s="8" t="s">
        <v>6202</v>
      </c>
      <c r="C6447" s="9">
        <v>865</v>
      </c>
      <c r="D6447" s="0">
        <v>30</v>
      </c>
      <c r="E6447" s="10">
        <f>HYPERLINK("http://www.lingerieopt.ru/images/original/8644881e-ddb1-4735-95df-955dfb11789e.jpg","Фото")</f>
      </c>
    </row>
    <row r="6448">
      <c r="A6448" s="7">
        <f>HYPERLINK("http://www.lingerieopt.ru/item/3977-otkrjtje-trusiki-s-bantom-na-pope/","3977")</f>
      </c>
      <c r="B6448" s="8" t="s">
        <v>6203</v>
      </c>
      <c r="C6448" s="9">
        <v>865</v>
      </c>
      <c r="D6448" s="0">
        <v>0</v>
      </c>
      <c r="E6448" s="10">
        <f>HYPERLINK("http://www.lingerieopt.ru/images/original/8644881e-ddb1-4735-95df-955dfb11789e.jpg","Фото")</f>
      </c>
    </row>
    <row r="6449">
      <c r="A6449" s="7">
        <f>HYPERLINK("http://www.lingerieopt.ru/item/3977-otkrjtje-trusiki-s-bantom-na-pope/","3977")</f>
      </c>
      <c r="B6449" s="8" t="s">
        <v>6204</v>
      </c>
      <c r="C6449" s="9">
        <v>865</v>
      </c>
      <c r="D6449" s="0">
        <v>30</v>
      </c>
      <c r="E6449" s="10">
        <f>HYPERLINK("http://www.lingerieopt.ru/images/original/8644881e-ddb1-4735-95df-955dfb11789e.jpg","Фото")</f>
      </c>
    </row>
    <row r="6450">
      <c r="A6450" s="7">
        <f>HYPERLINK("http://www.lingerieopt.ru/item/3977-otkrjtje-trusiki-s-bantom-na-pope/","3977")</f>
      </c>
      <c r="B6450" s="8" t="s">
        <v>6205</v>
      </c>
      <c r="C6450" s="9">
        <v>865</v>
      </c>
      <c r="D6450" s="0">
        <v>6</v>
      </c>
      <c r="E6450" s="10">
        <f>HYPERLINK("http://www.lingerieopt.ru/images/original/8644881e-ddb1-4735-95df-955dfb11789e.jpg","Фото")</f>
      </c>
    </row>
    <row r="6451">
      <c r="A6451" s="7">
        <f>HYPERLINK("http://www.lingerieopt.ru/item/4039-kruzhevnje-trusiki-stringi/","4039")</f>
      </c>
      <c r="B6451" s="8" t="s">
        <v>6206</v>
      </c>
      <c r="C6451" s="9">
        <v>538</v>
      </c>
      <c r="D6451" s="0">
        <v>0</v>
      </c>
      <c r="E6451" s="10">
        <f>HYPERLINK("http://www.lingerieopt.ru/images/original/e79a9909-8070-4998-8bc8-8b12409d9411.jpg","Фото")</f>
      </c>
    </row>
    <row r="6452">
      <c r="A6452" s="7">
        <f>HYPERLINK("http://www.lingerieopt.ru/item/4039-kruzhevnje-trusiki-stringi/","4039")</f>
      </c>
      <c r="B6452" s="8" t="s">
        <v>6207</v>
      </c>
      <c r="C6452" s="9">
        <v>538</v>
      </c>
      <c r="D6452" s="0">
        <v>30</v>
      </c>
      <c r="E6452" s="10">
        <f>HYPERLINK("http://www.lingerieopt.ru/images/original/e79a9909-8070-4998-8bc8-8b12409d9411.jpg","Фото")</f>
      </c>
    </row>
    <row r="6453">
      <c r="A6453" s="7">
        <f>HYPERLINK("http://www.lingerieopt.ru/item/4083-kruzhevnje-trusiki-stringi/","4083")</f>
      </c>
      <c r="B6453" s="8" t="s">
        <v>6208</v>
      </c>
      <c r="C6453" s="9">
        <v>538</v>
      </c>
      <c r="D6453" s="0">
        <v>0</v>
      </c>
      <c r="E6453" s="10">
        <f>HYPERLINK("http://www.lingerieopt.ru/images/original/51a1d164-d08f-42d0-8bfd-9c65263ded1a.jpg","Фото")</f>
      </c>
    </row>
    <row r="6454">
      <c r="A6454" s="7">
        <f>HYPERLINK("http://www.lingerieopt.ru/item/4083-kruzhevnje-trusiki-stringi/","4083")</f>
      </c>
      <c r="B6454" s="8" t="s">
        <v>6207</v>
      </c>
      <c r="C6454" s="9">
        <v>538</v>
      </c>
      <c r="D6454" s="0">
        <v>1</v>
      </c>
      <c r="E6454" s="10">
        <f>HYPERLINK("http://www.lingerieopt.ru/images/original/51a1d164-d08f-42d0-8bfd-9c65263ded1a.jpg","Фото")</f>
      </c>
    </row>
    <row r="6455">
      <c r="A6455" s="7">
        <f>HYPERLINK("http://www.lingerieopt.ru/item/4083-kruzhevnje-trusiki-stringi/","4083")</f>
      </c>
      <c r="B6455" s="8" t="s">
        <v>6209</v>
      </c>
      <c r="C6455" s="9">
        <v>538</v>
      </c>
      <c r="D6455" s="0">
        <v>6</v>
      </c>
      <c r="E6455" s="10">
        <f>HYPERLINK("http://www.lingerieopt.ru/images/original/51a1d164-d08f-42d0-8bfd-9c65263ded1a.jpg","Фото")</f>
      </c>
    </row>
    <row r="6456">
      <c r="A6456" s="7">
        <f>HYPERLINK("http://www.lingerieopt.ru/item/4254-trusiki-tong-s-zhemchuzhnoi-nityu/","4254")</f>
      </c>
      <c r="B6456" s="8" t="s">
        <v>6210</v>
      </c>
      <c r="C6456" s="9">
        <v>934</v>
      </c>
      <c r="D6456" s="0">
        <v>1</v>
      </c>
      <c r="E6456" s="10">
        <f>HYPERLINK("http://www.lingerieopt.ru/images/original/d1698a1f-2f8f-4ab7-b272-82ab062d4726.jpg","Фото")</f>
      </c>
    </row>
    <row r="6457">
      <c r="A6457" s="7">
        <f>HYPERLINK("http://www.lingerieopt.ru/item/4265-trusiki-stringi-s-cepochkoi-hard-love/","4265")</f>
      </c>
      <c r="B6457" s="8" t="s">
        <v>3613</v>
      </c>
      <c r="C6457" s="9">
        <v>1240</v>
      </c>
      <c r="D6457" s="0">
        <v>1</v>
      </c>
      <c r="E6457" s="10">
        <f>HYPERLINK("http://www.lingerieopt.ru/images/original/779cf236-4725-4409-8bc4-6c9803bd171a.jpg","Фото")</f>
      </c>
    </row>
    <row r="6458">
      <c r="A6458" s="7">
        <f>HYPERLINK("http://www.lingerieopt.ru/item/4430-miniatyurnje-stringi-alice-s-dostupom/","4430")</f>
      </c>
      <c r="B6458" s="8" t="s">
        <v>6211</v>
      </c>
      <c r="C6458" s="9">
        <v>337</v>
      </c>
      <c r="D6458" s="0">
        <v>0</v>
      </c>
      <c r="E6458" s="10">
        <f>HYPERLINK("http://www.lingerieopt.ru/images/original/7b2e6ad0-f8b0-4492-b98f-9bd34f32c6e4.jpg","Фото")</f>
      </c>
    </row>
    <row r="6459">
      <c r="A6459" s="7">
        <f>HYPERLINK("http://www.lingerieopt.ru/item/4430-miniatyurnje-stringi-alice-s-dostupom/","4430")</f>
      </c>
      <c r="B6459" s="8" t="s">
        <v>6212</v>
      </c>
      <c r="C6459" s="9">
        <v>337</v>
      </c>
      <c r="D6459" s="0">
        <v>29</v>
      </c>
      <c r="E6459" s="10">
        <f>HYPERLINK("http://www.lingerieopt.ru/images/original/7b2e6ad0-f8b0-4492-b98f-9bd34f32c6e4.jpg","Фото")</f>
      </c>
    </row>
    <row r="6460">
      <c r="A6460" s="7">
        <f>HYPERLINK("http://www.lingerieopt.ru/item/4430-miniatyurnje-stringi-alice-s-dostupom/","4430")</f>
      </c>
      <c r="B6460" s="8" t="s">
        <v>6213</v>
      </c>
      <c r="C6460" s="9">
        <v>337</v>
      </c>
      <c r="D6460" s="0">
        <v>0</v>
      </c>
      <c r="E6460" s="10">
        <f>HYPERLINK("http://www.lingerieopt.ru/images/original/7b2e6ad0-f8b0-4492-b98f-9bd34f32c6e4.jpg","Фото")</f>
      </c>
    </row>
    <row r="6461">
      <c r="A6461" s="7">
        <f>HYPERLINK("http://www.lingerieopt.ru/item/4430-miniatyurnje-stringi-alice-s-dostupom/","4430")</f>
      </c>
      <c r="B6461" s="8" t="s">
        <v>6214</v>
      </c>
      <c r="C6461" s="9">
        <v>337</v>
      </c>
      <c r="D6461" s="0">
        <v>0</v>
      </c>
      <c r="E6461" s="10">
        <f>HYPERLINK("http://www.lingerieopt.ru/images/original/7b2e6ad0-f8b0-4492-b98f-9bd34f32c6e4.jpg","Фото")</f>
      </c>
    </row>
    <row r="6462">
      <c r="A6462" s="7">
        <f>HYPERLINK("http://www.lingerieopt.ru/item/4431-trusiki-britney-s-kruzhevami-i-dostupom/","4431")</f>
      </c>
      <c r="B6462" s="8" t="s">
        <v>6215</v>
      </c>
      <c r="C6462" s="9">
        <v>406</v>
      </c>
      <c r="D6462" s="0">
        <v>0</v>
      </c>
      <c r="E6462" s="10">
        <f>HYPERLINK("http://www.lingerieopt.ru/images/original/48a97a9c-98d2-4c94-a51c-4256863ff8a7.jpg","Фото")</f>
      </c>
    </row>
    <row r="6463">
      <c r="A6463" s="7">
        <f>HYPERLINK("http://www.lingerieopt.ru/item/4431-trusiki-britney-s-kruzhevami-i-dostupom/","4431")</f>
      </c>
      <c r="B6463" s="8" t="s">
        <v>6216</v>
      </c>
      <c r="C6463" s="9">
        <v>406</v>
      </c>
      <c r="D6463" s="0">
        <v>18</v>
      </c>
      <c r="E6463" s="10">
        <f>HYPERLINK("http://www.lingerieopt.ru/images/original/48a97a9c-98d2-4c94-a51c-4256863ff8a7.jpg","Фото")</f>
      </c>
    </row>
    <row r="6464">
      <c r="A6464" s="7">
        <f>HYPERLINK("http://www.lingerieopt.ru/item/4431-trusiki-britney-s-kruzhevami-i-dostupom/","4431")</f>
      </c>
      <c r="B6464" s="8" t="s">
        <v>6217</v>
      </c>
      <c r="C6464" s="9">
        <v>406</v>
      </c>
      <c r="D6464" s="0">
        <v>0</v>
      </c>
      <c r="E6464" s="10">
        <f>HYPERLINK("http://www.lingerieopt.ru/images/original/48a97a9c-98d2-4c94-a51c-4256863ff8a7.jpg","Фото")</f>
      </c>
    </row>
    <row r="6465">
      <c r="A6465" s="7">
        <f>HYPERLINK("http://www.lingerieopt.ru/item/4431-trusiki-britney-s-kruzhevami-i-dostupom/","4431")</f>
      </c>
      <c r="B6465" s="8" t="s">
        <v>6218</v>
      </c>
      <c r="C6465" s="9">
        <v>406</v>
      </c>
      <c r="D6465" s="0">
        <v>0</v>
      </c>
      <c r="E6465" s="10">
        <f>HYPERLINK("http://www.lingerieopt.ru/images/original/48a97a9c-98d2-4c94-a51c-4256863ff8a7.jpg","Фото")</f>
      </c>
    </row>
    <row r="6466">
      <c r="A6466" s="7">
        <f>HYPERLINK("http://www.lingerieopt.ru/item/4432-azhurnje-trusiki-stringi-lily-s-bantom-i-dostupom/","4432")</f>
      </c>
      <c r="B6466" s="8" t="s">
        <v>6219</v>
      </c>
      <c r="C6466" s="9">
        <v>464</v>
      </c>
      <c r="D6466" s="0">
        <v>0</v>
      </c>
      <c r="E6466" s="10">
        <f>HYPERLINK("http://www.lingerieopt.ru/images/original/b796261e-6e45-48b8-be99-219d5f2a28f5.jpg","Фото")</f>
      </c>
    </row>
    <row r="6467">
      <c r="A6467" s="7">
        <f>HYPERLINK("http://www.lingerieopt.ru/item/4432-azhurnje-trusiki-stringi-lily-s-bantom-i-dostupom/","4432")</f>
      </c>
      <c r="B6467" s="8" t="s">
        <v>6220</v>
      </c>
      <c r="C6467" s="9">
        <v>464</v>
      </c>
      <c r="D6467" s="0">
        <v>12</v>
      </c>
      <c r="E6467" s="10">
        <f>HYPERLINK("http://www.lingerieopt.ru/images/original/b796261e-6e45-48b8-be99-219d5f2a28f5.jpg","Фото")</f>
      </c>
    </row>
    <row r="6468">
      <c r="A6468" s="7">
        <f>HYPERLINK("http://www.lingerieopt.ru/item/4432-azhurnje-trusiki-stringi-lily-s-bantom-i-dostupom/","4432")</f>
      </c>
      <c r="B6468" s="8" t="s">
        <v>6221</v>
      </c>
      <c r="C6468" s="9">
        <v>464</v>
      </c>
      <c r="D6468" s="0">
        <v>0</v>
      </c>
      <c r="E6468" s="10">
        <f>HYPERLINK("http://www.lingerieopt.ru/images/original/b796261e-6e45-48b8-be99-219d5f2a28f5.jpg","Фото")</f>
      </c>
    </row>
    <row r="6469">
      <c r="A6469" s="7">
        <f>HYPERLINK("http://www.lingerieopt.ru/item/4432-azhurnje-trusiki-stringi-lily-s-bantom-i-dostupom/","4432")</f>
      </c>
      <c r="B6469" s="8" t="s">
        <v>6222</v>
      </c>
      <c r="C6469" s="9">
        <v>464</v>
      </c>
      <c r="D6469" s="0">
        <v>0</v>
      </c>
      <c r="E6469" s="10">
        <f>HYPERLINK("http://www.lingerieopt.ru/images/original/b796261e-6e45-48b8-be99-219d5f2a28f5.jpg","Фото")</f>
      </c>
    </row>
    <row r="6470">
      <c r="A6470" s="7">
        <f>HYPERLINK("http://www.lingerieopt.ru/item/4433-chernje-trusiki-aurora-s-dostupom/","4433")</f>
      </c>
      <c r="B6470" s="8" t="s">
        <v>6223</v>
      </c>
      <c r="C6470" s="9">
        <v>375</v>
      </c>
      <c r="D6470" s="0">
        <v>7</v>
      </c>
      <c r="E6470" s="10">
        <f>HYPERLINK("http://www.lingerieopt.ru/images/original/521b2f50-ae39-4a14-b04d-51c7c93eaa3f.jpg","Фото")</f>
      </c>
    </row>
    <row r="6471">
      <c r="A6471" s="7">
        <f>HYPERLINK("http://www.lingerieopt.ru/item/4433-chernje-trusiki-aurora-s-dostupom/","4433")</f>
      </c>
      <c r="B6471" s="8" t="s">
        <v>6224</v>
      </c>
      <c r="C6471" s="9">
        <v>375</v>
      </c>
      <c r="D6471" s="0">
        <v>60</v>
      </c>
      <c r="E6471" s="10">
        <f>HYPERLINK("http://www.lingerieopt.ru/images/original/521b2f50-ae39-4a14-b04d-51c7c93eaa3f.jpg","Фото")</f>
      </c>
    </row>
    <row r="6472">
      <c r="A6472" s="7">
        <f>HYPERLINK("http://www.lingerieopt.ru/item/4433-chernje-trusiki-aurora-s-dostupom/","4433")</f>
      </c>
      <c r="B6472" s="8" t="s">
        <v>6225</v>
      </c>
      <c r="C6472" s="9">
        <v>375</v>
      </c>
      <c r="D6472" s="0">
        <v>36</v>
      </c>
      <c r="E6472" s="10">
        <f>HYPERLINK("http://www.lingerieopt.ru/images/original/521b2f50-ae39-4a14-b04d-51c7c93eaa3f.jpg","Фото")</f>
      </c>
    </row>
    <row r="6473">
      <c r="A6473" s="7">
        <f>HYPERLINK("http://www.lingerieopt.ru/item/4433-chernje-trusiki-aurora-s-dostupom/","4433")</f>
      </c>
      <c r="B6473" s="8" t="s">
        <v>6226</v>
      </c>
      <c r="C6473" s="9">
        <v>375</v>
      </c>
      <c r="D6473" s="0">
        <v>0</v>
      </c>
      <c r="E6473" s="10">
        <f>HYPERLINK("http://www.lingerieopt.ru/images/original/521b2f50-ae39-4a14-b04d-51c7c93eaa3f.jpg","Фото")</f>
      </c>
    </row>
    <row r="6474">
      <c r="A6474" s="7">
        <f>HYPERLINK("http://www.lingerieopt.ru/item/4492-trusiki-brilliant-s-kristallami/","4492")</f>
      </c>
      <c r="B6474" s="8" t="s">
        <v>6227</v>
      </c>
      <c r="C6474" s="9">
        <v>1018</v>
      </c>
      <c r="D6474" s="0">
        <v>1</v>
      </c>
      <c r="E6474" s="10">
        <f>HYPERLINK("http://www.lingerieopt.ru/images/original/7ea73915-2ea1-490a-95f1-4be51c70f310.jpg","Фото")</f>
      </c>
    </row>
    <row r="6475">
      <c r="A6475" s="7">
        <f>HYPERLINK("http://www.lingerieopt.ru/item/4492-trusiki-brilliant-s-kristallami/","4492")</f>
      </c>
      <c r="B6475" s="8" t="s">
        <v>6228</v>
      </c>
      <c r="C6475" s="9">
        <v>1018</v>
      </c>
      <c r="D6475" s="0">
        <v>1</v>
      </c>
      <c r="E6475" s="10">
        <f>HYPERLINK("http://www.lingerieopt.ru/images/original/7ea73915-2ea1-490a-95f1-4be51c70f310.jpg","Фото")</f>
      </c>
    </row>
    <row r="6476">
      <c r="A6476" s="7">
        <f>HYPERLINK("http://www.lingerieopt.ru/item/4522-trusiki-stringi-iz-djshaschei-mikrofibrj/","4522")</f>
      </c>
      <c r="B6476" s="8" t="s">
        <v>6229</v>
      </c>
      <c r="C6476" s="9">
        <v>429</v>
      </c>
      <c r="D6476" s="0">
        <v>0</v>
      </c>
      <c r="E6476" s="10">
        <f>HYPERLINK("http://www.lingerieopt.ru/images/original/94aa137e-1b90-4054-af87-6bf85ae9930b.jpg","Фото")</f>
      </c>
    </row>
    <row r="6477">
      <c r="A6477" s="7">
        <f>HYPERLINK("http://www.lingerieopt.ru/item/4522-trusiki-stringi-iz-djshaschei-mikrofibrj/","4522")</f>
      </c>
      <c r="B6477" s="8" t="s">
        <v>6230</v>
      </c>
      <c r="C6477" s="9">
        <v>429</v>
      </c>
      <c r="D6477" s="0">
        <v>0</v>
      </c>
      <c r="E6477" s="10">
        <f>HYPERLINK("http://www.lingerieopt.ru/images/original/94aa137e-1b90-4054-af87-6bf85ae9930b.jpg","Фото")</f>
      </c>
    </row>
    <row r="6478">
      <c r="A6478" s="7">
        <f>HYPERLINK("http://www.lingerieopt.ru/item/4522-trusiki-stringi-iz-djshaschei-mikrofibrj/","4522")</f>
      </c>
      <c r="B6478" s="8" t="s">
        <v>6231</v>
      </c>
      <c r="C6478" s="9">
        <v>429</v>
      </c>
      <c r="D6478" s="0">
        <v>0</v>
      </c>
      <c r="E6478" s="10">
        <f>HYPERLINK("http://www.lingerieopt.ru/images/original/94aa137e-1b90-4054-af87-6bf85ae9930b.jpg","Фото")</f>
      </c>
    </row>
    <row r="6479">
      <c r="A6479" s="7">
        <f>HYPERLINK("http://www.lingerieopt.ru/item/4522-trusiki-stringi-iz-djshaschei-mikrofibrj/","4522")</f>
      </c>
      <c r="B6479" s="8" t="s">
        <v>6232</v>
      </c>
      <c r="C6479" s="9">
        <v>429</v>
      </c>
      <c r="D6479" s="0">
        <v>0</v>
      </c>
      <c r="E6479" s="10">
        <f>HYPERLINK("http://www.lingerieopt.ru/images/original/94aa137e-1b90-4054-af87-6bf85ae9930b.jpg","Фото")</f>
      </c>
    </row>
    <row r="6480">
      <c r="A6480" s="7">
        <f>HYPERLINK("http://www.lingerieopt.ru/item/4522-trusiki-stringi-iz-djshaschei-mikrofibrj/","4522")</f>
      </c>
      <c r="B6480" s="8" t="s">
        <v>6233</v>
      </c>
      <c r="C6480" s="9">
        <v>429</v>
      </c>
      <c r="D6480" s="0">
        <v>6</v>
      </c>
      <c r="E6480" s="10">
        <f>HYPERLINK("http://www.lingerieopt.ru/images/original/94aa137e-1b90-4054-af87-6bf85ae9930b.jpg","Фото")</f>
      </c>
    </row>
    <row r="6481">
      <c r="A6481" s="7">
        <f>HYPERLINK("http://www.lingerieopt.ru/item/4525-nevidimje-pod-odezhdoi-trusiki-shortiki/","4525")</f>
      </c>
      <c r="B6481" s="8" t="s">
        <v>6234</v>
      </c>
      <c r="C6481" s="9">
        <v>429</v>
      </c>
      <c r="D6481" s="0">
        <v>0</v>
      </c>
      <c r="E6481" s="10">
        <f>HYPERLINK("http://www.lingerieopt.ru/images/original/57842024-37bd-4322-adff-94418f855139.jpg","Фото")</f>
      </c>
    </row>
    <row r="6482">
      <c r="A6482" s="7">
        <f>HYPERLINK("http://www.lingerieopt.ru/item/4525-nevidimje-pod-odezhdoi-trusiki-shortiki/","4525")</f>
      </c>
      <c r="B6482" s="8" t="s">
        <v>6235</v>
      </c>
      <c r="C6482" s="9">
        <v>429</v>
      </c>
      <c r="D6482" s="0">
        <v>0</v>
      </c>
      <c r="E6482" s="10">
        <f>HYPERLINK("http://www.lingerieopt.ru/images/original/57842024-37bd-4322-adff-94418f855139.jpg","Фото")</f>
      </c>
    </row>
    <row r="6483">
      <c r="A6483" s="7">
        <f>HYPERLINK("http://www.lingerieopt.ru/item/4525-nevidimje-pod-odezhdoi-trusiki-shortiki/","4525")</f>
      </c>
      <c r="B6483" s="8" t="s">
        <v>6236</v>
      </c>
      <c r="C6483" s="9">
        <v>429</v>
      </c>
      <c r="D6483" s="0">
        <v>6</v>
      </c>
      <c r="E6483" s="10">
        <f>HYPERLINK("http://www.lingerieopt.ru/images/original/57842024-37bd-4322-adff-94418f855139.jpg","Фото")</f>
      </c>
    </row>
    <row r="6484">
      <c r="A6484" s="7">
        <f>HYPERLINK("http://www.lingerieopt.ru/item/4525-nevidimje-pod-odezhdoi-trusiki-shortiki/","4525")</f>
      </c>
      <c r="B6484" s="8" t="s">
        <v>6237</v>
      </c>
      <c r="C6484" s="9">
        <v>429</v>
      </c>
      <c r="D6484" s="0">
        <v>0</v>
      </c>
      <c r="E6484" s="10">
        <f>HYPERLINK("http://www.lingerieopt.ru/images/original/57842024-37bd-4322-adff-94418f855139.jpg","Фото")</f>
      </c>
    </row>
    <row r="6485">
      <c r="A6485" s="7">
        <f>HYPERLINK("http://www.lingerieopt.ru/item/4543-trusiki-s-vkladkoi-push-up-na-popke/","4543")</f>
      </c>
      <c r="B6485" s="8" t="s">
        <v>6238</v>
      </c>
      <c r="C6485" s="9">
        <v>1205</v>
      </c>
      <c r="D6485" s="0">
        <v>6</v>
      </c>
      <c r="E6485" s="10">
        <f>HYPERLINK("http://www.lingerieopt.ru/images/original/2e7e2e52-3f3c-411a-83aa-f7d30f427336.jpg","Фото")</f>
      </c>
    </row>
    <row r="6486">
      <c r="A6486" s="7">
        <f>HYPERLINK("http://www.lingerieopt.ru/item/4543-trusiki-s-vkladkoi-push-up-na-popke/","4543")</f>
      </c>
      <c r="B6486" s="8" t="s">
        <v>6239</v>
      </c>
      <c r="C6486" s="9">
        <v>1205</v>
      </c>
      <c r="D6486" s="0">
        <v>30</v>
      </c>
      <c r="E6486" s="10">
        <f>HYPERLINK("http://www.lingerieopt.ru/images/original/2e7e2e52-3f3c-411a-83aa-f7d30f427336.jpg","Фото")</f>
      </c>
    </row>
    <row r="6487">
      <c r="A6487" s="7">
        <f>HYPERLINK("http://www.lingerieopt.ru/item/4543-trusiki-s-vkladkoi-push-up-na-popke/","4543")</f>
      </c>
      <c r="B6487" s="8" t="s">
        <v>6240</v>
      </c>
      <c r="C6487" s="9">
        <v>1205</v>
      </c>
      <c r="D6487" s="0">
        <v>6</v>
      </c>
      <c r="E6487" s="10">
        <f>HYPERLINK("http://www.lingerieopt.ru/images/original/2e7e2e52-3f3c-411a-83aa-f7d30f427336.jpg","Фото")</f>
      </c>
    </row>
    <row r="6488">
      <c r="A6488" s="7">
        <f>HYPERLINK("http://www.lingerieopt.ru/item/4543-trusiki-s-vkladkoi-push-up-na-popke/","4543")</f>
      </c>
      <c r="B6488" s="8" t="s">
        <v>6241</v>
      </c>
      <c r="C6488" s="9">
        <v>1205</v>
      </c>
      <c r="D6488" s="0">
        <v>30</v>
      </c>
      <c r="E6488" s="10">
        <f>HYPERLINK("http://www.lingerieopt.ru/images/original/2e7e2e52-3f3c-411a-83aa-f7d30f427336.jpg","Фото")</f>
      </c>
    </row>
    <row r="6489">
      <c r="A6489" s="7">
        <f>HYPERLINK("http://www.lingerieopt.ru/item/4543-trusiki-s-vkladkoi-push-up-na-popke/","4543")</f>
      </c>
      <c r="B6489" s="8" t="s">
        <v>6242</v>
      </c>
      <c r="C6489" s="9">
        <v>1205</v>
      </c>
      <c r="D6489" s="0">
        <v>30</v>
      </c>
      <c r="E6489" s="10">
        <f>HYPERLINK("http://www.lingerieopt.ru/images/original/2e7e2e52-3f3c-411a-83aa-f7d30f427336.jpg","Фото")</f>
      </c>
    </row>
    <row r="6490">
      <c r="A6490" s="7">
        <f>HYPERLINK("http://www.lingerieopt.ru/item/4543-trusiki-s-vkladkoi-push-up-na-popke/","4543")</f>
      </c>
      <c r="B6490" s="8" t="s">
        <v>6243</v>
      </c>
      <c r="C6490" s="9">
        <v>1205</v>
      </c>
      <c r="D6490" s="0">
        <v>30</v>
      </c>
      <c r="E6490" s="10">
        <f>HYPERLINK("http://www.lingerieopt.ru/images/original/2e7e2e52-3f3c-411a-83aa-f7d30f427336.jpg","Фото")</f>
      </c>
    </row>
    <row r="6491">
      <c r="A6491" s="7">
        <f>HYPERLINK("http://www.lingerieopt.ru/item/4543-trusiki-s-vkladkoi-push-up-na-popke/","4543")</f>
      </c>
      <c r="B6491" s="8" t="s">
        <v>6244</v>
      </c>
      <c r="C6491" s="9">
        <v>1205</v>
      </c>
      <c r="D6491" s="0">
        <v>6</v>
      </c>
      <c r="E6491" s="10">
        <f>HYPERLINK("http://www.lingerieopt.ru/images/original/2e7e2e52-3f3c-411a-83aa-f7d30f427336.jpg","Фото")</f>
      </c>
    </row>
    <row r="6492">
      <c r="A6492" s="7">
        <f>HYPERLINK("http://www.lingerieopt.ru/item/4543-trusiki-s-vkladkoi-push-up-na-popke/","4543")</f>
      </c>
      <c r="B6492" s="8" t="s">
        <v>6245</v>
      </c>
      <c r="C6492" s="9">
        <v>1205</v>
      </c>
      <c r="D6492" s="0">
        <v>30</v>
      </c>
      <c r="E6492" s="10">
        <f>HYPERLINK("http://www.lingerieopt.ru/images/original/2e7e2e52-3f3c-411a-83aa-f7d30f427336.jpg","Фото")</f>
      </c>
    </row>
    <row r="6493">
      <c r="A6493" s="7">
        <f>HYPERLINK("http://www.lingerieopt.ru/item/4543-trusiki-s-vkladkoi-push-up-na-popke/","4543")</f>
      </c>
      <c r="B6493" s="8" t="s">
        <v>6246</v>
      </c>
      <c r="C6493" s="9">
        <v>1205</v>
      </c>
      <c r="D6493" s="0">
        <v>6</v>
      </c>
      <c r="E6493" s="10">
        <f>HYPERLINK("http://www.lingerieopt.ru/images/original/2e7e2e52-3f3c-411a-83aa-f7d30f427336.jpg","Фото")</f>
      </c>
    </row>
    <row r="6494">
      <c r="A6494" s="7">
        <f>HYPERLINK("http://www.lingerieopt.ru/item/4600-azhurnje-belje-trusiki-stringi-s-dostupom-anna/","4600")</f>
      </c>
      <c r="B6494" s="8" t="s">
        <v>6247</v>
      </c>
      <c r="C6494" s="9">
        <v>363</v>
      </c>
      <c r="D6494" s="0">
        <v>55</v>
      </c>
      <c r="E6494" s="10">
        <f>HYPERLINK("http://www.lingerieopt.ru/images/original/9f6e6c94-eff6-4a4f-a0d5-e0c0eff86d0f.jpg","Фото")</f>
      </c>
    </row>
    <row r="6495">
      <c r="A6495" s="7">
        <f>HYPERLINK("http://www.lingerieopt.ru/item/4600-azhurnje-belje-trusiki-stringi-s-dostupom-anna/","4600")</f>
      </c>
      <c r="B6495" s="8" t="s">
        <v>6248</v>
      </c>
      <c r="C6495" s="9">
        <v>363</v>
      </c>
      <c r="D6495" s="0">
        <v>0</v>
      </c>
      <c r="E6495" s="10">
        <f>HYPERLINK("http://www.lingerieopt.ru/images/original/9f6e6c94-eff6-4a4f-a0d5-e0c0eff86d0f.jpg","Фото")</f>
      </c>
    </row>
    <row r="6496">
      <c r="A6496" s="7">
        <f>HYPERLINK("http://www.lingerieopt.ru/item/4607-rasstegivayuschiesya-stringi-s-poloskoi-iz-kristallov/","4607")</f>
      </c>
      <c r="B6496" s="8" t="s">
        <v>6249</v>
      </c>
      <c r="C6496" s="9">
        <v>678</v>
      </c>
      <c r="D6496" s="0">
        <v>7</v>
      </c>
      <c r="E6496" s="10">
        <f>HYPERLINK("http://www.lingerieopt.ru/images/original/0c82a0be-25e2-404b-81c2-11297ffabb88.jpg","Фото")</f>
      </c>
    </row>
    <row r="6497">
      <c r="A6497" s="7">
        <f>HYPERLINK("http://www.lingerieopt.ru/item/4755-trusiki-alison-s-v-obraznjm-vjrezom-i-bantikami/","4755")</f>
      </c>
      <c r="B6497" s="8" t="s">
        <v>6250</v>
      </c>
      <c r="C6497" s="9">
        <v>394</v>
      </c>
      <c r="D6497" s="0">
        <v>0</v>
      </c>
      <c r="E6497" s="10">
        <f>HYPERLINK("http://www.lingerieopt.ru/images/original/2bbf798d-e43e-446a-9653-f9cdc303c7dd.jpg","Фото")</f>
      </c>
    </row>
    <row r="6498">
      <c r="A6498" s="7">
        <f>HYPERLINK("http://www.lingerieopt.ru/item/4755-trusiki-alison-s-v-obraznjm-vjrezom-i-bantikami/","4755")</f>
      </c>
      <c r="B6498" s="8" t="s">
        <v>6251</v>
      </c>
      <c r="C6498" s="9">
        <v>394</v>
      </c>
      <c r="D6498" s="0">
        <v>2</v>
      </c>
      <c r="E6498" s="10">
        <f>HYPERLINK("http://www.lingerieopt.ru/images/original/2bbf798d-e43e-446a-9653-f9cdc303c7dd.jpg","Фото")</f>
      </c>
    </row>
    <row r="6499">
      <c r="A6499" s="7">
        <f>HYPERLINK("http://www.lingerieopt.ru/item/4755-trusiki-alison-s-v-obraznjm-vjrezom-i-bantikami/","4755")</f>
      </c>
      <c r="B6499" s="8" t="s">
        <v>6252</v>
      </c>
      <c r="C6499" s="9">
        <v>394</v>
      </c>
      <c r="D6499" s="0">
        <v>0</v>
      </c>
      <c r="E6499" s="10">
        <f>HYPERLINK("http://www.lingerieopt.ru/images/original/2bbf798d-e43e-446a-9653-f9cdc303c7dd.jpg","Фото")</f>
      </c>
    </row>
    <row r="6500">
      <c r="A6500" s="7">
        <f>HYPERLINK("http://www.lingerieopt.ru/item/4759-nizkie-trusiki-iz-kruzheva-athena/","4759")</f>
      </c>
      <c r="B6500" s="8" t="s">
        <v>6253</v>
      </c>
      <c r="C6500" s="9">
        <v>636</v>
      </c>
      <c r="D6500" s="0">
        <v>6</v>
      </c>
      <c r="E6500" s="10">
        <f>HYPERLINK("http://www.lingerieopt.ru/images/original/f3bca48f-c324-44cf-87fb-e8fc675886cc.jpg","Фото")</f>
      </c>
    </row>
    <row r="6501">
      <c r="A6501" s="7">
        <f>HYPERLINK("http://www.lingerieopt.ru/item/4759-nizkie-trusiki-iz-kruzheva-athena/","4759")</f>
      </c>
      <c r="B6501" s="8" t="s">
        <v>6254</v>
      </c>
      <c r="C6501" s="9">
        <v>636</v>
      </c>
      <c r="D6501" s="0">
        <v>5</v>
      </c>
      <c r="E6501" s="10">
        <f>HYPERLINK("http://www.lingerieopt.ru/images/original/f3bca48f-c324-44cf-87fb-e8fc675886cc.jpg","Фото")</f>
      </c>
    </row>
    <row r="6502">
      <c r="A6502" s="7">
        <f>HYPERLINK("http://www.lingerieopt.ru/item/4879-kruzhevnoi-poyas-dlya-chulok-denise-s-vshitjmi-trusikami/","4879")</f>
      </c>
      <c r="B6502" s="8" t="s">
        <v>6255</v>
      </c>
      <c r="C6502" s="9">
        <v>671</v>
      </c>
      <c r="D6502" s="0">
        <v>14</v>
      </c>
      <c r="E6502" s="10">
        <f>HYPERLINK("http://www.lingerieopt.ru/images/original/4a27157a-6220-44ef-ae6c-015762f91afa.jpg","Фото")</f>
      </c>
    </row>
    <row r="6503">
      <c r="A6503" s="7">
        <f>HYPERLINK("http://www.lingerieopt.ru/item/4879-kruzhevnoi-poyas-dlya-chulok-denise-s-vshitjmi-trusikami/","4879")</f>
      </c>
      <c r="B6503" s="8" t="s">
        <v>6256</v>
      </c>
      <c r="C6503" s="9">
        <v>671</v>
      </c>
      <c r="D6503" s="0">
        <v>0</v>
      </c>
      <c r="E6503" s="10">
        <f>HYPERLINK("http://www.lingerieopt.ru/images/original/4a27157a-6220-44ef-ae6c-015762f91afa.jpg","Фото")</f>
      </c>
    </row>
    <row r="6504">
      <c r="A6504" s="7">
        <f>HYPERLINK("http://www.lingerieopt.ru/item/4913-stringi-abbigail-s-kruzhevnoi-oborkoi/","4913")</f>
      </c>
      <c r="B6504" s="8" t="s">
        <v>6257</v>
      </c>
      <c r="C6504" s="9">
        <v>744</v>
      </c>
      <c r="D6504" s="0">
        <v>1</v>
      </c>
      <c r="E6504" s="10">
        <f>HYPERLINK("http://www.lingerieopt.ru/images/original/694b2553-31f0-4195-944b-43cb1f9eaf53.jpg","Фото")</f>
      </c>
    </row>
    <row r="6505">
      <c r="A6505" s="7">
        <f>HYPERLINK("http://www.lingerieopt.ru/item/4913-stringi-abbigail-s-kruzhevnoi-oborkoi/","4913")</f>
      </c>
      <c r="B6505" s="8" t="s">
        <v>6258</v>
      </c>
      <c r="C6505" s="9">
        <v>744</v>
      </c>
      <c r="D6505" s="0">
        <v>3</v>
      </c>
      <c r="E6505" s="10">
        <f>HYPERLINK("http://www.lingerieopt.ru/images/original/694b2553-31f0-4195-944b-43cb1f9eaf53.jpg","Фото")</f>
      </c>
    </row>
    <row r="6506">
      <c r="A6506" s="7">
        <f>HYPERLINK("http://www.lingerieopt.ru/item/4913-stringi-abbigail-s-kruzhevnoi-oborkoi/","4913")</f>
      </c>
      <c r="B6506" s="8" t="s">
        <v>6259</v>
      </c>
      <c r="C6506" s="9">
        <v>744</v>
      </c>
      <c r="D6506" s="0">
        <v>4</v>
      </c>
      <c r="E6506" s="10">
        <f>HYPERLINK("http://www.lingerieopt.ru/images/original/694b2553-31f0-4195-944b-43cb1f9eaf53.jpg","Фото")</f>
      </c>
    </row>
    <row r="6507">
      <c r="A6507" s="7">
        <f>HYPERLINK("http://www.lingerieopt.ru/item/4913-stringi-abbigail-s-kruzhevnoi-oborkoi/","4913")</f>
      </c>
      <c r="B6507" s="8" t="s">
        <v>6260</v>
      </c>
      <c r="C6507" s="9">
        <v>744</v>
      </c>
      <c r="D6507" s="0">
        <v>1</v>
      </c>
      <c r="E6507" s="10">
        <f>HYPERLINK("http://www.lingerieopt.ru/images/original/694b2553-31f0-4195-944b-43cb1f9eaf53.jpg","Фото")</f>
      </c>
    </row>
    <row r="6508">
      <c r="A6508" s="7">
        <f>HYPERLINK("http://www.lingerieopt.ru/item/4919-kruzhevnje-trusiki-slipj-aprilla/","4919")</f>
      </c>
      <c r="B6508" s="8" t="s">
        <v>6261</v>
      </c>
      <c r="C6508" s="9">
        <v>744</v>
      </c>
      <c r="D6508" s="0">
        <v>0</v>
      </c>
      <c r="E6508" s="10">
        <f>HYPERLINK("http://www.lingerieopt.ru/images/original/2f70f1c6-a8d5-4361-a3a4-bafd73ba5851.jpg","Фото")</f>
      </c>
    </row>
    <row r="6509">
      <c r="A6509" s="7">
        <f>HYPERLINK("http://www.lingerieopt.ru/item/4919-kruzhevnje-trusiki-slipj-aprilla/","4919")</f>
      </c>
      <c r="B6509" s="8" t="s">
        <v>6262</v>
      </c>
      <c r="C6509" s="9">
        <v>744</v>
      </c>
      <c r="D6509" s="0">
        <v>1</v>
      </c>
      <c r="E6509" s="10">
        <f>HYPERLINK("http://www.lingerieopt.ru/images/original/2f70f1c6-a8d5-4361-a3a4-bafd73ba5851.jpg","Фото")</f>
      </c>
    </row>
    <row r="6510">
      <c r="A6510" s="7">
        <f>HYPERLINK("http://www.lingerieopt.ru/item/4919-kruzhevnje-trusiki-slipj-aprilla/","4919")</f>
      </c>
      <c r="B6510" s="8" t="s">
        <v>6263</v>
      </c>
      <c r="C6510" s="9">
        <v>744</v>
      </c>
      <c r="D6510" s="0">
        <v>3</v>
      </c>
      <c r="E6510" s="10">
        <f>HYPERLINK("http://www.lingerieopt.ru/images/original/2f70f1c6-a8d5-4361-a3a4-bafd73ba5851.jpg","Фото")</f>
      </c>
    </row>
    <row r="6511">
      <c r="A6511" s="7">
        <f>HYPERLINK("http://www.lingerieopt.ru/item/4919-kruzhevnje-trusiki-slipj-aprilla/","4919")</f>
      </c>
      <c r="B6511" s="8" t="s">
        <v>6264</v>
      </c>
      <c r="C6511" s="9">
        <v>744</v>
      </c>
      <c r="D6511" s="0">
        <v>2</v>
      </c>
      <c r="E6511" s="10">
        <f>HYPERLINK("http://www.lingerieopt.ru/images/original/2f70f1c6-a8d5-4361-a3a4-bafd73ba5851.jpg","Фото")</f>
      </c>
    </row>
    <row r="6512">
      <c r="A6512" s="7">
        <f>HYPERLINK("http://www.lingerieopt.ru/item/4920-stringi-avril-s-razrezom-i-tonkimi-bokovjmi-tesemkami/","4920")</f>
      </c>
      <c r="B6512" s="8" t="s">
        <v>6265</v>
      </c>
      <c r="C6512" s="9">
        <v>462</v>
      </c>
      <c r="D6512" s="0">
        <v>18</v>
      </c>
      <c r="E6512" s="10">
        <f>HYPERLINK("http://www.lingerieopt.ru/images/original/b602c582-16e7-45f5-9046-fd2a84f5da29.jpg","Фото")</f>
      </c>
    </row>
    <row r="6513">
      <c r="A6513" s="7">
        <f>HYPERLINK("http://www.lingerieopt.ru/item/4920-stringi-avril-s-razrezom-i-tonkimi-bokovjmi-tesemkami/","4920")</f>
      </c>
      <c r="B6513" s="8" t="s">
        <v>6266</v>
      </c>
      <c r="C6513" s="9">
        <v>462</v>
      </c>
      <c r="D6513" s="0">
        <v>8</v>
      </c>
      <c r="E6513" s="10">
        <f>HYPERLINK("http://www.lingerieopt.ru/images/original/b602c582-16e7-45f5-9046-fd2a84f5da29.jpg","Фото")</f>
      </c>
    </row>
    <row r="6514">
      <c r="A6514" s="7">
        <f>HYPERLINK("http://www.lingerieopt.ru/item/4920-stringi-avril-s-razrezom-i-tonkimi-bokovjmi-tesemkami/","4920")</f>
      </c>
      <c r="B6514" s="8" t="s">
        <v>6267</v>
      </c>
      <c r="C6514" s="9">
        <v>462</v>
      </c>
      <c r="D6514" s="0">
        <v>6</v>
      </c>
      <c r="E6514" s="10">
        <f>HYPERLINK("http://www.lingerieopt.ru/images/original/b602c582-16e7-45f5-9046-fd2a84f5da29.jpg","Фото")</f>
      </c>
    </row>
    <row r="6515">
      <c r="A6515" s="7">
        <f>HYPERLINK("http://www.lingerieopt.ru/item/4920-stringi-avril-s-razrezom-i-tonkimi-bokovjmi-tesemkami/","4920")</f>
      </c>
      <c r="B6515" s="8" t="s">
        <v>6268</v>
      </c>
      <c r="C6515" s="9">
        <v>462</v>
      </c>
      <c r="D6515" s="0">
        <v>20</v>
      </c>
      <c r="E6515" s="10">
        <f>HYPERLINK("http://www.lingerieopt.ru/images/original/b602c582-16e7-45f5-9046-fd2a84f5da29.jpg","Фото")</f>
      </c>
    </row>
    <row r="6516">
      <c r="A6516" s="7">
        <f>HYPERLINK("http://www.lingerieopt.ru/item/4921-stringi-chantal-s-tremya-bantikami-szadi/","4921")</f>
      </c>
      <c r="B6516" s="8" t="s">
        <v>6269</v>
      </c>
      <c r="C6516" s="9">
        <v>630</v>
      </c>
      <c r="D6516" s="0">
        <v>0</v>
      </c>
      <c r="E6516" s="10">
        <f>HYPERLINK("http://www.lingerieopt.ru/images/original/fdb08f70-bdee-466f-92d7-3a5668ccc077.jpg","Фото")</f>
      </c>
    </row>
    <row r="6517">
      <c r="A6517" s="7">
        <f>HYPERLINK("http://www.lingerieopt.ru/item/4921-stringi-chantal-s-tremya-bantikami-szadi/","4921")</f>
      </c>
      <c r="B6517" s="8" t="s">
        <v>6270</v>
      </c>
      <c r="C6517" s="9">
        <v>630</v>
      </c>
      <c r="D6517" s="0">
        <v>2</v>
      </c>
      <c r="E6517" s="10">
        <f>HYPERLINK("http://www.lingerieopt.ru/images/original/fdb08f70-bdee-466f-92d7-3a5668ccc077.jpg","Фото")</f>
      </c>
    </row>
    <row r="6518">
      <c r="A6518" s="7">
        <f>HYPERLINK("http://www.lingerieopt.ru/item/4921-stringi-chantal-s-tremya-bantikami-szadi/","4921")</f>
      </c>
      <c r="B6518" s="8" t="s">
        <v>6271</v>
      </c>
      <c r="C6518" s="9">
        <v>630</v>
      </c>
      <c r="D6518" s="0">
        <v>0</v>
      </c>
      <c r="E6518" s="10">
        <f>HYPERLINK("http://www.lingerieopt.ru/images/original/fdb08f70-bdee-466f-92d7-3a5668ccc077.jpg","Фото")</f>
      </c>
    </row>
    <row r="6519">
      <c r="A6519" s="7">
        <f>HYPERLINK("http://www.lingerieopt.ru/item/4922-miniatyurnje-kruzhevnje-trusiki-evita-s-dostupom/","4922")</f>
      </c>
      <c r="B6519" s="8" t="s">
        <v>6272</v>
      </c>
      <c r="C6519" s="9">
        <v>725</v>
      </c>
      <c r="D6519" s="0">
        <v>2</v>
      </c>
      <c r="E6519" s="10">
        <f>HYPERLINK("http://www.lingerieopt.ru/images/original/a932bc1d-00c0-41f4-a641-f89e4adec69b.jpg","Фото")</f>
      </c>
    </row>
    <row r="6520">
      <c r="A6520" s="7">
        <f>HYPERLINK("http://www.lingerieopt.ru/item/4922-miniatyurnje-kruzhevnje-trusiki-evita-s-dostupom/","4922")</f>
      </c>
      <c r="B6520" s="8" t="s">
        <v>6273</v>
      </c>
      <c r="C6520" s="9">
        <v>725</v>
      </c>
      <c r="D6520" s="0">
        <v>8</v>
      </c>
      <c r="E6520" s="10">
        <f>HYPERLINK("http://www.lingerieopt.ru/images/original/a932bc1d-00c0-41f4-a641-f89e4adec69b.jpg","Фото")</f>
      </c>
    </row>
    <row r="6521">
      <c r="A6521" s="7">
        <f>HYPERLINK("http://www.lingerieopt.ru/item/4922-miniatyurnje-kruzhevnje-trusiki-evita-s-dostupom/","4922")</f>
      </c>
      <c r="B6521" s="8" t="s">
        <v>6274</v>
      </c>
      <c r="C6521" s="9">
        <v>725</v>
      </c>
      <c r="D6521" s="0">
        <v>2</v>
      </c>
      <c r="E6521" s="10">
        <f>HYPERLINK("http://www.lingerieopt.ru/images/original/a932bc1d-00c0-41f4-a641-f89e4adec69b.jpg","Фото")</f>
      </c>
    </row>
    <row r="6522">
      <c r="A6522" s="7">
        <f>HYPERLINK("http://www.lingerieopt.ru/item/4940-zhenskie-trusiki-c-rozochkami-glamur/","4940")</f>
      </c>
      <c r="B6522" s="8" t="s">
        <v>6275</v>
      </c>
      <c r="C6522" s="9">
        <v>281</v>
      </c>
      <c r="D6522" s="0">
        <v>3</v>
      </c>
      <c r="E6522" s="10">
        <f>HYPERLINK("http://www.lingerieopt.ru/images/original/442fc675-4dcd-4e2d-83c7-7ff3216093d3.jpg","Фото")</f>
      </c>
    </row>
    <row r="6523">
      <c r="A6523" s="7">
        <f>HYPERLINK("http://www.lingerieopt.ru/item/4996-trusiki-slip-s-nadpisyu-i-love-cock/","4996")</f>
      </c>
      <c r="B6523" s="8" t="s">
        <v>6276</v>
      </c>
      <c r="C6523" s="9">
        <v>295</v>
      </c>
      <c r="D6523" s="0">
        <v>0</v>
      </c>
      <c r="E6523" s="10">
        <f>HYPERLINK("http://www.lingerieopt.ru/images/original/96b99464-e252-4ee2-940a-eea82cefbe35.jpg","Фото")</f>
      </c>
    </row>
    <row r="6524">
      <c r="A6524" s="7">
        <f>HYPERLINK("http://www.lingerieopt.ru/item/4996-trusiki-slip-s-nadpisyu-i-love-cock/","4996")</f>
      </c>
      <c r="B6524" s="8" t="s">
        <v>6277</v>
      </c>
      <c r="C6524" s="9">
        <v>295</v>
      </c>
      <c r="D6524" s="0">
        <v>1</v>
      </c>
      <c r="E6524" s="10">
        <f>HYPERLINK("http://www.lingerieopt.ru/images/original/96b99464-e252-4ee2-940a-eea82cefbe35.jpg","Фото")</f>
      </c>
    </row>
    <row r="6525">
      <c r="A6525" s="7">
        <f>HYPERLINK("http://www.lingerieopt.ru/item/4997-trusiki-slip-s-nadpisyu-strazami-kinky/","4997")</f>
      </c>
      <c r="B6525" s="8" t="s">
        <v>6278</v>
      </c>
      <c r="C6525" s="9">
        <v>295</v>
      </c>
      <c r="D6525" s="0">
        <v>30</v>
      </c>
      <c r="E6525" s="10">
        <f>HYPERLINK("http://www.lingerieopt.ru/images/original/8efa5a08-7020-4a3b-88a2-1535704d4f60.jpg","Фото")</f>
      </c>
    </row>
    <row r="6526">
      <c r="A6526" s="7">
        <f>HYPERLINK("http://www.lingerieopt.ru/item/4997-trusiki-slip-s-nadpisyu-strazami-kinky/","4997")</f>
      </c>
      <c r="B6526" s="8" t="s">
        <v>6279</v>
      </c>
      <c r="C6526" s="9">
        <v>295</v>
      </c>
      <c r="D6526" s="0">
        <v>30</v>
      </c>
      <c r="E6526" s="10">
        <f>HYPERLINK("http://www.lingerieopt.ru/images/original/8efa5a08-7020-4a3b-88a2-1535704d4f60.jpg","Фото")</f>
      </c>
    </row>
    <row r="6527">
      <c r="A6527" s="7">
        <f>HYPERLINK("http://www.lingerieopt.ru/item/5046-zhenskie-trusiki-stringi-valentin/","5046")</f>
      </c>
      <c r="B6527" s="8" t="s">
        <v>6280</v>
      </c>
      <c r="C6527" s="9">
        <v>284</v>
      </c>
      <c r="D6527" s="0">
        <v>6</v>
      </c>
      <c r="E6527" s="10">
        <f>HYPERLINK("http://www.lingerieopt.ru/images/original/63d15cb1-9381-4ae0-becb-e83f66e3c352.jpg","Фото")</f>
      </c>
    </row>
    <row r="6528">
      <c r="A6528" s="7">
        <f>HYPERLINK("http://www.lingerieopt.ru/item/5046-zhenskie-trusiki-stringi-valentin/","5046")</f>
      </c>
      <c r="B6528" s="8" t="s">
        <v>6281</v>
      </c>
      <c r="C6528" s="9">
        <v>284</v>
      </c>
      <c r="D6528" s="0">
        <v>7</v>
      </c>
      <c r="E6528" s="10">
        <f>HYPERLINK("http://www.lingerieopt.ru/images/original/63d15cb1-9381-4ae0-becb-e83f66e3c352.jpg","Фото")</f>
      </c>
    </row>
    <row r="6529">
      <c r="A6529" s="7">
        <f>HYPERLINK("http://www.lingerieopt.ru/item/5047-zhenskie-stringi-zona-vjsadki/","5047")</f>
      </c>
      <c r="B6529" s="8" t="s">
        <v>6282</v>
      </c>
      <c r="C6529" s="9">
        <v>301</v>
      </c>
      <c r="D6529" s="0">
        <v>3</v>
      </c>
      <c r="E6529" s="10">
        <f>HYPERLINK("http://www.lingerieopt.ru/images/original/6b4ab41e-e6cc-4ae2-b425-19692a23d697.jpg","Фото")</f>
      </c>
    </row>
    <row r="6530">
      <c r="A6530" s="7">
        <f>HYPERLINK("http://www.lingerieopt.ru/item/5047-zhenskie-stringi-zona-vjsadki/","5047")</f>
      </c>
      <c r="B6530" s="8" t="s">
        <v>6283</v>
      </c>
      <c r="C6530" s="9">
        <v>301</v>
      </c>
      <c r="D6530" s="0">
        <v>4</v>
      </c>
      <c r="E6530" s="10">
        <f>HYPERLINK("http://www.lingerieopt.ru/images/original/6b4ab41e-e6cc-4ae2-b425-19692a23d697.jpg","Фото")</f>
      </c>
    </row>
    <row r="6531">
      <c r="A6531" s="7">
        <f>HYPERLINK("http://www.lingerieopt.ru/item/5048-zhenskie-trusiki-stringi-na-rezinke-slonik/","5048")</f>
      </c>
      <c r="B6531" s="8" t="s">
        <v>6284</v>
      </c>
      <c r="C6531" s="9">
        <v>480</v>
      </c>
      <c r="D6531" s="0">
        <v>0</v>
      </c>
      <c r="E6531" s="10">
        <f>HYPERLINK("http://www.lingerieopt.ru/images/original/46152742-0a60-4ed9-a70f-82f0f1aa04a1.jpg","Фото")</f>
      </c>
    </row>
    <row r="6532">
      <c r="A6532" s="7">
        <f>HYPERLINK("http://www.lingerieopt.ru/item/5048-zhenskie-trusiki-stringi-na-rezinke-slonik/","5048")</f>
      </c>
      <c r="B6532" s="8" t="s">
        <v>6285</v>
      </c>
      <c r="C6532" s="9">
        <v>480</v>
      </c>
      <c r="D6532" s="0">
        <v>7</v>
      </c>
      <c r="E6532" s="10">
        <f>HYPERLINK("http://www.lingerieopt.ru/images/original/46152742-0a60-4ed9-a70f-82f0f1aa04a1.jpg","Фото")</f>
      </c>
    </row>
    <row r="6533">
      <c r="A6533" s="7">
        <f>HYPERLINK("http://www.lingerieopt.ru/item/5139-golubje-zhenskie-trusiki-stringi-xmas-s-pushkom-i-pomponchikami/","5139")</f>
      </c>
      <c r="B6533" s="8" t="s">
        <v>6286</v>
      </c>
      <c r="C6533" s="9">
        <v>406</v>
      </c>
      <c r="D6533" s="0">
        <v>2</v>
      </c>
      <c r="E6533" s="10">
        <f>HYPERLINK("http://www.lingerieopt.ru/images/original/d93c97a5-1457-4951-9c5f-286340349e95.jpg","Фото")</f>
      </c>
    </row>
    <row r="6534">
      <c r="A6534" s="7">
        <f>HYPERLINK("http://www.lingerieopt.ru/item/5139-golubje-zhenskie-trusiki-stringi-xmas-s-pushkom-i-pomponchikami/","5139")</f>
      </c>
      <c r="B6534" s="8" t="s">
        <v>6287</v>
      </c>
      <c r="C6534" s="9">
        <v>406</v>
      </c>
      <c r="D6534" s="0">
        <v>0</v>
      </c>
      <c r="E6534" s="10">
        <f>HYPERLINK("http://www.lingerieopt.ru/images/original/d93c97a5-1457-4951-9c5f-286340349e95.jpg","Фото")</f>
      </c>
    </row>
    <row r="6535">
      <c r="A6535" s="7">
        <f>HYPERLINK("http://www.lingerieopt.ru/item/5154-trusiki-stringi-inspires-s-azhurnoi-cepochkoi/","5154")</f>
      </c>
      <c r="B6535" s="8" t="s">
        <v>6288</v>
      </c>
      <c r="C6535" s="9">
        <v>424</v>
      </c>
      <c r="D6535" s="0">
        <v>3</v>
      </c>
      <c r="E6535" s="10">
        <f>HYPERLINK("http://www.lingerieopt.ru/images/original/2ce4a7c5-2ec0-477a-a2c4-559914ef6467.jpg","Фото")</f>
      </c>
    </row>
    <row r="6536">
      <c r="A6536" s="7">
        <f>HYPERLINK("http://www.lingerieopt.ru/item/5154-trusiki-stringi-inspires-s-azhurnoi-cepochkoi/","5154")</f>
      </c>
      <c r="B6536" s="8" t="s">
        <v>6289</v>
      </c>
      <c r="C6536" s="9">
        <v>424</v>
      </c>
      <c r="D6536" s="0">
        <v>7</v>
      </c>
      <c r="E6536" s="10">
        <f>HYPERLINK("http://www.lingerieopt.ru/images/original/2ce4a7c5-2ec0-477a-a2c4-559914ef6467.jpg","Фото")</f>
      </c>
    </row>
    <row r="6537">
      <c r="A6537" s="7">
        <f>HYPERLINK("http://www.lingerieopt.ru/item/5154-trusiki-stringi-inspires-s-azhurnoi-cepochkoi/","5154")</f>
      </c>
      <c r="B6537" s="8" t="s">
        <v>6290</v>
      </c>
      <c r="C6537" s="9">
        <v>424</v>
      </c>
      <c r="D6537" s="0">
        <v>3</v>
      </c>
      <c r="E6537" s="10">
        <f>HYPERLINK("http://www.lingerieopt.ru/images/original/2ce4a7c5-2ec0-477a-a2c4-559914ef6467.jpg","Фото")</f>
      </c>
    </row>
    <row r="6538">
      <c r="A6538" s="7">
        <f>HYPERLINK("http://www.lingerieopt.ru/item/5154-trusiki-stringi-inspires-s-azhurnoi-cepochkoi/","5154")</f>
      </c>
      <c r="B6538" s="8" t="s">
        <v>6291</v>
      </c>
      <c r="C6538" s="9">
        <v>424</v>
      </c>
      <c r="D6538" s="0">
        <v>2</v>
      </c>
      <c r="E6538" s="10">
        <f>HYPERLINK("http://www.lingerieopt.ru/images/original/2ce4a7c5-2ec0-477a-a2c4-559914ef6467.jpg","Фото")</f>
      </c>
    </row>
    <row r="6539">
      <c r="A6539" s="7">
        <f>HYPERLINK("http://www.lingerieopt.ru/item/5155-kruzhevnje-stringi-jill/","5155")</f>
      </c>
      <c r="B6539" s="8" t="s">
        <v>6292</v>
      </c>
      <c r="C6539" s="9">
        <v>512</v>
      </c>
      <c r="D6539" s="0">
        <v>7</v>
      </c>
      <c r="E6539" s="10">
        <f>HYPERLINK("http://www.lingerieopt.ru/images/original/8314542d-f6bf-441c-9552-c35bffc42994.jpg","Фото")</f>
      </c>
    </row>
    <row r="6540">
      <c r="A6540" s="7">
        <f>HYPERLINK("http://www.lingerieopt.ru/item/5155-kruzhevnje-stringi-jill/","5155")</f>
      </c>
      <c r="B6540" s="8" t="s">
        <v>6293</v>
      </c>
      <c r="C6540" s="9">
        <v>512</v>
      </c>
      <c r="D6540" s="0">
        <v>11</v>
      </c>
      <c r="E6540" s="10">
        <f>HYPERLINK("http://www.lingerieopt.ru/images/original/8314542d-f6bf-441c-9552-c35bffc42994.jpg","Фото")</f>
      </c>
    </row>
    <row r="6541">
      <c r="A6541" s="7">
        <f>HYPERLINK("http://www.lingerieopt.ru/item/5155-kruzhevnje-stringi-jill/","5155")</f>
      </c>
      <c r="B6541" s="8" t="s">
        <v>6294</v>
      </c>
      <c r="C6541" s="9">
        <v>512</v>
      </c>
      <c r="D6541" s="0">
        <v>18</v>
      </c>
      <c r="E6541" s="10">
        <f>HYPERLINK("http://www.lingerieopt.ru/images/original/8314542d-f6bf-441c-9552-c35bffc42994.jpg","Фото")</f>
      </c>
    </row>
    <row r="6542">
      <c r="A6542" s="7">
        <f>HYPERLINK("http://www.lingerieopt.ru/item/5155-kruzhevnje-stringi-jill/","5155")</f>
      </c>
      <c r="B6542" s="8" t="s">
        <v>6295</v>
      </c>
      <c r="C6542" s="9">
        <v>512</v>
      </c>
      <c r="D6542" s="0">
        <v>14</v>
      </c>
      <c r="E6542" s="10">
        <f>HYPERLINK("http://www.lingerieopt.ru/images/original/8314542d-f6bf-441c-9552-c35bffc42994.jpg","Фото")</f>
      </c>
    </row>
    <row r="6543">
      <c r="A6543" s="7">
        <f>HYPERLINK("http://www.lingerieopt.ru/item/5156-miniatyurnje-trusiki-join-me-s-kruzhevnoi-polosoi-poseredine/","5156")</f>
      </c>
      <c r="B6543" s="8" t="s">
        <v>6296</v>
      </c>
      <c r="C6543" s="9">
        <v>684</v>
      </c>
      <c r="D6543" s="0">
        <v>4</v>
      </c>
      <c r="E6543" s="10">
        <f>HYPERLINK("http://www.lingerieopt.ru/images/original/687c02f4-ca52-4069-8ef3-344ae24a8519.jpg","Фото")</f>
      </c>
    </row>
    <row r="6544">
      <c r="A6544" s="7">
        <f>HYPERLINK("http://www.lingerieopt.ru/item/5156-miniatyurnje-trusiki-join-me-s-kruzhevnoi-polosoi-poseredine/","5156")</f>
      </c>
      <c r="B6544" s="8" t="s">
        <v>6297</v>
      </c>
      <c r="C6544" s="9">
        <v>684</v>
      </c>
      <c r="D6544" s="0">
        <v>2</v>
      </c>
      <c r="E6544" s="10">
        <f>HYPERLINK("http://www.lingerieopt.ru/images/original/687c02f4-ca52-4069-8ef3-344ae24a8519.jpg","Фото")</f>
      </c>
    </row>
    <row r="6545">
      <c r="A6545" s="7">
        <f>HYPERLINK("http://www.lingerieopt.ru/item/5156-miniatyurnje-trusiki-join-me-s-kruzhevnoi-polosoi-poseredine/","5156")</f>
      </c>
      <c r="B6545" s="8" t="s">
        <v>6298</v>
      </c>
      <c r="C6545" s="9">
        <v>684</v>
      </c>
      <c r="D6545" s="0">
        <v>5</v>
      </c>
      <c r="E6545" s="10">
        <f>HYPERLINK("http://www.lingerieopt.ru/images/original/687c02f4-ca52-4069-8ef3-344ae24a8519.jpg","Фото")</f>
      </c>
    </row>
    <row r="6546">
      <c r="A6546" s="7">
        <f>HYPERLINK("http://www.lingerieopt.ru/item/5156-miniatyurnje-trusiki-join-me-s-kruzhevnoi-polosoi-poseredine/","5156")</f>
      </c>
      <c r="B6546" s="8" t="s">
        <v>6299</v>
      </c>
      <c r="C6546" s="9">
        <v>684</v>
      </c>
      <c r="D6546" s="0">
        <v>0</v>
      </c>
      <c r="E6546" s="10">
        <f>HYPERLINK("http://www.lingerieopt.ru/images/original/687c02f4-ca52-4069-8ef3-344ae24a8519.jpg","Фото")</f>
      </c>
    </row>
    <row r="6547">
      <c r="A6547" s="7">
        <f>HYPERLINK("http://www.lingerieopt.ru/item/5157-kroshechnje-stringi-s-cvetkom-lazy-girl/","5157")</f>
      </c>
      <c r="B6547" s="8" t="s">
        <v>6300</v>
      </c>
      <c r="C6547" s="9">
        <v>670</v>
      </c>
      <c r="D6547" s="0">
        <v>3</v>
      </c>
      <c r="E6547" s="10">
        <f>HYPERLINK("http://www.lingerieopt.ru/images/original/b6078b76-06d9-4fa2-832c-5f3fe1e459c4.jpg","Фото")</f>
      </c>
    </row>
    <row r="6548">
      <c r="A6548" s="7">
        <f>HYPERLINK("http://www.lingerieopt.ru/item/5157-kroshechnje-stringi-s-cvetkom-lazy-girl/","5157")</f>
      </c>
      <c r="B6548" s="8" t="s">
        <v>6301</v>
      </c>
      <c r="C6548" s="9">
        <v>670</v>
      </c>
      <c r="D6548" s="0">
        <v>3</v>
      </c>
      <c r="E6548" s="10">
        <f>HYPERLINK("http://www.lingerieopt.ru/images/original/b6078b76-06d9-4fa2-832c-5f3fe1e459c4.jpg","Фото")</f>
      </c>
    </row>
    <row r="6549">
      <c r="A6549" s="7">
        <f>HYPERLINK("http://www.lingerieopt.ru/item/5157-kroshechnje-stringi-s-cvetkom-lazy-girl/","5157")</f>
      </c>
      <c r="B6549" s="8" t="s">
        <v>6302</v>
      </c>
      <c r="C6549" s="9">
        <v>670</v>
      </c>
      <c r="D6549" s="0">
        <v>4</v>
      </c>
      <c r="E6549" s="10">
        <f>HYPERLINK("http://www.lingerieopt.ru/images/original/b6078b76-06d9-4fa2-832c-5f3fe1e459c4.jpg","Фото")</f>
      </c>
    </row>
    <row r="6550">
      <c r="A6550" s="7">
        <f>HYPERLINK("http://www.lingerieopt.ru/item/5157-kroshechnje-stringi-s-cvetkom-lazy-girl/","5157")</f>
      </c>
      <c r="B6550" s="8" t="s">
        <v>6303</v>
      </c>
      <c r="C6550" s="9">
        <v>670</v>
      </c>
      <c r="D6550" s="0">
        <v>3</v>
      </c>
      <c r="E6550" s="10">
        <f>HYPERLINK("http://www.lingerieopt.ru/images/original/b6078b76-06d9-4fa2-832c-5f3fe1e459c4.jpg","Фото")</f>
      </c>
    </row>
    <row r="6551">
      <c r="A6551" s="7">
        <f>HYPERLINK("http://www.lingerieopt.ru/item/5158-trusiki-light-up-iz-tonkih-ryushei/","5158")</f>
      </c>
      <c r="B6551" s="8" t="s">
        <v>6304</v>
      </c>
      <c r="C6551" s="9">
        <v>588</v>
      </c>
      <c r="D6551" s="0">
        <v>0</v>
      </c>
      <c r="E6551" s="10">
        <f>HYPERLINK("http://www.lingerieopt.ru/images/original/36969223-9941-4267-8f72-f90ec569b150.jpg","Фото")</f>
      </c>
    </row>
    <row r="6552">
      <c r="A6552" s="7">
        <f>HYPERLINK("http://www.lingerieopt.ru/item/5158-trusiki-light-up-iz-tonkih-ryushei/","5158")</f>
      </c>
      <c r="B6552" s="8" t="s">
        <v>6305</v>
      </c>
      <c r="C6552" s="9">
        <v>588</v>
      </c>
      <c r="D6552" s="0">
        <v>2</v>
      </c>
      <c r="E6552" s="10">
        <f>HYPERLINK("http://www.lingerieopt.ru/images/original/36969223-9941-4267-8f72-f90ec569b150.jpg","Фото")</f>
      </c>
    </row>
    <row r="6553">
      <c r="A6553" s="7">
        <f>HYPERLINK("http://www.lingerieopt.ru/item/5158-trusiki-light-up-iz-tonkih-ryushei/","5158")</f>
      </c>
      <c r="B6553" s="8" t="s">
        <v>6306</v>
      </c>
      <c r="C6553" s="9">
        <v>588</v>
      </c>
      <c r="D6553" s="0">
        <v>3</v>
      </c>
      <c r="E6553" s="10">
        <f>HYPERLINK("http://www.lingerieopt.ru/images/original/36969223-9941-4267-8f72-f90ec569b150.jpg","Фото")</f>
      </c>
    </row>
    <row r="6554">
      <c r="A6554" s="7">
        <f>HYPERLINK("http://www.lingerieopt.ru/item/5158-trusiki-light-up-iz-tonkih-ryushei/","5158")</f>
      </c>
      <c r="B6554" s="8" t="s">
        <v>6307</v>
      </c>
      <c r="C6554" s="9">
        <v>588</v>
      </c>
      <c r="D6554" s="0">
        <v>4</v>
      </c>
      <c r="E6554" s="10">
        <f>HYPERLINK("http://www.lingerieopt.ru/images/original/36969223-9941-4267-8f72-f90ec569b150.jpg","Фото")</f>
      </c>
    </row>
    <row r="6555">
      <c r="A6555" s="7">
        <f>HYPERLINK("http://www.lingerieopt.ru/item/5158-trusiki-light-up-iz-tonkih-ryushei/","5158")</f>
      </c>
      <c r="B6555" s="8" t="s">
        <v>6308</v>
      </c>
      <c r="C6555" s="9">
        <v>588</v>
      </c>
      <c r="D6555" s="0">
        <v>3</v>
      </c>
      <c r="E6555" s="10">
        <f>HYPERLINK("http://www.lingerieopt.ru/images/original/36969223-9941-4267-8f72-f90ec569b150.jpg","Фото")</f>
      </c>
    </row>
    <row r="6556">
      <c r="A6556" s="7">
        <f>HYPERLINK("http://www.lingerieopt.ru/item/5158-trusiki-light-up-iz-tonkih-ryushei/","5158")</f>
      </c>
      <c r="B6556" s="8" t="s">
        <v>6309</v>
      </c>
      <c r="C6556" s="9">
        <v>588</v>
      </c>
      <c r="D6556" s="0">
        <v>5</v>
      </c>
      <c r="E6556" s="10">
        <f>HYPERLINK("http://www.lingerieopt.ru/images/original/36969223-9941-4267-8f72-f90ec569b150.jpg","Фото")</f>
      </c>
    </row>
    <row r="6557">
      <c r="A6557" s="7">
        <f>HYPERLINK("http://www.lingerieopt.ru/item/5158-trusiki-light-up-iz-tonkih-ryushei/","5158")</f>
      </c>
      <c r="B6557" s="8" t="s">
        <v>6310</v>
      </c>
      <c r="C6557" s="9">
        <v>588</v>
      </c>
      <c r="D6557" s="0">
        <v>4</v>
      </c>
      <c r="E6557" s="10">
        <f>HYPERLINK("http://www.lingerieopt.ru/images/original/36969223-9941-4267-8f72-f90ec569b150.jpg","Фото")</f>
      </c>
    </row>
    <row r="6558">
      <c r="A6558" s="7">
        <f>HYPERLINK("http://www.lingerieopt.ru/item/5159-trusiki-stringi-mysterious-s-kruzhevnoi-vstavkoi/","5159")</f>
      </c>
      <c r="B6558" s="8" t="s">
        <v>6311</v>
      </c>
      <c r="C6558" s="9">
        <v>530</v>
      </c>
      <c r="D6558" s="0">
        <v>0</v>
      </c>
      <c r="E6558" s="10">
        <f>HYPERLINK("http://www.lingerieopt.ru/images/original/8a6a30ec-ec88-4809-a711-bbaeee072465.jpg","Фото")</f>
      </c>
    </row>
    <row r="6559">
      <c r="A6559" s="7">
        <f>HYPERLINK("http://www.lingerieopt.ru/item/5159-trusiki-stringi-mysterious-s-kruzhevnoi-vstavkoi/","5159")</f>
      </c>
      <c r="B6559" s="8" t="s">
        <v>6312</v>
      </c>
      <c r="C6559" s="9">
        <v>530</v>
      </c>
      <c r="D6559" s="0">
        <v>2</v>
      </c>
      <c r="E6559" s="10">
        <f>HYPERLINK("http://www.lingerieopt.ru/images/original/8a6a30ec-ec88-4809-a711-bbaeee072465.jpg","Фото")</f>
      </c>
    </row>
    <row r="6560">
      <c r="A6560" s="7">
        <f>HYPERLINK("http://www.lingerieopt.ru/item/5159-trusiki-stringi-mysterious-s-kruzhevnoi-vstavkoi/","5159")</f>
      </c>
      <c r="B6560" s="8" t="s">
        <v>6313</v>
      </c>
      <c r="C6560" s="9">
        <v>530</v>
      </c>
      <c r="D6560" s="0">
        <v>2</v>
      </c>
      <c r="E6560" s="10">
        <f>HYPERLINK("http://www.lingerieopt.ru/images/original/8a6a30ec-ec88-4809-a711-bbaeee072465.jpg","Фото")</f>
      </c>
    </row>
    <row r="6561">
      <c r="A6561" s="7">
        <f>HYPERLINK("http://www.lingerieopt.ru/item/5159-trusiki-stringi-mysterious-s-kruzhevnoi-vstavkoi/","5159")</f>
      </c>
      <c r="B6561" s="8" t="s">
        <v>6314</v>
      </c>
      <c r="C6561" s="9">
        <v>530</v>
      </c>
      <c r="D6561" s="0">
        <v>0</v>
      </c>
      <c r="E6561" s="10">
        <f>HYPERLINK("http://www.lingerieopt.ru/images/original/8a6a30ec-ec88-4809-a711-bbaeee072465.jpg","Фото")</f>
      </c>
    </row>
    <row r="6562">
      <c r="A6562" s="7">
        <f>HYPERLINK("http://www.lingerieopt.ru/item/5160-kroshechnje-stringi-senses-s-kruzhevnoi-vstavkoi-kontrastnogo-cveta/","5160")</f>
      </c>
      <c r="B6562" s="8" t="s">
        <v>6315</v>
      </c>
      <c r="C6562" s="9">
        <v>425</v>
      </c>
      <c r="D6562" s="0">
        <v>0</v>
      </c>
      <c r="E6562" s="10">
        <f>HYPERLINK("http://www.lingerieopt.ru/images/original/e97442c3-8d29-4e24-880e-53dc18151a07.jpg","Фото")</f>
      </c>
    </row>
    <row r="6563">
      <c r="A6563" s="7">
        <f>HYPERLINK("http://www.lingerieopt.ru/item/5160-kroshechnje-stringi-senses-s-kruzhevnoi-vstavkoi-kontrastnogo-cveta/","5160")</f>
      </c>
      <c r="B6563" s="8" t="s">
        <v>6316</v>
      </c>
      <c r="C6563" s="9">
        <v>425</v>
      </c>
      <c r="D6563" s="0">
        <v>1</v>
      </c>
      <c r="E6563" s="10">
        <f>HYPERLINK("http://www.lingerieopt.ru/images/original/e97442c3-8d29-4e24-880e-53dc18151a07.jpg","Фото")</f>
      </c>
    </row>
    <row r="6564">
      <c r="A6564" s="7">
        <f>HYPERLINK("http://www.lingerieopt.ru/item/5160-kroshechnje-stringi-senses-s-kruzhevnoi-vstavkoi-kontrastnogo-cveta/","5160")</f>
      </c>
      <c r="B6564" s="8" t="s">
        <v>6317</v>
      </c>
      <c r="C6564" s="9">
        <v>425</v>
      </c>
      <c r="D6564" s="0">
        <v>0</v>
      </c>
      <c r="E6564" s="10">
        <f>HYPERLINK("http://www.lingerieopt.ru/images/original/e97442c3-8d29-4e24-880e-53dc18151a07.jpg","Фото")</f>
      </c>
    </row>
    <row r="6565">
      <c r="A6565" s="7">
        <f>HYPERLINK("http://www.lingerieopt.ru/item/5160-kroshechnje-stringi-senses-s-kruzhevnoi-vstavkoi-kontrastnogo-cveta/","5160")</f>
      </c>
      <c r="B6565" s="8" t="s">
        <v>6318</v>
      </c>
      <c r="C6565" s="9">
        <v>425</v>
      </c>
      <c r="D6565" s="0">
        <v>0</v>
      </c>
      <c r="E6565" s="10">
        <f>HYPERLINK("http://www.lingerieopt.ru/images/original/e97442c3-8d29-4e24-880e-53dc18151a07.jpg","Фото")</f>
      </c>
    </row>
    <row r="6566">
      <c r="A6566" s="7">
        <f>HYPERLINK("http://www.lingerieopt.ru/item/5161-stringi-s-yubochkoi-i-podveskoi-kristallom-spice-up/","5161")</f>
      </c>
      <c r="B6566" s="8" t="s">
        <v>6319</v>
      </c>
      <c r="C6566" s="9">
        <v>488</v>
      </c>
      <c r="D6566" s="0">
        <v>9</v>
      </c>
      <c r="E6566" s="10">
        <f>HYPERLINK("http://www.lingerieopt.ru/images/original/6023c7f3-be76-4acd-b047-25f915663e98.jpg","Фото")</f>
      </c>
    </row>
    <row r="6567">
      <c r="A6567" s="7">
        <f>HYPERLINK("http://www.lingerieopt.ru/item/5161-stringi-s-yubochkoi-i-podveskoi-kristallom-spice-up/","5161")</f>
      </c>
      <c r="B6567" s="8" t="s">
        <v>6320</v>
      </c>
      <c r="C6567" s="9">
        <v>488</v>
      </c>
      <c r="D6567" s="0">
        <v>3</v>
      </c>
      <c r="E6567" s="10">
        <f>HYPERLINK("http://www.lingerieopt.ru/images/original/6023c7f3-be76-4acd-b047-25f915663e98.jpg","Фото")</f>
      </c>
    </row>
    <row r="6568">
      <c r="A6568" s="7">
        <f>HYPERLINK("http://www.lingerieopt.ru/item/5161-stringi-s-yubochkoi-i-podveskoi-kristallom-spice-up/","5161")</f>
      </c>
      <c r="B6568" s="8" t="s">
        <v>6321</v>
      </c>
      <c r="C6568" s="9">
        <v>488</v>
      </c>
      <c r="D6568" s="0">
        <v>5</v>
      </c>
      <c r="E6568" s="10">
        <f>HYPERLINK("http://www.lingerieopt.ru/images/original/6023c7f3-be76-4acd-b047-25f915663e98.jpg","Фото")</f>
      </c>
    </row>
    <row r="6569">
      <c r="A6569" s="7">
        <f>HYPERLINK("http://www.lingerieopt.ru/item/5161-stringi-s-yubochkoi-i-podveskoi-kristallom-spice-up/","5161")</f>
      </c>
      <c r="B6569" s="8" t="s">
        <v>6322</v>
      </c>
      <c r="C6569" s="9">
        <v>488</v>
      </c>
      <c r="D6569" s="0">
        <v>2</v>
      </c>
      <c r="E6569" s="10">
        <f>HYPERLINK("http://www.lingerieopt.ru/images/original/6023c7f3-be76-4acd-b047-25f915663e98.jpg","Фото")</f>
      </c>
    </row>
    <row r="6570">
      <c r="A6570" s="7">
        <f>HYPERLINK("http://www.lingerieopt.ru/item/5164-trusiki-slipj-carol-s-kruzhevnjmi-vstavkami/","5164")</f>
      </c>
      <c r="B6570" s="8" t="s">
        <v>6323</v>
      </c>
      <c r="C6570" s="9">
        <v>400</v>
      </c>
      <c r="D6570" s="0">
        <v>0</v>
      </c>
      <c r="E6570" s="10">
        <f>HYPERLINK("http://www.lingerieopt.ru/images/original/5c236291-b5a8-447a-828f-a5d3fac0e1c5.jpg","Фото")</f>
      </c>
    </row>
    <row r="6571">
      <c r="A6571" s="7">
        <f>HYPERLINK("http://www.lingerieopt.ru/item/5164-trusiki-slipj-carol-s-kruzhevnjmi-vstavkami/","5164")</f>
      </c>
      <c r="B6571" s="8" t="s">
        <v>6324</v>
      </c>
      <c r="C6571" s="9">
        <v>400</v>
      </c>
      <c r="D6571" s="0">
        <v>2</v>
      </c>
      <c r="E6571" s="10">
        <f>HYPERLINK("http://www.lingerieopt.ru/images/original/5c236291-b5a8-447a-828f-a5d3fac0e1c5.jpg","Фото")</f>
      </c>
    </row>
    <row r="6572">
      <c r="A6572" s="7">
        <f>HYPERLINK("http://www.lingerieopt.ru/item/5164-trusiki-slipj-carol-s-kruzhevnjmi-vstavkami/","5164")</f>
      </c>
      <c r="B6572" s="8" t="s">
        <v>6325</v>
      </c>
      <c r="C6572" s="9">
        <v>400</v>
      </c>
      <c r="D6572" s="0">
        <v>3</v>
      </c>
      <c r="E6572" s="10">
        <f>HYPERLINK("http://www.lingerieopt.ru/images/original/5c236291-b5a8-447a-828f-a5d3fac0e1c5.jpg","Фото")</f>
      </c>
    </row>
    <row r="6573">
      <c r="A6573" s="7">
        <f>HYPERLINK("http://www.lingerieopt.ru/item/5164-trusiki-slipj-carol-s-kruzhevnjmi-vstavkami/","5164")</f>
      </c>
      <c r="B6573" s="8" t="s">
        <v>6326</v>
      </c>
      <c r="C6573" s="9">
        <v>400</v>
      </c>
      <c r="D6573" s="0">
        <v>2</v>
      </c>
      <c r="E6573" s="10">
        <f>HYPERLINK("http://www.lingerieopt.ru/images/original/5c236291-b5a8-447a-828f-a5d3fac0e1c5.jpg","Фото")</f>
      </c>
    </row>
    <row r="6574">
      <c r="A6574" s="7">
        <f>HYPERLINK("http://www.lingerieopt.ru/item/5165-trusiki-slipj-dakota-s-kruzhevom/","5165")</f>
      </c>
      <c r="B6574" s="8" t="s">
        <v>6327</v>
      </c>
      <c r="C6574" s="9">
        <v>325</v>
      </c>
      <c r="D6574" s="0">
        <v>3</v>
      </c>
      <c r="E6574" s="10">
        <f>HYPERLINK("http://www.lingerieopt.ru/images/original/c83bf52e-f70e-4dcb-aab4-eefa76126cc8.jpg","Фото")</f>
      </c>
    </row>
    <row r="6575">
      <c r="A6575" s="7">
        <f>HYPERLINK("http://www.lingerieopt.ru/item/5165-trusiki-slipj-dakota-s-kruzhevom/","5165")</f>
      </c>
      <c r="B6575" s="8" t="s">
        <v>6328</v>
      </c>
      <c r="C6575" s="9">
        <v>325</v>
      </c>
      <c r="D6575" s="0">
        <v>6</v>
      </c>
      <c r="E6575" s="10">
        <f>HYPERLINK("http://www.lingerieopt.ru/images/original/c83bf52e-f70e-4dcb-aab4-eefa76126cc8.jpg","Фото")</f>
      </c>
    </row>
    <row r="6576">
      <c r="A6576" s="7">
        <f>HYPERLINK("http://www.lingerieopt.ru/item/5165-trusiki-slipj-dakota-s-kruzhevom/","5165")</f>
      </c>
      <c r="B6576" s="8" t="s">
        <v>6329</v>
      </c>
      <c r="C6576" s="9">
        <v>325</v>
      </c>
      <c r="D6576" s="0">
        <v>11</v>
      </c>
      <c r="E6576" s="10">
        <f>HYPERLINK("http://www.lingerieopt.ru/images/original/c83bf52e-f70e-4dcb-aab4-eefa76126cc8.jpg","Фото")</f>
      </c>
    </row>
    <row r="6577">
      <c r="A6577" s="7">
        <f>HYPERLINK("http://www.lingerieopt.ru/item/5165-trusiki-slipj-dakota-s-kruzhevom/","5165")</f>
      </c>
      <c r="B6577" s="8" t="s">
        <v>6330</v>
      </c>
      <c r="C6577" s="9">
        <v>325</v>
      </c>
      <c r="D6577" s="0">
        <v>4</v>
      </c>
      <c r="E6577" s="10">
        <f>HYPERLINK("http://www.lingerieopt.ru/images/original/c83bf52e-f70e-4dcb-aab4-eefa76126cc8.jpg","Фото")</f>
      </c>
    </row>
    <row r="6578">
      <c r="A6578" s="7">
        <f>HYPERLINK("http://www.lingerieopt.ru/item/5167-trusiki-slipj-flavia-s-tesemkoi-i-metallicheskimi-kolechkami/","5167")</f>
      </c>
      <c r="B6578" s="8" t="s">
        <v>6331</v>
      </c>
      <c r="C6578" s="9">
        <v>424</v>
      </c>
      <c r="D6578" s="0">
        <v>0</v>
      </c>
      <c r="E6578" s="10">
        <f>HYPERLINK("http://www.lingerieopt.ru/images/original/c2938a16-3cac-430e-81a2-f4bc8af1e66d.jpg","Фото")</f>
      </c>
    </row>
    <row r="6579">
      <c r="A6579" s="7">
        <f>HYPERLINK("http://www.lingerieopt.ru/item/5167-trusiki-slipj-flavia-s-tesemkoi-i-metallicheskimi-kolechkami/","5167")</f>
      </c>
      <c r="B6579" s="8" t="s">
        <v>6332</v>
      </c>
      <c r="C6579" s="9">
        <v>424</v>
      </c>
      <c r="D6579" s="0">
        <v>4</v>
      </c>
      <c r="E6579" s="10">
        <f>HYPERLINK("http://www.lingerieopt.ru/images/original/c2938a16-3cac-430e-81a2-f4bc8af1e66d.jpg","Фото")</f>
      </c>
    </row>
    <row r="6580">
      <c r="A6580" s="7">
        <f>HYPERLINK("http://www.lingerieopt.ru/item/5167-trusiki-slipj-flavia-s-tesemkoi-i-metallicheskimi-kolechkami/","5167")</f>
      </c>
      <c r="B6580" s="8" t="s">
        <v>6333</v>
      </c>
      <c r="C6580" s="9">
        <v>424</v>
      </c>
      <c r="D6580" s="0">
        <v>4</v>
      </c>
      <c r="E6580" s="10">
        <f>HYPERLINK("http://www.lingerieopt.ru/images/original/c2938a16-3cac-430e-81a2-f4bc8af1e66d.jpg","Фото")</f>
      </c>
    </row>
    <row r="6581">
      <c r="A6581" s="7">
        <f>HYPERLINK("http://www.lingerieopt.ru/item/5167-trusiki-slipj-flavia-s-tesemkoi-i-metallicheskimi-kolechkami/","5167")</f>
      </c>
      <c r="B6581" s="8" t="s">
        <v>6334</v>
      </c>
      <c r="C6581" s="9">
        <v>424</v>
      </c>
      <c r="D6581" s="0">
        <v>4</v>
      </c>
      <c r="E6581" s="10">
        <f>HYPERLINK("http://www.lingerieopt.ru/images/original/c2938a16-3cac-430e-81a2-f4bc8af1e66d.jpg","Фото")</f>
      </c>
    </row>
    <row r="6582">
      <c r="A6582" s="7">
        <f>HYPERLINK("http://www.lingerieopt.ru/item/5168-kruzhevnje-trusiki-forme-s-tremya-bokovjmi-tesemkami/","5168")</f>
      </c>
      <c r="B6582" s="8" t="s">
        <v>6335</v>
      </c>
      <c r="C6582" s="9">
        <v>512</v>
      </c>
      <c r="D6582" s="0">
        <v>3</v>
      </c>
      <c r="E6582" s="10">
        <f>HYPERLINK("http://www.lingerieopt.ru/images/original/7df34114-d1c1-4366-afd4-e4cb310aa2e6.jpg","Фото")</f>
      </c>
    </row>
    <row r="6583">
      <c r="A6583" s="7">
        <f>HYPERLINK("http://www.lingerieopt.ru/item/5168-kruzhevnje-trusiki-forme-s-tremya-bokovjmi-tesemkami/","5168")</f>
      </c>
      <c r="B6583" s="8" t="s">
        <v>6336</v>
      </c>
      <c r="C6583" s="9">
        <v>512</v>
      </c>
      <c r="D6583" s="0">
        <v>4</v>
      </c>
      <c r="E6583" s="10">
        <f>HYPERLINK("http://www.lingerieopt.ru/images/original/7df34114-d1c1-4366-afd4-e4cb310aa2e6.jpg","Фото")</f>
      </c>
    </row>
    <row r="6584">
      <c r="A6584" s="7">
        <f>HYPERLINK("http://www.lingerieopt.ru/item/5168-kruzhevnje-trusiki-forme-s-tremya-bokovjmi-tesemkami/","5168")</f>
      </c>
      <c r="B6584" s="8" t="s">
        <v>6337</v>
      </c>
      <c r="C6584" s="9">
        <v>512</v>
      </c>
      <c r="D6584" s="0">
        <v>5</v>
      </c>
      <c r="E6584" s="10">
        <f>HYPERLINK("http://www.lingerieopt.ru/images/original/7df34114-d1c1-4366-afd4-e4cb310aa2e6.jpg","Фото")</f>
      </c>
    </row>
    <row r="6585">
      <c r="A6585" s="7">
        <f>HYPERLINK("http://www.lingerieopt.ru/item/5168-kruzhevnje-trusiki-forme-s-tremya-bokovjmi-tesemkami/","5168")</f>
      </c>
      <c r="B6585" s="8" t="s">
        <v>6338</v>
      </c>
      <c r="C6585" s="9">
        <v>512</v>
      </c>
      <c r="D6585" s="0">
        <v>8</v>
      </c>
      <c r="E6585" s="10">
        <f>HYPERLINK("http://www.lingerieopt.ru/images/original/7df34114-d1c1-4366-afd4-e4cb310aa2e6.jpg","Фото")</f>
      </c>
    </row>
    <row r="6586">
      <c r="A6586" s="7">
        <f>HYPERLINK("http://www.lingerieopt.ru/item/5169-trusiki-slipj-imagine-s-shirokoi-kruzhevnoi-vstavkoi-na-pope/","5169")</f>
      </c>
      <c r="B6586" s="8" t="s">
        <v>6339</v>
      </c>
      <c r="C6586" s="9">
        <v>720</v>
      </c>
      <c r="D6586" s="0">
        <v>6</v>
      </c>
      <c r="E6586" s="10">
        <f>HYPERLINK("http://www.lingerieopt.ru/images/original/05f3d8bc-7bca-41e7-8482-6d557b91eeb5.jpg","Фото")</f>
      </c>
    </row>
    <row r="6587">
      <c r="A6587" s="7">
        <f>HYPERLINK("http://www.lingerieopt.ru/item/5169-trusiki-slipj-imagine-s-shirokoi-kruzhevnoi-vstavkoi-na-pope/","5169")</f>
      </c>
      <c r="B6587" s="8" t="s">
        <v>6340</v>
      </c>
      <c r="C6587" s="9">
        <v>720</v>
      </c>
      <c r="D6587" s="0">
        <v>5</v>
      </c>
      <c r="E6587" s="10">
        <f>HYPERLINK("http://www.lingerieopt.ru/images/original/05f3d8bc-7bca-41e7-8482-6d557b91eeb5.jpg","Фото")</f>
      </c>
    </row>
    <row r="6588">
      <c r="A6588" s="7">
        <f>HYPERLINK("http://www.lingerieopt.ru/item/5169-trusiki-slipj-imagine-s-shirokoi-kruzhevnoi-vstavkoi-na-pope/","5169")</f>
      </c>
      <c r="B6588" s="8" t="s">
        <v>6341</v>
      </c>
      <c r="C6588" s="9">
        <v>720</v>
      </c>
      <c r="D6588" s="0">
        <v>2</v>
      </c>
      <c r="E6588" s="10">
        <f>HYPERLINK("http://www.lingerieopt.ru/images/original/05f3d8bc-7bca-41e7-8482-6d557b91eeb5.jpg","Фото")</f>
      </c>
    </row>
    <row r="6589">
      <c r="A6589" s="7">
        <f>HYPERLINK("http://www.lingerieopt.ru/item/5169-trusiki-slipj-imagine-s-shirokoi-kruzhevnoi-vstavkoi-na-pope/","5169")</f>
      </c>
      <c r="B6589" s="8" t="s">
        <v>6342</v>
      </c>
      <c r="C6589" s="9">
        <v>720</v>
      </c>
      <c r="D6589" s="0">
        <v>2</v>
      </c>
      <c r="E6589" s="10">
        <f>HYPERLINK("http://www.lingerieopt.ru/images/original/05f3d8bc-7bca-41e7-8482-6d557b91eeb5.jpg","Фото")</f>
      </c>
    </row>
    <row r="6590">
      <c r="A6590" s="7">
        <f>HYPERLINK("http://www.lingerieopt.ru/item/5170-otkrjtje-trusiki-keira-iz-kruzheva-v-goroshek-s-miloi-bokovoi-ryushei/","5170")</f>
      </c>
      <c r="B6590" s="8" t="s">
        <v>6343</v>
      </c>
      <c r="C6590" s="9">
        <v>437</v>
      </c>
      <c r="D6590" s="0">
        <v>2</v>
      </c>
      <c r="E6590" s="10">
        <f>HYPERLINK("http://www.lingerieopt.ru/images/original/73152f82-3de3-4fc9-a937-f473c7f397a4.jpg","Фото")</f>
      </c>
    </row>
    <row r="6591">
      <c r="A6591" s="7">
        <f>HYPERLINK("http://www.lingerieopt.ru/item/5170-otkrjtje-trusiki-keira-iz-kruzheva-v-goroshek-s-miloi-bokovoi-ryushei/","5170")</f>
      </c>
      <c r="B6591" s="8" t="s">
        <v>6344</v>
      </c>
      <c r="C6591" s="9">
        <v>437</v>
      </c>
      <c r="D6591" s="0">
        <v>1</v>
      </c>
      <c r="E6591" s="10">
        <f>HYPERLINK("http://www.lingerieopt.ru/images/original/73152f82-3de3-4fc9-a937-f473c7f397a4.jpg","Фото")</f>
      </c>
    </row>
    <row r="6592">
      <c r="A6592" s="7">
        <f>HYPERLINK("http://www.lingerieopt.ru/item/5170-otkrjtje-trusiki-keira-iz-kruzheva-v-goroshek-s-miloi-bokovoi-ryushei/","5170")</f>
      </c>
      <c r="B6592" s="8" t="s">
        <v>6345</v>
      </c>
      <c r="C6592" s="9">
        <v>437</v>
      </c>
      <c r="D6592" s="0">
        <v>2</v>
      </c>
      <c r="E6592" s="10">
        <f>HYPERLINK("http://www.lingerieopt.ru/images/original/73152f82-3de3-4fc9-a937-f473c7f397a4.jpg","Фото")</f>
      </c>
    </row>
    <row r="6593">
      <c r="A6593" s="7">
        <f>HYPERLINK("http://www.lingerieopt.ru/item/5170-otkrjtje-trusiki-keira-iz-kruzheva-v-goroshek-s-miloi-bokovoi-ryushei/","5170")</f>
      </c>
      <c r="B6593" s="8" t="s">
        <v>6346</v>
      </c>
      <c r="C6593" s="9">
        <v>437</v>
      </c>
      <c r="D6593" s="0">
        <v>1</v>
      </c>
      <c r="E6593" s="10">
        <f>HYPERLINK("http://www.lingerieopt.ru/images/original/73152f82-3de3-4fc9-a937-f473c7f397a4.jpg","Фото")</f>
      </c>
    </row>
    <row r="6594">
      <c r="A6594" s="7">
        <f>HYPERLINK("http://www.lingerieopt.ru/item/5171-kruzhevnje-trusiki-slipj-kitten-s-vjrezom/","5171")</f>
      </c>
      <c r="B6594" s="8" t="s">
        <v>6347</v>
      </c>
      <c r="C6594" s="9">
        <v>387</v>
      </c>
      <c r="D6594" s="0">
        <v>13</v>
      </c>
      <c r="E6594" s="10">
        <f>HYPERLINK("http://www.lingerieopt.ru/images/original/372ad242-6be3-4618-af83-651e1fab851b.jpg","Фото")</f>
      </c>
    </row>
    <row r="6595">
      <c r="A6595" s="7">
        <f>HYPERLINK("http://www.lingerieopt.ru/item/5171-kruzhevnje-trusiki-slipj-kitten-s-vjrezom/","5171")</f>
      </c>
      <c r="B6595" s="8" t="s">
        <v>6348</v>
      </c>
      <c r="C6595" s="9">
        <v>387</v>
      </c>
      <c r="D6595" s="0">
        <v>15</v>
      </c>
      <c r="E6595" s="10">
        <f>HYPERLINK("http://www.lingerieopt.ru/images/original/372ad242-6be3-4618-af83-651e1fab851b.jpg","Фото")</f>
      </c>
    </row>
    <row r="6596">
      <c r="A6596" s="7">
        <f>HYPERLINK("http://www.lingerieopt.ru/item/5171-kruzhevnje-trusiki-slipj-kitten-s-vjrezom/","5171")</f>
      </c>
      <c r="B6596" s="8" t="s">
        <v>6349</v>
      </c>
      <c r="C6596" s="9">
        <v>387</v>
      </c>
      <c r="D6596" s="0">
        <v>16</v>
      </c>
      <c r="E6596" s="10">
        <f>HYPERLINK("http://www.lingerieopt.ru/images/original/372ad242-6be3-4618-af83-651e1fab851b.jpg","Фото")</f>
      </c>
    </row>
    <row r="6597">
      <c r="A6597" s="7">
        <f>HYPERLINK("http://www.lingerieopt.ru/item/5171-kruzhevnje-trusiki-slipj-kitten-s-vjrezom/","5171")</f>
      </c>
      <c r="B6597" s="8" t="s">
        <v>6350</v>
      </c>
      <c r="C6597" s="9">
        <v>387</v>
      </c>
      <c r="D6597" s="0">
        <v>14</v>
      </c>
      <c r="E6597" s="10">
        <f>HYPERLINK("http://www.lingerieopt.ru/images/original/372ad242-6be3-4618-af83-651e1fab851b.jpg","Фото")</f>
      </c>
    </row>
    <row r="6598">
      <c r="A6598" s="7">
        <f>HYPERLINK("http://www.lingerieopt.ru/item/5171-kruzhevnje-trusiki-slipj-kitten-s-vjrezom/","5171")</f>
      </c>
      <c r="B6598" s="8" t="s">
        <v>6351</v>
      </c>
      <c r="C6598" s="9">
        <v>387</v>
      </c>
      <c r="D6598" s="0">
        <v>6</v>
      </c>
      <c r="E6598" s="10">
        <f>HYPERLINK("http://www.lingerieopt.ru/images/original/372ad242-6be3-4618-af83-651e1fab851b.jpg","Фото")</f>
      </c>
    </row>
    <row r="6599">
      <c r="A6599" s="7">
        <f>HYPERLINK("http://www.lingerieopt.ru/item/5171-kruzhevnje-trusiki-slipj-kitten-s-vjrezom/","5171")</f>
      </c>
      <c r="B6599" s="8" t="s">
        <v>6352</v>
      </c>
      <c r="C6599" s="9">
        <v>387</v>
      </c>
      <c r="D6599" s="0">
        <v>7</v>
      </c>
      <c r="E6599" s="10">
        <f>HYPERLINK("http://www.lingerieopt.ru/images/original/372ad242-6be3-4618-af83-651e1fab851b.jpg","Фото")</f>
      </c>
    </row>
    <row r="6600">
      <c r="A6600" s="7">
        <f>HYPERLINK("http://www.lingerieopt.ru/item/5171-kruzhevnje-trusiki-slipj-kitten-s-vjrezom/","5171")</f>
      </c>
      <c r="B6600" s="8" t="s">
        <v>6353</v>
      </c>
      <c r="C6600" s="9">
        <v>387</v>
      </c>
      <c r="D6600" s="0">
        <v>7</v>
      </c>
      <c r="E6600" s="10">
        <f>HYPERLINK("http://www.lingerieopt.ru/images/original/372ad242-6be3-4618-af83-651e1fab851b.jpg","Фото")</f>
      </c>
    </row>
    <row r="6601">
      <c r="A6601" s="7">
        <f>HYPERLINK("http://www.lingerieopt.ru/item/5171-kruzhevnje-trusiki-slipj-kitten-s-vjrezom/","5171")</f>
      </c>
      <c r="B6601" s="8" t="s">
        <v>6354</v>
      </c>
      <c r="C6601" s="9">
        <v>387</v>
      </c>
      <c r="D6601" s="0">
        <v>6</v>
      </c>
      <c r="E6601" s="10">
        <f>HYPERLINK("http://www.lingerieopt.ru/images/original/372ad242-6be3-4618-af83-651e1fab851b.jpg","Фото")</f>
      </c>
    </row>
    <row r="6602">
      <c r="A6602" s="7">
        <f>HYPERLINK("http://www.lingerieopt.ru/item/5172-kruzhevnje-trusiki-permission-s-nizkoi-posadkoi-i-otkrjtoi-popoi/","5172")</f>
      </c>
      <c r="B6602" s="8" t="s">
        <v>6355</v>
      </c>
      <c r="C6602" s="9">
        <v>500</v>
      </c>
      <c r="D6602" s="0">
        <v>7</v>
      </c>
      <c r="E6602" s="10">
        <f>HYPERLINK("http://www.lingerieopt.ru/images/original/c08bcfa9-69f0-4ae2-a5b8-a353a9c98e48.jpg","Фото")</f>
      </c>
    </row>
    <row r="6603">
      <c r="A6603" s="7">
        <f>HYPERLINK("http://www.lingerieopt.ru/item/5172-kruzhevnje-trusiki-permission-s-nizkoi-posadkoi-i-otkrjtoi-popoi/","5172")</f>
      </c>
      <c r="B6603" s="8" t="s">
        <v>6356</v>
      </c>
      <c r="C6603" s="9">
        <v>500</v>
      </c>
      <c r="D6603" s="0">
        <v>10</v>
      </c>
      <c r="E6603" s="10">
        <f>HYPERLINK("http://www.lingerieopt.ru/images/original/c08bcfa9-69f0-4ae2-a5b8-a353a9c98e48.jpg","Фото")</f>
      </c>
    </row>
    <row r="6604">
      <c r="A6604" s="7">
        <f>HYPERLINK("http://www.lingerieopt.ru/item/5172-kruzhevnje-trusiki-permission-s-nizkoi-posadkoi-i-otkrjtoi-popoi/","5172")</f>
      </c>
      <c r="B6604" s="8" t="s">
        <v>6357</v>
      </c>
      <c r="C6604" s="9">
        <v>500</v>
      </c>
      <c r="D6604" s="0">
        <v>16</v>
      </c>
      <c r="E6604" s="10">
        <f>HYPERLINK("http://www.lingerieopt.ru/images/original/c08bcfa9-69f0-4ae2-a5b8-a353a9c98e48.jpg","Фото")</f>
      </c>
    </row>
    <row r="6605">
      <c r="A6605" s="7">
        <f>HYPERLINK("http://www.lingerieopt.ru/item/5172-kruzhevnje-trusiki-permission-s-nizkoi-posadkoi-i-otkrjtoi-popoi/","5172")</f>
      </c>
      <c r="B6605" s="8" t="s">
        <v>6358</v>
      </c>
      <c r="C6605" s="9">
        <v>500</v>
      </c>
      <c r="D6605" s="0">
        <v>8</v>
      </c>
      <c r="E6605" s="10">
        <f>HYPERLINK("http://www.lingerieopt.ru/images/original/c08bcfa9-69f0-4ae2-a5b8-a353a9c98e48.jpg","Фото")</f>
      </c>
    </row>
    <row r="6606">
      <c r="A6606" s="7">
        <f>HYPERLINK("http://www.lingerieopt.ru/item/5174-trusiki-slipj-touch-me-s-atlasnjm-bantom/","5174")</f>
      </c>
      <c r="B6606" s="8" t="s">
        <v>6359</v>
      </c>
      <c r="C6606" s="9">
        <v>523</v>
      </c>
      <c r="D6606" s="0">
        <v>0</v>
      </c>
      <c r="E6606" s="10">
        <f>HYPERLINK("http://www.lingerieopt.ru/images/original/82a79475-b343-4228-afa2-ceaf8ab52fda.jpg","Фото")</f>
      </c>
    </row>
    <row r="6607">
      <c r="A6607" s="7">
        <f>HYPERLINK("http://www.lingerieopt.ru/item/5174-trusiki-slipj-touch-me-s-atlasnjm-bantom/","5174")</f>
      </c>
      <c r="B6607" s="8" t="s">
        <v>6360</v>
      </c>
      <c r="C6607" s="9">
        <v>523</v>
      </c>
      <c r="D6607" s="0">
        <v>9</v>
      </c>
      <c r="E6607" s="10">
        <f>HYPERLINK("http://www.lingerieopt.ru/images/original/82a79475-b343-4228-afa2-ceaf8ab52fda.jpg","Фото")</f>
      </c>
    </row>
    <row r="6608">
      <c r="A6608" s="7">
        <f>HYPERLINK("http://www.lingerieopt.ru/item/5174-trusiki-slipj-touch-me-s-atlasnjm-bantom/","5174")</f>
      </c>
      <c r="B6608" s="8" t="s">
        <v>6361</v>
      </c>
      <c r="C6608" s="9">
        <v>523</v>
      </c>
      <c r="D6608" s="0">
        <v>2</v>
      </c>
      <c r="E6608" s="10">
        <f>HYPERLINK("http://www.lingerieopt.ru/images/original/82a79475-b343-4228-afa2-ceaf8ab52fda.jpg","Фото")</f>
      </c>
    </row>
    <row r="6609">
      <c r="A6609" s="7">
        <f>HYPERLINK("http://www.lingerieopt.ru/item/5174-trusiki-slipj-touch-me-s-atlasnjm-bantom/","5174")</f>
      </c>
      <c r="B6609" s="8" t="s">
        <v>6362</v>
      </c>
      <c r="C6609" s="9">
        <v>523</v>
      </c>
      <c r="D6609" s="0">
        <v>7</v>
      </c>
      <c r="E6609" s="10">
        <f>HYPERLINK("http://www.lingerieopt.ru/images/original/82a79475-b343-4228-afa2-ceaf8ab52fda.jpg","Фото")</f>
      </c>
    </row>
    <row r="6610">
      <c r="A6610" s="7">
        <f>HYPERLINK("http://www.lingerieopt.ru/item/5174-trusiki-slipj-touch-me-s-atlasnjm-bantom/","5174")</f>
      </c>
      <c r="B6610" s="8" t="s">
        <v>6363</v>
      </c>
      <c r="C6610" s="9">
        <v>523</v>
      </c>
      <c r="D6610" s="0">
        <v>4</v>
      </c>
      <c r="E6610" s="10">
        <f>HYPERLINK("http://www.lingerieopt.ru/images/original/82a79475-b343-4228-afa2-ceaf8ab52fda.jpg","Фото")</f>
      </c>
    </row>
    <row r="6611">
      <c r="A6611" s="7">
        <f>HYPERLINK("http://www.lingerieopt.ru/item/5174-trusiki-slipj-touch-me-s-atlasnjm-bantom/","5174")</f>
      </c>
      <c r="B6611" s="8" t="s">
        <v>6364</v>
      </c>
      <c r="C6611" s="9">
        <v>523</v>
      </c>
      <c r="D6611" s="0">
        <v>5</v>
      </c>
      <c r="E6611" s="10">
        <f>HYPERLINK("http://www.lingerieopt.ru/images/original/82a79475-b343-4228-afa2-ceaf8ab52fda.jpg","Фото")</f>
      </c>
    </row>
    <row r="6612">
      <c r="A6612" s="7">
        <f>HYPERLINK("http://www.lingerieopt.ru/item/5174-trusiki-slipj-touch-me-s-atlasnjm-bantom/","5174")</f>
      </c>
      <c r="B6612" s="8" t="s">
        <v>6365</v>
      </c>
      <c r="C6612" s="9">
        <v>523</v>
      </c>
      <c r="D6612" s="0">
        <v>3</v>
      </c>
      <c r="E6612" s="10">
        <f>HYPERLINK("http://www.lingerieopt.ru/images/original/82a79475-b343-4228-afa2-ceaf8ab52fda.jpg","Фото")</f>
      </c>
    </row>
    <row r="6613">
      <c r="A6613" s="7">
        <f>HYPERLINK("http://www.lingerieopt.ru/item/5174-trusiki-slipj-touch-me-s-atlasnjm-bantom/","5174")</f>
      </c>
      <c r="B6613" s="8" t="s">
        <v>6366</v>
      </c>
      <c r="C6613" s="9">
        <v>523</v>
      </c>
      <c r="D6613" s="0">
        <v>3</v>
      </c>
      <c r="E6613" s="10">
        <f>HYPERLINK("http://www.lingerieopt.ru/images/original/82a79475-b343-4228-afa2-ceaf8ab52fda.jpg","Фото")</f>
      </c>
    </row>
    <row r="6614">
      <c r="A6614" s="7">
        <f>HYPERLINK("http://www.lingerieopt.ru/item/5175-poluprozrachnje-trusiki-volere-s-treugolnjm-vjrezom/","5175")</f>
      </c>
      <c r="B6614" s="8" t="s">
        <v>6367</v>
      </c>
      <c r="C6614" s="9">
        <v>419</v>
      </c>
      <c r="D6614" s="0">
        <v>0</v>
      </c>
      <c r="E6614" s="10">
        <f>HYPERLINK("http://www.lingerieopt.ru/images/original/651fcd77-86b4-4c0a-8329-44bd7263859c.jpg","Фото")</f>
      </c>
    </row>
    <row r="6615">
      <c r="A6615" s="7">
        <f>HYPERLINK("http://www.lingerieopt.ru/item/5175-poluprozrachnje-trusiki-volere-s-treugolnjm-vjrezom/","5175")</f>
      </c>
      <c r="B6615" s="8" t="s">
        <v>6368</v>
      </c>
      <c r="C6615" s="9">
        <v>419</v>
      </c>
      <c r="D6615" s="0">
        <v>2</v>
      </c>
      <c r="E6615" s="10">
        <f>HYPERLINK("http://www.lingerieopt.ru/images/original/651fcd77-86b4-4c0a-8329-44bd7263859c.jpg","Фото")</f>
      </c>
    </row>
    <row r="6616">
      <c r="A6616" s="7">
        <f>HYPERLINK("http://www.lingerieopt.ru/item/5175-poluprozrachnje-trusiki-volere-s-treugolnjm-vjrezom/","5175")</f>
      </c>
      <c r="B6616" s="8" t="s">
        <v>6369</v>
      </c>
      <c r="C6616" s="9">
        <v>419</v>
      </c>
      <c r="D6616" s="0">
        <v>0</v>
      </c>
      <c r="E6616" s="10">
        <f>HYPERLINK("http://www.lingerieopt.ru/images/original/651fcd77-86b4-4c0a-8329-44bd7263859c.jpg","Фото")</f>
      </c>
    </row>
    <row r="6617">
      <c r="A6617" s="7">
        <f>HYPERLINK("http://www.lingerieopt.ru/item/5190-kruzhevnoi-poyas-dlya-chulok-i-trusiki-stringi/","5190")</f>
      </c>
      <c r="B6617" s="8" t="s">
        <v>6370</v>
      </c>
      <c r="C6617" s="9">
        <v>756</v>
      </c>
      <c r="D6617" s="0">
        <v>5</v>
      </c>
      <c r="E6617" s="10">
        <f>HYPERLINK("http://www.lingerieopt.ru/images/original/f8a585b2-0194-463a-a39a-d5940af0bfa8.jpg","Фото")</f>
      </c>
    </row>
    <row r="6618">
      <c r="A6618" s="7">
        <f>HYPERLINK("http://www.lingerieopt.ru/item/5190-kruzhevnoi-poyas-dlya-chulok-i-trusiki-stringi/","5190")</f>
      </c>
      <c r="B6618" s="8" t="s">
        <v>6371</v>
      </c>
      <c r="C6618" s="9">
        <v>756</v>
      </c>
      <c r="D6618" s="0">
        <v>15</v>
      </c>
      <c r="E6618" s="10">
        <f>HYPERLINK("http://www.lingerieopt.ru/images/original/f8a585b2-0194-463a-a39a-d5940af0bfa8.jpg","Фото")</f>
      </c>
    </row>
    <row r="6619">
      <c r="A6619" s="7">
        <f>HYPERLINK("http://www.lingerieopt.ru/item/5190-kruzhevnoi-poyas-dlya-chulok-i-trusiki-stringi/","5190")</f>
      </c>
      <c r="B6619" s="8" t="s">
        <v>6372</v>
      </c>
      <c r="C6619" s="9">
        <v>756</v>
      </c>
      <c r="D6619" s="0">
        <v>77</v>
      </c>
      <c r="E6619" s="10">
        <f>HYPERLINK("http://www.lingerieopt.ru/images/original/f8a585b2-0194-463a-a39a-d5940af0bfa8.jpg","Фото")</f>
      </c>
    </row>
    <row r="6620">
      <c r="A6620" s="7">
        <f>HYPERLINK("http://www.lingerieopt.ru/item/5190-kruzhevnoi-poyas-dlya-chulok-i-trusiki-stringi/","5190")</f>
      </c>
      <c r="B6620" s="8" t="s">
        <v>6373</v>
      </c>
      <c r="C6620" s="9">
        <v>756</v>
      </c>
      <c r="D6620" s="0">
        <v>10</v>
      </c>
      <c r="E6620" s="10">
        <f>HYPERLINK("http://www.lingerieopt.ru/images/original/f8a585b2-0194-463a-a39a-d5940af0bfa8.jpg","Фото")</f>
      </c>
    </row>
    <row r="6621">
      <c r="A6621" s="7">
        <f>HYPERLINK("http://www.lingerieopt.ru/item/5190-kruzhevnoi-poyas-dlya-chulok-i-trusiki-stringi/","5190")</f>
      </c>
      <c r="B6621" s="8" t="s">
        <v>6374</v>
      </c>
      <c r="C6621" s="9">
        <v>756</v>
      </c>
      <c r="D6621" s="0">
        <v>19</v>
      </c>
      <c r="E6621" s="10">
        <f>HYPERLINK("http://www.lingerieopt.ru/images/original/f8a585b2-0194-463a-a39a-d5940af0bfa8.jpg","Фото")</f>
      </c>
    </row>
    <row r="6622">
      <c r="A6622" s="7">
        <f>HYPERLINK("http://www.lingerieopt.ru/item/5190-kruzhevnoi-poyas-dlya-chulok-i-trusiki-stringi/","5190")</f>
      </c>
      <c r="B6622" s="8" t="s">
        <v>6375</v>
      </c>
      <c r="C6622" s="9">
        <v>756</v>
      </c>
      <c r="D6622" s="0">
        <v>20</v>
      </c>
      <c r="E6622" s="10">
        <f>HYPERLINK("http://www.lingerieopt.ru/images/original/f8a585b2-0194-463a-a39a-d5940af0bfa8.jpg","Фото")</f>
      </c>
    </row>
    <row r="6623">
      <c r="A6623" s="7">
        <f>HYPERLINK("http://www.lingerieopt.ru/item/5193-kruzhevnje-trusiki-iz-setochki/","5193")</f>
      </c>
      <c r="B6623" s="8" t="s">
        <v>6376</v>
      </c>
      <c r="C6623" s="9">
        <v>448</v>
      </c>
      <c r="D6623" s="0">
        <v>27</v>
      </c>
      <c r="E6623" s="10">
        <f>HYPERLINK("http://www.lingerieopt.ru/images/original/a421fc66-cbeb-47d3-a5cc-73e48afdf061.jpg","Фото")</f>
      </c>
    </row>
    <row r="6624">
      <c r="A6624" s="7">
        <f>HYPERLINK("http://www.lingerieopt.ru/item/5193-kruzhevnje-trusiki-iz-setochki/","5193")</f>
      </c>
      <c r="B6624" s="8" t="s">
        <v>6377</v>
      </c>
      <c r="C6624" s="9">
        <v>448</v>
      </c>
      <c r="D6624" s="0">
        <v>0</v>
      </c>
      <c r="E6624" s="10">
        <f>HYPERLINK("http://www.lingerieopt.ru/images/original/a421fc66-cbeb-47d3-a5cc-73e48afdf061.jpg","Фото")</f>
      </c>
    </row>
    <row r="6625">
      <c r="A6625" s="7">
        <f>HYPERLINK("http://www.lingerieopt.ru/item/5193-kruzhevnje-trusiki-iz-setochki/","5193")</f>
      </c>
      <c r="B6625" s="8" t="s">
        <v>6378</v>
      </c>
      <c r="C6625" s="9">
        <v>448</v>
      </c>
      <c r="D6625" s="0">
        <v>5</v>
      </c>
      <c r="E6625" s="10">
        <f>HYPERLINK("http://www.lingerieopt.ru/images/original/a421fc66-cbeb-47d3-a5cc-73e48afdf061.jpg","Фото")</f>
      </c>
    </row>
    <row r="6626">
      <c r="A6626" s="7">
        <f>HYPERLINK("http://www.lingerieopt.ru/item/5193-kruzhevnje-trusiki-iz-setochki/","5193")</f>
      </c>
      <c r="B6626" s="8" t="s">
        <v>6379</v>
      </c>
      <c r="C6626" s="9">
        <v>448</v>
      </c>
      <c r="D6626" s="0">
        <v>22</v>
      </c>
      <c r="E6626" s="10">
        <f>HYPERLINK("http://www.lingerieopt.ru/images/original/a421fc66-cbeb-47d3-a5cc-73e48afdf061.jpg","Фото")</f>
      </c>
    </row>
    <row r="6627">
      <c r="A6627" s="7">
        <f>HYPERLINK("http://www.lingerieopt.ru/item/5193-kruzhevnje-trusiki-iz-setochki/","5193")</f>
      </c>
      <c r="B6627" s="8" t="s">
        <v>6380</v>
      </c>
      <c r="C6627" s="9">
        <v>448</v>
      </c>
      <c r="D6627" s="0">
        <v>5</v>
      </c>
      <c r="E6627" s="10">
        <f>HYPERLINK("http://www.lingerieopt.ru/images/original/a421fc66-cbeb-47d3-a5cc-73e48afdf061.jpg","Фото")</f>
      </c>
    </row>
    <row r="6628">
      <c r="A6628" s="7">
        <f>HYPERLINK("http://www.lingerieopt.ru/item/5193-kruzhevnje-trusiki-iz-setochki/","5193")</f>
      </c>
      <c r="B6628" s="8" t="s">
        <v>6381</v>
      </c>
      <c r="C6628" s="9">
        <v>448</v>
      </c>
      <c r="D6628" s="0">
        <v>18</v>
      </c>
      <c r="E6628" s="10">
        <f>HYPERLINK("http://www.lingerieopt.ru/images/original/a421fc66-cbeb-47d3-a5cc-73e48afdf061.jpg","Фото")</f>
      </c>
    </row>
    <row r="6629">
      <c r="A6629" s="7">
        <f>HYPERLINK("http://www.lingerieopt.ru/item/5196-kruzhevnje-trusiki-s-figurnjmi-vjrezami/","5196")</f>
      </c>
      <c r="B6629" s="8" t="s">
        <v>6382</v>
      </c>
      <c r="C6629" s="9">
        <v>406</v>
      </c>
      <c r="D6629" s="0">
        <v>0</v>
      </c>
      <c r="E6629" s="10">
        <f>HYPERLINK("http://www.lingerieopt.ru/images/original/141b1d25-a8c1-4603-b751-db7a6a0d54e6.jpg","Фото")</f>
      </c>
    </row>
    <row r="6630">
      <c r="A6630" s="7">
        <f>HYPERLINK("http://www.lingerieopt.ru/item/5196-kruzhevnje-trusiki-s-figurnjmi-vjrezami/","5196")</f>
      </c>
      <c r="B6630" s="8" t="s">
        <v>6383</v>
      </c>
      <c r="C6630" s="9">
        <v>406</v>
      </c>
      <c r="D6630" s="0">
        <v>65</v>
      </c>
      <c r="E6630" s="10">
        <f>HYPERLINK("http://www.lingerieopt.ru/images/original/141b1d25-a8c1-4603-b751-db7a6a0d54e6.jpg","Фото")</f>
      </c>
    </row>
    <row r="6631">
      <c r="A6631" s="7">
        <f>HYPERLINK("http://www.lingerieopt.ru/item/5196-kruzhevnje-trusiki-s-figurnjmi-vjrezami/","5196")</f>
      </c>
      <c r="B6631" s="8" t="s">
        <v>6384</v>
      </c>
      <c r="C6631" s="9">
        <v>406</v>
      </c>
      <c r="D6631" s="0">
        <v>12</v>
      </c>
      <c r="E6631" s="10">
        <f>HYPERLINK("http://www.lingerieopt.ru/images/original/141b1d25-a8c1-4603-b751-db7a6a0d54e6.jpg","Фото")</f>
      </c>
    </row>
    <row r="6632">
      <c r="A6632" s="7">
        <f>HYPERLINK("http://www.lingerieopt.ru/item/5196-kruzhevnje-trusiki-s-figurnjmi-vjrezami/","5196")</f>
      </c>
      <c r="B6632" s="8" t="s">
        <v>6385</v>
      </c>
      <c r="C6632" s="9">
        <v>406</v>
      </c>
      <c r="D6632" s="0">
        <v>22</v>
      </c>
      <c r="E6632" s="10">
        <f>HYPERLINK("http://www.lingerieopt.ru/images/original/141b1d25-a8c1-4603-b751-db7a6a0d54e6.jpg","Фото")</f>
      </c>
    </row>
    <row r="6633">
      <c r="A6633" s="7">
        <f>HYPERLINK("http://www.lingerieopt.ru/item/5196-kruzhevnje-trusiki-s-figurnjmi-vjrezami/","5196")</f>
      </c>
      <c r="B6633" s="8" t="s">
        <v>6386</v>
      </c>
      <c r="C6633" s="9">
        <v>406</v>
      </c>
      <c r="D6633" s="0">
        <v>11</v>
      </c>
      <c r="E6633" s="10">
        <f>HYPERLINK("http://www.lingerieopt.ru/images/original/141b1d25-a8c1-4603-b751-db7a6a0d54e6.jpg","Фото")</f>
      </c>
    </row>
    <row r="6634">
      <c r="A6634" s="7">
        <f>HYPERLINK("http://www.lingerieopt.ru/item/5196-kruzhevnje-trusiki-s-figurnjmi-vjrezami/","5196")</f>
      </c>
      <c r="B6634" s="8" t="s">
        <v>6387</v>
      </c>
      <c r="C6634" s="9">
        <v>406</v>
      </c>
      <c r="D6634" s="0">
        <v>50</v>
      </c>
      <c r="E6634" s="10">
        <f>HYPERLINK("http://www.lingerieopt.ru/images/original/141b1d25-a8c1-4603-b751-db7a6a0d54e6.jpg","Фото")</f>
      </c>
    </row>
    <row r="6635">
      <c r="A6635" s="7">
        <f>HYPERLINK("http://www.lingerieopt.ru/item/5196-kruzhevnje-trusiki-s-figurnjmi-vjrezami/","5196")</f>
      </c>
      <c r="B6635" s="8" t="s">
        <v>6388</v>
      </c>
      <c r="C6635" s="9">
        <v>406</v>
      </c>
      <c r="D6635" s="0">
        <v>20</v>
      </c>
      <c r="E6635" s="10">
        <f>HYPERLINK("http://www.lingerieopt.ru/images/original/141b1d25-a8c1-4603-b751-db7a6a0d54e6.jpg","Фото")</f>
      </c>
    </row>
    <row r="6636">
      <c r="A6636" s="7">
        <f>HYPERLINK("http://www.lingerieopt.ru/item/5196-kruzhevnje-trusiki-s-figurnjmi-vjrezami/","5196")</f>
      </c>
      <c r="B6636" s="8" t="s">
        <v>6389</v>
      </c>
      <c r="C6636" s="9">
        <v>406</v>
      </c>
      <c r="D6636" s="0">
        <v>0</v>
      </c>
      <c r="E6636" s="10">
        <f>HYPERLINK("http://www.lingerieopt.ru/images/original/141b1d25-a8c1-4603-b751-db7a6a0d54e6.jpg","Фото")</f>
      </c>
    </row>
    <row r="6637">
      <c r="A6637" s="7">
        <f>HYPERLINK("http://www.lingerieopt.ru/item/5196-kruzhevnje-trusiki-s-figurnjmi-vjrezami/","5196")</f>
      </c>
      <c r="B6637" s="8" t="s">
        <v>6390</v>
      </c>
      <c r="C6637" s="9">
        <v>406</v>
      </c>
      <c r="D6637" s="0">
        <v>0</v>
      </c>
      <c r="E6637" s="10">
        <f>HYPERLINK("http://www.lingerieopt.ru/images/original/141b1d25-a8c1-4603-b751-db7a6a0d54e6.jpg","Фото")</f>
      </c>
    </row>
    <row r="6638">
      <c r="A6638" s="7">
        <f>HYPERLINK("http://www.lingerieopt.ru/item/5197-trusiki-iz-elastichnogo-kruzheva/","5197")</f>
      </c>
      <c r="B6638" s="8" t="s">
        <v>6391</v>
      </c>
      <c r="C6638" s="9">
        <v>425</v>
      </c>
      <c r="D6638" s="0">
        <v>10</v>
      </c>
      <c r="E6638" s="10">
        <f>HYPERLINK("http://www.lingerieopt.ru/images/original/65777a11-9546-4e33-b899-191d7734d620.jpg","Фото")</f>
      </c>
    </row>
    <row r="6639">
      <c r="A6639" s="7">
        <f>HYPERLINK("http://www.lingerieopt.ru/item/5197-trusiki-iz-elastichnogo-kruzheva/","5197")</f>
      </c>
      <c r="B6639" s="8" t="s">
        <v>6392</v>
      </c>
      <c r="C6639" s="9">
        <v>425</v>
      </c>
      <c r="D6639" s="0">
        <v>63</v>
      </c>
      <c r="E6639" s="10">
        <f>HYPERLINK("http://www.lingerieopt.ru/images/original/65777a11-9546-4e33-b899-191d7734d620.jpg","Фото")</f>
      </c>
    </row>
    <row r="6640">
      <c r="A6640" s="7">
        <f>HYPERLINK("http://www.lingerieopt.ru/item/5197-trusiki-iz-elastichnogo-kruzheva/","5197")</f>
      </c>
      <c r="B6640" s="8" t="s">
        <v>6393</v>
      </c>
      <c r="C6640" s="9">
        <v>425</v>
      </c>
      <c r="D6640" s="0">
        <v>23</v>
      </c>
      <c r="E6640" s="10">
        <f>HYPERLINK("http://www.lingerieopt.ru/images/original/65777a11-9546-4e33-b899-191d7734d620.jpg","Фото")</f>
      </c>
    </row>
    <row r="6641">
      <c r="A6641" s="7">
        <f>HYPERLINK("http://www.lingerieopt.ru/item/5197-trusiki-iz-elastichnogo-kruzheva/","5197")</f>
      </c>
      <c r="B6641" s="8" t="s">
        <v>6394</v>
      </c>
      <c r="C6641" s="9">
        <v>425</v>
      </c>
      <c r="D6641" s="0">
        <v>56</v>
      </c>
      <c r="E6641" s="10">
        <f>HYPERLINK("http://www.lingerieopt.ru/images/original/65777a11-9546-4e33-b899-191d7734d620.jpg","Фото")</f>
      </c>
    </row>
    <row r="6642">
      <c r="A6642" s="7">
        <f>HYPERLINK("http://www.lingerieopt.ru/item/5197-trusiki-iz-elastichnogo-kruzheva/","5197")</f>
      </c>
      <c r="B6642" s="8" t="s">
        <v>6395</v>
      </c>
      <c r="C6642" s="9">
        <v>425</v>
      </c>
      <c r="D6642" s="0">
        <v>4</v>
      </c>
      <c r="E6642" s="10">
        <f>HYPERLINK("http://www.lingerieopt.ru/images/original/65777a11-9546-4e33-b899-191d7734d620.jpg","Фото")</f>
      </c>
    </row>
    <row r="6643">
      <c r="A6643" s="7">
        <f>HYPERLINK("http://www.lingerieopt.ru/item/5197-trusiki-iz-elastichnogo-kruzheva/","5197")</f>
      </c>
      <c r="B6643" s="8" t="s">
        <v>6396</v>
      </c>
      <c r="C6643" s="9">
        <v>425</v>
      </c>
      <c r="D6643" s="0">
        <v>2</v>
      </c>
      <c r="E6643" s="10">
        <f>HYPERLINK("http://www.lingerieopt.ru/images/original/65777a11-9546-4e33-b899-191d7734d620.jpg","Фото")</f>
      </c>
    </row>
    <row r="6644">
      <c r="A6644" s="7">
        <f>HYPERLINK("http://www.lingerieopt.ru/item/5197-trusiki-iz-elastichnogo-kruzheva/","5197")</f>
      </c>
      <c r="B6644" s="8" t="s">
        <v>6397</v>
      </c>
      <c r="C6644" s="9">
        <v>425</v>
      </c>
      <c r="D6644" s="0">
        <v>6</v>
      </c>
      <c r="E6644" s="10">
        <f>HYPERLINK("http://www.lingerieopt.ru/images/original/65777a11-9546-4e33-b899-191d7734d620.jpg","Фото")</f>
      </c>
    </row>
    <row r="6645">
      <c r="A6645" s="7">
        <f>HYPERLINK("http://www.lingerieopt.ru/item/5197-trusiki-iz-elastichnogo-kruzheva/","5197")</f>
      </c>
      <c r="B6645" s="8" t="s">
        <v>6398</v>
      </c>
      <c r="C6645" s="9">
        <v>425</v>
      </c>
      <c r="D6645" s="0">
        <v>21</v>
      </c>
      <c r="E6645" s="10">
        <f>HYPERLINK("http://www.lingerieopt.ru/images/original/65777a11-9546-4e33-b899-191d7734d620.jpg","Фото")</f>
      </c>
    </row>
    <row r="6646">
      <c r="A6646" s="7">
        <f>HYPERLINK("http://www.lingerieopt.ru/item/5197-trusiki-iz-elastichnogo-kruzheva/","5197")</f>
      </c>
      <c r="B6646" s="8" t="s">
        <v>6399</v>
      </c>
      <c r="C6646" s="9">
        <v>425</v>
      </c>
      <c r="D6646" s="0">
        <v>28</v>
      </c>
      <c r="E6646" s="10">
        <f>HYPERLINK("http://www.lingerieopt.ru/images/original/65777a11-9546-4e33-b899-191d7734d620.jpg","Фото")</f>
      </c>
    </row>
    <row r="6647">
      <c r="A6647" s="7">
        <f>HYPERLINK("http://www.lingerieopt.ru/item/5199-trusiki-poyas-iz-elastichnogo-kruzheva-s-pazhami-dlya-chulok/","5199")</f>
      </c>
      <c r="B6647" s="8" t="s">
        <v>6400</v>
      </c>
      <c r="C6647" s="9">
        <v>666</v>
      </c>
      <c r="D6647" s="0">
        <v>48</v>
      </c>
      <c r="E6647" s="10">
        <f>HYPERLINK("http://www.lingerieopt.ru/images/original/79c79788-bbf0-480d-ac22-41fbd5b8f1a7.jpg","Фото")</f>
      </c>
    </row>
    <row r="6648">
      <c r="A6648" s="7">
        <f>HYPERLINK("http://www.lingerieopt.ru/item/5199-trusiki-poyas-iz-elastichnogo-kruzheva-s-pazhami-dlya-chulok/","5199")</f>
      </c>
      <c r="B6648" s="8" t="s">
        <v>6401</v>
      </c>
      <c r="C6648" s="9">
        <v>666</v>
      </c>
      <c r="D6648" s="0">
        <v>1</v>
      </c>
      <c r="E6648" s="10">
        <f>HYPERLINK("http://www.lingerieopt.ru/images/original/79c79788-bbf0-480d-ac22-41fbd5b8f1a7.jpg","Фото")</f>
      </c>
    </row>
    <row r="6649">
      <c r="A6649" s="7">
        <f>HYPERLINK("http://www.lingerieopt.ru/item/5199-trusiki-poyas-iz-elastichnogo-kruzheva-s-pazhami-dlya-chulok/","5199")</f>
      </c>
      <c r="B6649" s="8" t="s">
        <v>6402</v>
      </c>
      <c r="C6649" s="9">
        <v>666</v>
      </c>
      <c r="D6649" s="0">
        <v>6</v>
      </c>
      <c r="E6649" s="10">
        <f>HYPERLINK("http://www.lingerieopt.ru/images/original/79c79788-bbf0-480d-ac22-41fbd5b8f1a7.jpg","Фото")</f>
      </c>
    </row>
    <row r="6650">
      <c r="A6650" s="7">
        <f>HYPERLINK("http://www.lingerieopt.ru/item/5199-trusiki-poyas-iz-elastichnogo-kruzheva-s-pazhami-dlya-chulok/","5199")</f>
      </c>
      <c r="B6650" s="8" t="s">
        <v>6403</v>
      </c>
      <c r="C6650" s="9">
        <v>666</v>
      </c>
      <c r="D6650" s="0">
        <v>9</v>
      </c>
      <c r="E6650" s="10">
        <f>HYPERLINK("http://www.lingerieopt.ru/images/original/79c79788-bbf0-480d-ac22-41fbd5b8f1a7.jpg","Фото")</f>
      </c>
    </row>
    <row r="6651">
      <c r="A6651" s="7">
        <f>HYPERLINK("http://www.lingerieopt.ru/item/5199-trusiki-poyas-iz-elastichnogo-kruzheva-s-pazhami-dlya-chulok/","5199")</f>
      </c>
      <c r="B6651" s="8" t="s">
        <v>6404</v>
      </c>
      <c r="C6651" s="9">
        <v>666</v>
      </c>
      <c r="D6651" s="0">
        <v>28</v>
      </c>
      <c r="E6651" s="10">
        <f>HYPERLINK("http://www.lingerieopt.ru/images/original/79c79788-bbf0-480d-ac22-41fbd5b8f1a7.jpg","Фото")</f>
      </c>
    </row>
    <row r="6652">
      <c r="A6652" s="7">
        <f>HYPERLINK("http://www.lingerieopt.ru/item/5199-trusiki-poyas-iz-elastichnogo-kruzheva-s-pazhami-dlya-chulok/","5199")</f>
      </c>
      <c r="B6652" s="8" t="s">
        <v>6405</v>
      </c>
      <c r="C6652" s="9">
        <v>666</v>
      </c>
      <c r="D6652" s="0">
        <v>1</v>
      </c>
      <c r="E6652" s="10">
        <f>HYPERLINK("http://www.lingerieopt.ru/images/original/79c79788-bbf0-480d-ac22-41fbd5b8f1a7.jpg","Фото")</f>
      </c>
    </row>
    <row r="6653">
      <c r="A6653" s="7">
        <f>HYPERLINK("http://www.lingerieopt.ru/item/5200-trusiki-yubochka-s-kruzhevnoi-vstavkoi/","5200")</f>
      </c>
      <c r="B6653" s="8" t="s">
        <v>6406</v>
      </c>
      <c r="C6653" s="9">
        <v>398</v>
      </c>
      <c r="D6653" s="0">
        <v>6</v>
      </c>
      <c r="E6653" s="10">
        <f>HYPERLINK("http://www.lingerieopt.ru/images/original/8a313fcd-f6f0-4021-a031-618d2836c5c8.jpg","Фото")</f>
      </c>
    </row>
    <row r="6654">
      <c r="A6654" s="7">
        <f>HYPERLINK("http://www.lingerieopt.ru/item/5200-trusiki-yubochka-s-kruzhevnoi-vstavkoi/","5200")</f>
      </c>
      <c r="B6654" s="8" t="s">
        <v>6407</v>
      </c>
      <c r="C6654" s="9">
        <v>398</v>
      </c>
      <c r="D6654" s="0">
        <v>8</v>
      </c>
      <c r="E6654" s="10">
        <f>HYPERLINK("http://www.lingerieopt.ru/images/original/8a313fcd-f6f0-4021-a031-618d2836c5c8.jpg","Фото")</f>
      </c>
    </row>
    <row r="6655">
      <c r="A6655" s="7">
        <f>HYPERLINK("http://www.lingerieopt.ru/item/5200-trusiki-yubochka-s-kruzhevnoi-vstavkoi/","5200")</f>
      </c>
      <c r="B6655" s="8" t="s">
        <v>6408</v>
      </c>
      <c r="C6655" s="9">
        <v>398</v>
      </c>
      <c r="D6655" s="0">
        <v>11</v>
      </c>
      <c r="E6655" s="10">
        <f>HYPERLINK("http://www.lingerieopt.ru/images/original/8a313fcd-f6f0-4021-a031-618d2836c5c8.jpg","Фото")</f>
      </c>
    </row>
    <row r="6656">
      <c r="A6656" s="7">
        <f>HYPERLINK("http://www.lingerieopt.ru/item/5200-trusiki-yubochka-s-kruzhevnoi-vstavkoi/","5200")</f>
      </c>
      <c r="B6656" s="8" t="s">
        <v>6409</v>
      </c>
      <c r="C6656" s="9">
        <v>398</v>
      </c>
      <c r="D6656" s="0">
        <v>2</v>
      </c>
      <c r="E6656" s="10">
        <f>HYPERLINK("http://www.lingerieopt.ru/images/original/8a313fcd-f6f0-4021-a031-618d2836c5c8.jpg","Фото")</f>
      </c>
    </row>
    <row r="6657">
      <c r="A6657" s="7">
        <f>HYPERLINK("http://www.lingerieopt.ru/item/5200-trusiki-yubochka-s-kruzhevnoi-vstavkoi/","5200")</f>
      </c>
      <c r="B6657" s="8" t="s">
        <v>6410</v>
      </c>
      <c r="C6657" s="9">
        <v>398</v>
      </c>
      <c r="D6657" s="0">
        <v>11</v>
      </c>
      <c r="E6657" s="10">
        <f>HYPERLINK("http://www.lingerieopt.ru/images/original/8a313fcd-f6f0-4021-a031-618d2836c5c8.jpg","Фото")</f>
      </c>
    </row>
    <row r="6658">
      <c r="A6658" s="7">
        <f>HYPERLINK("http://www.lingerieopt.ru/item/5200-trusiki-yubochka-s-kruzhevnoi-vstavkoi/","5200")</f>
      </c>
      <c r="B6658" s="8" t="s">
        <v>6411</v>
      </c>
      <c r="C6658" s="9">
        <v>398</v>
      </c>
      <c r="D6658" s="0">
        <v>4</v>
      </c>
      <c r="E6658" s="10">
        <f>HYPERLINK("http://www.lingerieopt.ru/images/original/8a313fcd-f6f0-4021-a031-618d2836c5c8.jpg","Фото")</f>
      </c>
    </row>
    <row r="6659">
      <c r="A6659" s="7">
        <f>HYPERLINK("http://www.lingerieopt.ru/item/5205-kruzhevnoi-poyas-s-pazhami-dlya-chulok-i-trusiki/","5205")</f>
      </c>
      <c r="B6659" s="8" t="s">
        <v>6412</v>
      </c>
      <c r="C6659" s="9">
        <v>749</v>
      </c>
      <c r="D6659" s="0">
        <v>31</v>
      </c>
      <c r="E6659" s="10">
        <f>HYPERLINK("http://www.lingerieopt.ru/images/original/b8916d43-7210-4869-8ad5-00f8e8c16741.jpg","Фото")</f>
      </c>
    </row>
    <row r="6660">
      <c r="A6660" s="7">
        <f>HYPERLINK("http://www.lingerieopt.ru/item/5205-kruzhevnoi-poyas-s-pazhami-dlya-chulok-i-trusiki/","5205")</f>
      </c>
      <c r="B6660" s="8" t="s">
        <v>6413</v>
      </c>
      <c r="C6660" s="9">
        <v>749</v>
      </c>
      <c r="D6660" s="0">
        <v>6</v>
      </c>
      <c r="E6660" s="10">
        <f>HYPERLINK("http://www.lingerieopt.ru/images/original/b8916d43-7210-4869-8ad5-00f8e8c16741.jpg","Фото")</f>
      </c>
    </row>
    <row r="6661">
      <c r="A6661" s="7">
        <f>HYPERLINK("http://www.lingerieopt.ru/item/5205-kruzhevnoi-poyas-s-pazhami-dlya-chulok-i-trusiki/","5205")</f>
      </c>
      <c r="B6661" s="8" t="s">
        <v>6414</v>
      </c>
      <c r="C6661" s="9">
        <v>749</v>
      </c>
      <c r="D6661" s="0">
        <v>0</v>
      </c>
      <c r="E6661" s="10">
        <f>HYPERLINK("http://www.lingerieopt.ru/images/original/b8916d43-7210-4869-8ad5-00f8e8c16741.jpg","Фото")</f>
      </c>
    </row>
    <row r="6662">
      <c r="A6662" s="7">
        <f>HYPERLINK("http://www.lingerieopt.ru/item/5205-kruzhevnoi-poyas-s-pazhami-dlya-chulok-i-trusiki/","5205")</f>
      </c>
      <c r="B6662" s="8" t="s">
        <v>6415</v>
      </c>
      <c r="C6662" s="9">
        <v>749</v>
      </c>
      <c r="D6662" s="0">
        <v>6</v>
      </c>
      <c r="E6662" s="10">
        <f>HYPERLINK("http://www.lingerieopt.ru/images/original/b8916d43-7210-4869-8ad5-00f8e8c16741.jpg","Фото")</f>
      </c>
    </row>
    <row r="6663">
      <c r="A6663" s="7">
        <f>HYPERLINK("http://www.lingerieopt.ru/item/5205-kruzhevnoi-poyas-s-pazhami-dlya-chulok-i-trusiki/","5205")</f>
      </c>
      <c r="B6663" s="8" t="s">
        <v>6416</v>
      </c>
      <c r="C6663" s="9">
        <v>749</v>
      </c>
      <c r="D6663" s="0">
        <v>7</v>
      </c>
      <c r="E6663" s="10">
        <f>HYPERLINK("http://www.lingerieopt.ru/images/original/b8916d43-7210-4869-8ad5-00f8e8c16741.jpg","Фото")</f>
      </c>
    </row>
    <row r="6664">
      <c r="A6664" s="7">
        <f>HYPERLINK("http://www.lingerieopt.ru/item/5205-kruzhevnoi-poyas-s-pazhami-dlya-chulok-i-trusiki/","5205")</f>
      </c>
      <c r="B6664" s="8" t="s">
        <v>6417</v>
      </c>
      <c r="C6664" s="9">
        <v>749</v>
      </c>
      <c r="D6664" s="0">
        <v>0</v>
      </c>
      <c r="E6664" s="10">
        <f>HYPERLINK("http://www.lingerieopt.ru/images/original/b8916d43-7210-4869-8ad5-00f8e8c16741.jpg","Фото")</f>
      </c>
    </row>
    <row r="6665">
      <c r="A6665" s="7">
        <f>HYPERLINK("http://www.lingerieopt.ru/item/5205-kruzhevnoi-poyas-s-pazhami-dlya-chulok-i-trusiki/","5205")</f>
      </c>
      <c r="B6665" s="8" t="s">
        <v>6418</v>
      </c>
      <c r="C6665" s="9">
        <v>749</v>
      </c>
      <c r="D6665" s="0">
        <v>13</v>
      </c>
      <c r="E6665" s="10">
        <f>HYPERLINK("http://www.lingerieopt.ru/images/original/b8916d43-7210-4869-8ad5-00f8e8c16741.jpg","Фото")</f>
      </c>
    </row>
    <row r="6666">
      <c r="A6666" s="7">
        <f>HYPERLINK("http://www.lingerieopt.ru/item/5205-kruzhevnoi-poyas-s-pazhami-dlya-chulok-i-trusiki/","5205")</f>
      </c>
      <c r="B6666" s="8" t="s">
        <v>6419</v>
      </c>
      <c r="C6666" s="9">
        <v>749</v>
      </c>
      <c r="D6666" s="0">
        <v>14</v>
      </c>
      <c r="E6666" s="10">
        <f>HYPERLINK("http://www.lingerieopt.ru/images/original/b8916d43-7210-4869-8ad5-00f8e8c16741.jpg","Фото")</f>
      </c>
    </row>
    <row r="6667">
      <c r="A6667" s="7">
        <f>HYPERLINK("http://www.lingerieopt.ru/item/5205-kruzhevnoi-poyas-s-pazhami-dlya-chulok-i-trusiki/","5205")</f>
      </c>
      <c r="B6667" s="8" t="s">
        <v>6420</v>
      </c>
      <c r="C6667" s="9">
        <v>749</v>
      </c>
      <c r="D6667" s="0">
        <v>10</v>
      </c>
      <c r="E6667" s="10">
        <f>HYPERLINK("http://www.lingerieopt.ru/images/original/b8916d43-7210-4869-8ad5-00f8e8c16741.jpg","Фото")</f>
      </c>
    </row>
    <row r="6668">
      <c r="A6668" s="7">
        <f>HYPERLINK("http://www.lingerieopt.ru/item/5205-kruzhevnoi-poyas-s-pazhami-dlya-chulok-i-trusiki/","5205")</f>
      </c>
      <c r="B6668" s="8" t="s">
        <v>6421</v>
      </c>
      <c r="C6668" s="9">
        <v>749</v>
      </c>
      <c r="D6668" s="0">
        <v>14</v>
      </c>
      <c r="E6668" s="10">
        <f>HYPERLINK("http://www.lingerieopt.ru/images/original/b8916d43-7210-4869-8ad5-00f8e8c16741.jpg","Фото")</f>
      </c>
    </row>
    <row r="6669">
      <c r="A6669" s="7">
        <f>HYPERLINK("http://www.lingerieopt.ru/item/5205-kruzhevnoi-poyas-s-pazhami-dlya-chulok-i-trusiki/","5205")</f>
      </c>
      <c r="B6669" s="8" t="s">
        <v>6422</v>
      </c>
      <c r="C6669" s="9">
        <v>749</v>
      </c>
      <c r="D6669" s="0">
        <v>4</v>
      </c>
      <c r="E6669" s="10">
        <f>HYPERLINK("http://www.lingerieopt.ru/images/original/b8916d43-7210-4869-8ad5-00f8e8c16741.jpg","Фото")</f>
      </c>
    </row>
    <row r="6670">
      <c r="A6670" s="7">
        <f>HYPERLINK("http://www.lingerieopt.ru/item/5205-kruzhevnoi-poyas-s-pazhami-dlya-chulok-i-trusiki/","5205")</f>
      </c>
      <c r="B6670" s="8" t="s">
        <v>6423</v>
      </c>
      <c r="C6670" s="9">
        <v>749</v>
      </c>
      <c r="D6670" s="0">
        <v>53</v>
      </c>
      <c r="E6670" s="10">
        <f>HYPERLINK("http://www.lingerieopt.ru/images/original/b8916d43-7210-4869-8ad5-00f8e8c16741.jpg","Фото")</f>
      </c>
    </row>
    <row r="6671">
      <c r="A6671" s="7">
        <f>HYPERLINK("http://www.lingerieopt.ru/item/5205-kruzhevnoi-poyas-s-pazhami-dlya-chulok-i-trusiki/","5205")</f>
      </c>
      <c r="B6671" s="8" t="s">
        <v>6424</v>
      </c>
      <c r="C6671" s="9">
        <v>749</v>
      </c>
      <c r="D6671" s="0">
        <v>8</v>
      </c>
      <c r="E6671" s="10">
        <f>HYPERLINK("http://www.lingerieopt.ru/images/original/b8916d43-7210-4869-8ad5-00f8e8c16741.jpg","Фото")</f>
      </c>
    </row>
    <row r="6672">
      <c r="A6672" s="7">
        <f>HYPERLINK("http://www.lingerieopt.ru/item/5205-kruzhevnoi-poyas-s-pazhami-dlya-chulok-i-trusiki/","5205")</f>
      </c>
      <c r="B6672" s="8" t="s">
        <v>6425</v>
      </c>
      <c r="C6672" s="9">
        <v>749</v>
      </c>
      <c r="D6672" s="0">
        <v>26</v>
      </c>
      <c r="E6672" s="10">
        <f>HYPERLINK("http://www.lingerieopt.ru/images/original/b8916d43-7210-4869-8ad5-00f8e8c16741.jpg","Фото")</f>
      </c>
    </row>
    <row r="6673">
      <c r="A6673" s="7">
        <f>HYPERLINK("http://www.lingerieopt.ru/item/5205-kruzhevnoi-poyas-s-pazhami-dlya-chulok-i-trusiki/","5205")</f>
      </c>
      <c r="B6673" s="8" t="s">
        <v>6426</v>
      </c>
      <c r="C6673" s="9">
        <v>749</v>
      </c>
      <c r="D6673" s="0">
        <v>0</v>
      </c>
      <c r="E6673" s="10">
        <f>HYPERLINK("http://www.lingerieopt.ru/images/original/b8916d43-7210-4869-8ad5-00f8e8c16741.jpg","Фото")</f>
      </c>
    </row>
    <row r="6674">
      <c r="A6674" s="7">
        <f>HYPERLINK("http://www.lingerieopt.ru/item/5210-prelestnje-trusiki-s-tonenkimi-bretelyami-na-pope/","5210")</f>
      </c>
      <c r="B6674" s="8" t="s">
        <v>6427</v>
      </c>
      <c r="C6674" s="9">
        <v>606</v>
      </c>
      <c r="D6674" s="0">
        <v>7</v>
      </c>
      <c r="E6674" s="10">
        <f>HYPERLINK("http://www.lingerieopt.ru/images/original/ee5eb006-a6a9-481e-a5f3-e3f811dd2769.jpg","Фото")</f>
      </c>
    </row>
    <row r="6675">
      <c r="A6675" s="7">
        <f>HYPERLINK("http://www.lingerieopt.ru/item/5210-prelestnje-trusiki-s-tonenkimi-bretelyami-na-pope/","5210")</f>
      </c>
      <c r="B6675" s="8" t="s">
        <v>6428</v>
      </c>
      <c r="C6675" s="9">
        <v>606</v>
      </c>
      <c r="D6675" s="0">
        <v>4</v>
      </c>
      <c r="E6675" s="10">
        <f>HYPERLINK("http://www.lingerieopt.ru/images/original/ee5eb006-a6a9-481e-a5f3-e3f811dd2769.jpg","Фото")</f>
      </c>
    </row>
    <row r="6676">
      <c r="A6676" s="7">
        <f>HYPERLINK("http://www.lingerieopt.ru/item/5210-prelestnje-trusiki-s-tonenkimi-bretelyami-na-pope/","5210")</f>
      </c>
      <c r="B6676" s="8" t="s">
        <v>6429</v>
      </c>
      <c r="C6676" s="9">
        <v>606</v>
      </c>
      <c r="D6676" s="0">
        <v>10</v>
      </c>
      <c r="E6676" s="10">
        <f>HYPERLINK("http://www.lingerieopt.ru/images/original/ee5eb006-a6a9-481e-a5f3-e3f811dd2769.jpg","Фото")</f>
      </c>
    </row>
    <row r="6677">
      <c r="A6677" s="7">
        <f>HYPERLINK("http://www.lingerieopt.ru/item/5210-prelestnje-trusiki-s-tonenkimi-bretelyami-na-pope/","5210")</f>
      </c>
      <c r="B6677" s="8" t="s">
        <v>6430</v>
      </c>
      <c r="C6677" s="9">
        <v>606</v>
      </c>
      <c r="D6677" s="0">
        <v>8</v>
      </c>
      <c r="E6677" s="10">
        <f>HYPERLINK("http://www.lingerieopt.ru/images/original/ee5eb006-a6a9-481e-a5f3-e3f811dd2769.jpg","Фото")</f>
      </c>
    </row>
    <row r="6678">
      <c r="A6678" s="7">
        <f>HYPERLINK("http://www.lingerieopt.ru/item/5211-originalnje-trusiki-stringi-s-kruzhevami-i-strazami/","5211")</f>
      </c>
      <c r="B6678" s="8" t="s">
        <v>6431</v>
      </c>
      <c r="C6678" s="9">
        <v>550</v>
      </c>
      <c r="D6678" s="0">
        <v>17</v>
      </c>
      <c r="E6678" s="10">
        <f>HYPERLINK("http://www.lingerieopt.ru/images/original/86a3036e-ea26-4afc-a520-71b1c31ed1f1.jpg","Фото")</f>
      </c>
    </row>
    <row r="6679">
      <c r="A6679" s="7">
        <f>HYPERLINK("http://www.lingerieopt.ru/item/5211-originalnje-trusiki-stringi-s-kruzhevami-i-strazami/","5211")</f>
      </c>
      <c r="B6679" s="8" t="s">
        <v>6432</v>
      </c>
      <c r="C6679" s="9">
        <v>550</v>
      </c>
      <c r="D6679" s="0">
        <v>7</v>
      </c>
      <c r="E6679" s="10">
        <f>HYPERLINK("http://www.lingerieopt.ru/images/original/86a3036e-ea26-4afc-a520-71b1c31ed1f1.jpg","Фото")</f>
      </c>
    </row>
    <row r="6680">
      <c r="A6680" s="7">
        <f>HYPERLINK("http://www.lingerieopt.ru/item/5211-originalnje-trusiki-stringi-s-kruzhevami-i-strazami/","5211")</f>
      </c>
      <c r="B6680" s="8" t="s">
        <v>6433</v>
      </c>
      <c r="C6680" s="9">
        <v>550</v>
      </c>
      <c r="D6680" s="0">
        <v>0</v>
      </c>
      <c r="E6680" s="10">
        <f>HYPERLINK("http://www.lingerieopt.ru/images/original/86a3036e-ea26-4afc-a520-71b1c31ed1f1.jpg","Фото")</f>
      </c>
    </row>
    <row r="6681">
      <c r="A6681" s="7">
        <f>HYPERLINK("http://www.lingerieopt.ru/item/5211-originalnje-trusiki-stringi-s-kruzhevami-i-strazami/","5211")</f>
      </c>
      <c r="B6681" s="8" t="s">
        <v>6434</v>
      </c>
      <c r="C6681" s="9">
        <v>550</v>
      </c>
      <c r="D6681" s="0">
        <v>15</v>
      </c>
      <c r="E6681" s="10">
        <f>HYPERLINK("http://www.lingerieopt.ru/images/original/86a3036e-ea26-4afc-a520-71b1c31ed1f1.jpg","Фото")</f>
      </c>
    </row>
    <row r="6682">
      <c r="A6682" s="7">
        <f>HYPERLINK("http://www.lingerieopt.ru/item/5212-azhurnje-trusiki-stringi-s-razrezom-i-dvoinjmi-bretelyami/","5212")</f>
      </c>
      <c r="B6682" s="8" t="s">
        <v>6435</v>
      </c>
      <c r="C6682" s="9">
        <v>526</v>
      </c>
      <c r="D6682" s="0">
        <v>18</v>
      </c>
      <c r="E6682" s="10">
        <f>HYPERLINK("http://www.lingerieopt.ru/images/original/f65eeba8-8f6c-448c-a075-618ff7017a0b.jpg","Фото")</f>
      </c>
    </row>
    <row r="6683">
      <c r="A6683" s="7">
        <f>HYPERLINK("http://www.lingerieopt.ru/item/5212-azhurnje-trusiki-stringi-s-razrezom-i-dvoinjmi-bretelyami/","5212")</f>
      </c>
      <c r="B6683" s="8" t="s">
        <v>6436</v>
      </c>
      <c r="C6683" s="9">
        <v>526</v>
      </c>
      <c r="D6683" s="0">
        <v>17</v>
      </c>
      <c r="E6683" s="10">
        <f>HYPERLINK("http://www.lingerieopt.ru/images/original/f65eeba8-8f6c-448c-a075-618ff7017a0b.jpg","Фото")</f>
      </c>
    </row>
    <row r="6684">
      <c r="A6684" s="7">
        <f>HYPERLINK("http://www.lingerieopt.ru/item/5212-azhurnje-trusiki-stringi-s-razrezom-i-dvoinjmi-bretelyami/","5212")</f>
      </c>
      <c r="B6684" s="8" t="s">
        <v>6437</v>
      </c>
      <c r="C6684" s="9">
        <v>526</v>
      </c>
      <c r="D6684" s="0">
        <v>2</v>
      </c>
      <c r="E6684" s="10">
        <f>HYPERLINK("http://www.lingerieopt.ru/images/original/f65eeba8-8f6c-448c-a075-618ff7017a0b.jpg","Фото")</f>
      </c>
    </row>
    <row r="6685">
      <c r="A6685" s="7">
        <f>HYPERLINK("http://www.lingerieopt.ru/item/5213-otkrjtje-trusiki-stringi-s-shirokim-kruzhevnjm-poyaskom/","5213")</f>
      </c>
      <c r="B6685" s="8" t="s">
        <v>6438</v>
      </c>
      <c r="C6685" s="9">
        <v>593</v>
      </c>
      <c r="D6685" s="0">
        <v>12</v>
      </c>
      <c r="E6685" s="10">
        <f>HYPERLINK("http://www.lingerieopt.ru/images/original/64c247d4-de9f-4b69-a53b-d084a34ff264.jpg","Фото")</f>
      </c>
    </row>
    <row r="6686">
      <c r="A6686" s="7">
        <f>HYPERLINK("http://www.lingerieopt.ru/item/5213-otkrjtje-trusiki-stringi-s-shirokim-kruzhevnjm-poyaskom/","5213")</f>
      </c>
      <c r="B6686" s="8" t="s">
        <v>6439</v>
      </c>
      <c r="C6686" s="9">
        <v>593</v>
      </c>
      <c r="D6686" s="0">
        <v>12</v>
      </c>
      <c r="E6686" s="10">
        <f>HYPERLINK("http://www.lingerieopt.ru/images/original/64c247d4-de9f-4b69-a53b-d084a34ff264.jpg","Фото")</f>
      </c>
    </row>
    <row r="6687">
      <c r="A6687" s="7">
        <f>HYPERLINK("http://www.lingerieopt.ru/item/5215-kruzhevnje-trusiki-stringi-s-dvoinjmi-bretelyami/","5215")</f>
      </c>
      <c r="B6687" s="8" t="s">
        <v>6440</v>
      </c>
      <c r="C6687" s="9">
        <v>550</v>
      </c>
      <c r="D6687" s="0">
        <v>21</v>
      </c>
      <c r="E6687" s="10">
        <f>HYPERLINK("http://www.lingerieopt.ru/images/original/437b752c-5204-41dd-9fcf-3a221dc97a9c.jpg","Фото")</f>
      </c>
    </row>
    <row r="6688">
      <c r="A6688" s="7">
        <f>HYPERLINK("http://www.lingerieopt.ru/item/5215-kruzhevnje-trusiki-stringi-s-dvoinjmi-bretelyami/","5215")</f>
      </c>
      <c r="B6688" s="8" t="s">
        <v>6441</v>
      </c>
      <c r="C6688" s="9">
        <v>550</v>
      </c>
      <c r="D6688" s="0">
        <v>19</v>
      </c>
      <c r="E6688" s="10">
        <f>HYPERLINK("http://www.lingerieopt.ru/images/original/437b752c-5204-41dd-9fcf-3a221dc97a9c.jpg","Фото")</f>
      </c>
    </row>
    <row r="6689">
      <c r="A6689" s="7">
        <f>HYPERLINK("http://www.lingerieopt.ru/item/5215-kruzhevnje-trusiki-stringi-s-dvoinjmi-bretelyami/","5215")</f>
      </c>
      <c r="B6689" s="8" t="s">
        <v>6442</v>
      </c>
      <c r="C6689" s="9">
        <v>550</v>
      </c>
      <c r="D6689" s="0">
        <v>19</v>
      </c>
      <c r="E6689" s="10">
        <f>HYPERLINK("http://www.lingerieopt.ru/images/original/437b752c-5204-41dd-9fcf-3a221dc97a9c.jpg","Фото")</f>
      </c>
    </row>
    <row r="6690">
      <c r="A6690" s="7">
        <f>HYPERLINK("http://www.lingerieopt.ru/item/5215-kruzhevnje-trusiki-stringi-s-dvoinjmi-bretelyami/","5215")</f>
      </c>
      <c r="B6690" s="8" t="s">
        <v>6443</v>
      </c>
      <c r="C6690" s="9">
        <v>550</v>
      </c>
      <c r="D6690" s="0">
        <v>23</v>
      </c>
      <c r="E6690" s="10">
        <f>HYPERLINK("http://www.lingerieopt.ru/images/original/437b752c-5204-41dd-9fcf-3a221dc97a9c.jpg","Фото")</f>
      </c>
    </row>
    <row r="6691">
      <c r="A6691" s="7">
        <f>HYPERLINK("http://www.lingerieopt.ru/item/5216-azhurnje-trusiki-stringi-s-ryushami-i-pikantnjm-razrezom/","5216")</f>
      </c>
      <c r="B6691" s="8" t="s">
        <v>6444</v>
      </c>
      <c r="C6691" s="9">
        <v>550</v>
      </c>
      <c r="D6691" s="0">
        <v>15</v>
      </c>
      <c r="E6691" s="10">
        <f>HYPERLINK("http://www.lingerieopt.ru/images/original/57a32a29-af7a-4f69-8276-338f4121862e.jpg","Фото")</f>
      </c>
    </row>
    <row r="6692">
      <c r="A6692" s="7">
        <f>HYPERLINK("http://www.lingerieopt.ru/item/5216-azhurnje-trusiki-stringi-s-ryushami-i-pikantnjm-razrezom/","5216")</f>
      </c>
      <c r="B6692" s="8" t="s">
        <v>6445</v>
      </c>
      <c r="C6692" s="9">
        <v>550</v>
      </c>
      <c r="D6692" s="0">
        <v>14</v>
      </c>
      <c r="E6692" s="10">
        <f>HYPERLINK("http://www.lingerieopt.ru/images/original/57a32a29-af7a-4f69-8276-338f4121862e.jpg","Фото")</f>
      </c>
    </row>
    <row r="6693">
      <c r="A6693" s="7">
        <f>HYPERLINK("http://www.lingerieopt.ru/item/5216-azhurnje-trusiki-stringi-s-ryushami-i-pikantnjm-razrezom/","5216")</f>
      </c>
      <c r="B6693" s="8" t="s">
        <v>6446</v>
      </c>
      <c r="C6693" s="9">
        <v>550</v>
      </c>
      <c r="D6693" s="0">
        <v>14</v>
      </c>
      <c r="E6693" s="10">
        <f>HYPERLINK("http://www.lingerieopt.ru/images/original/57a32a29-af7a-4f69-8276-338f4121862e.jpg","Фото")</f>
      </c>
    </row>
    <row r="6694">
      <c r="A6694" s="7">
        <f>HYPERLINK("http://www.lingerieopt.ru/item/5216-azhurnje-trusiki-stringi-s-ryushami-i-pikantnjm-razrezom/","5216")</f>
      </c>
      <c r="B6694" s="8" t="s">
        <v>6447</v>
      </c>
      <c r="C6694" s="9">
        <v>550</v>
      </c>
      <c r="D6694" s="0">
        <v>10</v>
      </c>
      <c r="E6694" s="10">
        <f>HYPERLINK("http://www.lingerieopt.ru/images/original/57a32a29-af7a-4f69-8276-338f4121862e.jpg","Фото")</f>
      </c>
    </row>
    <row r="6695">
      <c r="A6695" s="7">
        <f>HYPERLINK("http://www.lingerieopt.ru/item/5217-azhurnje-v-obraznje-trusiki-s-pikantnjm-razrezom/","5217")</f>
      </c>
      <c r="B6695" s="8" t="s">
        <v>6448</v>
      </c>
      <c r="C6695" s="9">
        <v>618</v>
      </c>
      <c r="D6695" s="0">
        <v>6</v>
      </c>
      <c r="E6695" s="10">
        <f>HYPERLINK("http://www.lingerieopt.ru/images/original/b0853cf7-3032-4b81-bcfe-105d39117cea.jpg","Фото")</f>
      </c>
    </row>
    <row r="6696">
      <c r="A6696" s="7">
        <f>HYPERLINK("http://www.lingerieopt.ru/item/5217-azhurnje-v-obraznje-trusiki-s-pikantnjm-razrezom/","5217")</f>
      </c>
      <c r="B6696" s="8" t="s">
        <v>6449</v>
      </c>
      <c r="C6696" s="9">
        <v>618</v>
      </c>
      <c r="D6696" s="0">
        <v>6</v>
      </c>
      <c r="E6696" s="10">
        <f>HYPERLINK("http://www.lingerieopt.ru/images/original/b0853cf7-3032-4b81-bcfe-105d39117cea.jpg","Фото")</f>
      </c>
    </row>
    <row r="6697">
      <c r="A6697" s="7">
        <f>HYPERLINK("http://www.lingerieopt.ru/item/5217-azhurnje-v-obraznje-trusiki-s-pikantnjm-razrezom/","5217")</f>
      </c>
      <c r="B6697" s="8" t="s">
        <v>6450</v>
      </c>
      <c r="C6697" s="9">
        <v>618</v>
      </c>
      <c r="D6697" s="0">
        <v>4</v>
      </c>
      <c r="E6697" s="10">
        <f>HYPERLINK("http://www.lingerieopt.ru/images/original/b0853cf7-3032-4b81-bcfe-105d39117cea.jpg","Фото")</f>
      </c>
    </row>
    <row r="6698">
      <c r="A6698" s="7">
        <f>HYPERLINK("http://www.lingerieopt.ru/item/5217-azhurnje-v-obraznje-trusiki-s-pikantnjm-razrezom/","5217")</f>
      </c>
      <c r="B6698" s="8" t="s">
        <v>6451</v>
      </c>
      <c r="C6698" s="9">
        <v>618</v>
      </c>
      <c r="D6698" s="0">
        <v>10</v>
      </c>
      <c r="E6698" s="10">
        <f>HYPERLINK("http://www.lingerieopt.ru/images/original/b0853cf7-3032-4b81-bcfe-105d39117cea.jpg","Фото")</f>
      </c>
    </row>
    <row r="6699">
      <c r="A6699" s="7">
        <f>HYPERLINK("http://www.lingerieopt.ru/item/5218-otkrovennje-kruzhevnje-trusiki-stringi-s-dostupom/","5218")</f>
      </c>
      <c r="B6699" s="8" t="s">
        <v>6452</v>
      </c>
      <c r="C6699" s="9">
        <v>434</v>
      </c>
      <c r="D6699" s="0">
        <v>8</v>
      </c>
      <c r="E6699" s="10">
        <f>HYPERLINK("http://www.lingerieopt.ru/images/original/456170d0-1429-44b6-bb49-c157fb52cf5d.jpg","Фото")</f>
      </c>
    </row>
    <row r="6700">
      <c r="A6700" s="7">
        <f>HYPERLINK("http://www.lingerieopt.ru/item/5220-setchatje-trusiki-stringi-so-strazami-i-razrezom/","5220")</f>
      </c>
      <c r="B6700" s="8" t="s">
        <v>6453</v>
      </c>
      <c r="C6700" s="9">
        <v>378</v>
      </c>
      <c r="D6700" s="0">
        <v>0</v>
      </c>
      <c r="E6700" s="10">
        <f>HYPERLINK("http://www.lingerieopt.ru/images/original/7084c3b8-2f30-444c-86ae-e7595f10af21.jpg","Фото")</f>
      </c>
    </row>
    <row r="6701">
      <c r="A6701" s="7">
        <f>HYPERLINK("http://www.lingerieopt.ru/item/5220-setchatje-trusiki-stringi-so-strazami-i-razrezom/","5220")</f>
      </c>
      <c r="B6701" s="8" t="s">
        <v>6454</v>
      </c>
      <c r="C6701" s="9">
        <v>378</v>
      </c>
      <c r="D6701" s="0">
        <v>11</v>
      </c>
      <c r="E6701" s="10">
        <f>HYPERLINK("http://www.lingerieopt.ru/images/original/7084c3b8-2f30-444c-86ae-e7595f10af21.jpg","Фото")</f>
      </c>
    </row>
    <row r="6702">
      <c r="A6702" s="7">
        <f>HYPERLINK("http://www.lingerieopt.ru/item/5221-trusiki-stringi-s-vjrezami-i-razrezom/","5221")</f>
      </c>
      <c r="B6702" s="8" t="s">
        <v>6455</v>
      </c>
      <c r="C6702" s="9">
        <v>391</v>
      </c>
      <c r="D6702" s="0">
        <v>18</v>
      </c>
      <c r="E6702" s="10">
        <f>HYPERLINK("http://www.lingerieopt.ru/images/original/9d60ac14-2264-4219-a557-c4dd58a5cbe8.jpg","Фото")</f>
      </c>
    </row>
    <row r="6703">
      <c r="A6703" s="7">
        <f>HYPERLINK("http://www.lingerieopt.ru/item/5221-trusiki-stringi-s-vjrezami-i-razrezom/","5221")</f>
      </c>
      <c r="B6703" s="8" t="s">
        <v>6456</v>
      </c>
      <c r="C6703" s="9">
        <v>391</v>
      </c>
      <c r="D6703" s="0">
        <v>24</v>
      </c>
      <c r="E6703" s="10">
        <f>HYPERLINK("http://www.lingerieopt.ru/images/original/9d60ac14-2264-4219-a557-c4dd58a5cbe8.jpg","Фото")</f>
      </c>
    </row>
    <row r="6704">
      <c r="A6704" s="7">
        <f>HYPERLINK("http://www.lingerieopt.ru/item/5222-trusiki-stringi-s-bantikami-i-kruzhevom-s-resnichkami/","5222")</f>
      </c>
      <c r="B6704" s="8" t="s">
        <v>6457</v>
      </c>
      <c r="C6704" s="9">
        <v>452</v>
      </c>
      <c r="D6704" s="0">
        <v>26</v>
      </c>
      <c r="E6704" s="10">
        <f>HYPERLINK("http://www.lingerieopt.ru/images/original/2e5dab8e-62d1-487e-8bbb-0a836bc9a409.jpg","Фото")</f>
      </c>
    </row>
    <row r="6705">
      <c r="A6705" s="7">
        <f>HYPERLINK("http://www.lingerieopt.ru/item/5233-originalnje-kruzhevnje-trusiki-s-okoshkom-i-poyasom-bantom/","5233")</f>
      </c>
      <c r="B6705" s="8" t="s">
        <v>6458</v>
      </c>
      <c r="C6705" s="9">
        <v>774</v>
      </c>
      <c r="D6705" s="0">
        <v>1</v>
      </c>
      <c r="E6705" s="10">
        <f>HYPERLINK("http://www.lingerieopt.ru/images/original/1b38733f-4096-4596-bb73-8e6b4c99ecd1.jpg","Фото")</f>
      </c>
    </row>
    <row r="6706">
      <c r="A6706" s="7">
        <f>HYPERLINK("http://www.lingerieopt.ru/item/5233-originalnje-kruzhevnje-trusiki-s-okoshkom-i-poyasom-bantom/","5233")</f>
      </c>
      <c r="B6706" s="8" t="s">
        <v>6459</v>
      </c>
      <c r="C6706" s="9">
        <v>774</v>
      </c>
      <c r="D6706" s="0">
        <v>14</v>
      </c>
      <c r="E6706" s="10">
        <f>HYPERLINK("http://www.lingerieopt.ru/images/original/1b38733f-4096-4596-bb73-8e6b4c99ecd1.jpg","Фото")</f>
      </c>
    </row>
    <row r="6707">
      <c r="A6707" s="7">
        <f>HYPERLINK("http://www.lingerieopt.ru/item/5255-trusiki-stringi-s-kruzhavchikami-i-okoshkom/","5255")</f>
      </c>
      <c r="B6707" s="8" t="s">
        <v>6460</v>
      </c>
      <c r="C6707" s="9">
        <v>417</v>
      </c>
      <c r="D6707" s="0">
        <v>17</v>
      </c>
      <c r="E6707" s="10">
        <f>HYPERLINK("http://www.lingerieopt.ru/images/original/60134b02-1c57-4413-90f5-6d54e2174383.jpg","Фото")</f>
      </c>
    </row>
    <row r="6708">
      <c r="A6708" s="7">
        <f>HYPERLINK("http://www.lingerieopt.ru/item/5331-trusiki-slip-s-nadpisyu-iz-straz-evil-bitch/","5331")</f>
      </c>
      <c r="B6708" s="8" t="s">
        <v>6461</v>
      </c>
      <c r="C6708" s="9">
        <v>295</v>
      </c>
      <c r="D6708" s="0">
        <v>30</v>
      </c>
      <c r="E6708" s="10">
        <f>HYPERLINK("http://www.lingerieopt.ru/images/original/6fb533c4-a464-4d04-ab7b-c8e617a5ca3d.jpg","Фото")</f>
      </c>
    </row>
    <row r="6709">
      <c r="A6709" s="7">
        <f>HYPERLINK("http://www.lingerieopt.ru/item/5331-trusiki-slip-s-nadpisyu-iz-straz-evil-bitch/","5331")</f>
      </c>
      <c r="B6709" s="8" t="s">
        <v>6462</v>
      </c>
      <c r="C6709" s="9">
        <v>295</v>
      </c>
      <c r="D6709" s="0">
        <v>6</v>
      </c>
      <c r="E6709" s="10">
        <f>HYPERLINK("http://www.lingerieopt.ru/images/original/6fb533c4-a464-4d04-ab7b-c8e617a5ca3d.jpg","Фото")</f>
      </c>
    </row>
    <row r="6710">
      <c r="A6710" s="7">
        <f>HYPERLINK("http://www.lingerieopt.ru/item/5335-trusiki-slip-s-nadpisyu-iz-straz-wanna-ride/","5335")</f>
      </c>
      <c r="B6710" s="8" t="s">
        <v>6463</v>
      </c>
      <c r="C6710" s="9">
        <v>295</v>
      </c>
      <c r="D6710" s="0">
        <v>30</v>
      </c>
      <c r="E6710" s="10">
        <f>HYPERLINK("http://www.lingerieopt.ru/images/original/65c4ccb8-0f5e-4983-a3cd-b6996c401dbe.jpg","Фото")</f>
      </c>
    </row>
    <row r="6711">
      <c r="A6711" s="7">
        <f>HYPERLINK("http://www.lingerieopt.ru/item/5335-trusiki-slip-s-nadpisyu-iz-straz-wanna-ride/","5335")</f>
      </c>
      <c r="B6711" s="8" t="s">
        <v>6464</v>
      </c>
      <c r="C6711" s="9">
        <v>295</v>
      </c>
      <c r="D6711" s="0">
        <v>30</v>
      </c>
      <c r="E6711" s="10">
        <f>HYPERLINK("http://www.lingerieopt.ru/images/original/65c4ccb8-0f5e-4983-a3cd-b6996c401dbe.jpg","Фото")</f>
      </c>
    </row>
    <row r="6712">
      <c r="A6712" s="7">
        <f>HYPERLINK("http://www.lingerieopt.ru/item/5355-trusiki-so-vstavkoi-streich-setki-na-poyase/","5355")</f>
      </c>
      <c r="B6712" s="8" t="s">
        <v>6465</v>
      </c>
      <c r="C6712" s="9">
        <v>400</v>
      </c>
      <c r="D6712" s="0">
        <v>15</v>
      </c>
      <c r="E6712" s="10">
        <f>HYPERLINK("http://www.lingerieopt.ru/images/original/e6302afd-32da-461c-9858-be177f5e7718.jpg","Фото")</f>
      </c>
    </row>
    <row r="6713">
      <c r="A6713" s="7">
        <f>HYPERLINK("http://www.lingerieopt.ru/item/5355-trusiki-so-vstavkoi-streich-setki-na-poyase/","5355")</f>
      </c>
      <c r="B6713" s="8" t="s">
        <v>6466</v>
      </c>
      <c r="C6713" s="9">
        <v>400</v>
      </c>
      <c r="D6713" s="0">
        <v>10</v>
      </c>
      <c r="E6713" s="10">
        <f>HYPERLINK("http://www.lingerieopt.ru/images/original/e6302afd-32da-461c-9858-be177f5e7718.jpg","Фото")</f>
      </c>
    </row>
    <row r="6714">
      <c r="A6714" s="7">
        <f>HYPERLINK("http://www.lingerieopt.ru/item/5355-trusiki-so-vstavkoi-streich-setki-na-poyase/","5355")</f>
      </c>
      <c r="B6714" s="8" t="s">
        <v>6467</v>
      </c>
      <c r="C6714" s="9">
        <v>400</v>
      </c>
      <c r="D6714" s="0">
        <v>10</v>
      </c>
      <c r="E6714" s="10">
        <f>HYPERLINK("http://www.lingerieopt.ru/images/original/e6302afd-32da-461c-9858-be177f5e7718.jpg","Фото")</f>
      </c>
    </row>
    <row r="6715">
      <c r="A6715" s="7">
        <f>HYPERLINK("http://www.lingerieopt.ru/item/5355-trusiki-so-vstavkoi-streich-setki-na-poyase/","5355")</f>
      </c>
      <c r="B6715" s="8" t="s">
        <v>6468</v>
      </c>
      <c r="C6715" s="9">
        <v>400</v>
      </c>
      <c r="D6715" s="0">
        <v>91</v>
      </c>
      <c r="E6715" s="10">
        <f>HYPERLINK("http://www.lingerieopt.ru/images/original/e6302afd-32da-461c-9858-be177f5e7718.jpg","Фото")</f>
      </c>
    </row>
    <row r="6716">
      <c r="A6716" s="7">
        <f>HYPERLINK("http://www.lingerieopt.ru/item/5355-trusiki-so-vstavkoi-streich-setki-na-poyase/","5355")</f>
      </c>
      <c r="B6716" s="8" t="s">
        <v>6469</v>
      </c>
      <c r="C6716" s="9">
        <v>400</v>
      </c>
      <c r="D6716" s="0">
        <v>50</v>
      </c>
      <c r="E6716" s="10">
        <f>HYPERLINK("http://www.lingerieopt.ru/images/original/e6302afd-32da-461c-9858-be177f5e7718.jpg","Фото")</f>
      </c>
    </row>
    <row r="6717">
      <c r="A6717" s="7">
        <f>HYPERLINK("http://www.lingerieopt.ru/item/5355-trusiki-so-vstavkoi-streich-setki-na-poyase/","5355")</f>
      </c>
      <c r="B6717" s="8" t="s">
        <v>6470</v>
      </c>
      <c r="C6717" s="9">
        <v>400</v>
      </c>
      <c r="D6717" s="0">
        <v>14</v>
      </c>
      <c r="E6717" s="10">
        <f>HYPERLINK("http://www.lingerieopt.ru/images/original/e6302afd-32da-461c-9858-be177f5e7718.jpg","Фото")</f>
      </c>
    </row>
    <row r="6718">
      <c r="A6718" s="7">
        <f>HYPERLINK("http://www.lingerieopt.ru/item/5356-trusiki-stringi-s-ryushami-dostupom-i-applikaciei-v-vide-cvetka/","5356")</f>
      </c>
      <c r="B6718" s="8" t="s">
        <v>6471</v>
      </c>
      <c r="C6718" s="9">
        <v>544</v>
      </c>
      <c r="D6718" s="0">
        <v>17</v>
      </c>
      <c r="E6718" s="10">
        <f>HYPERLINK("http://www.lingerieopt.ru/images/original/dcd340aa-92e2-40ae-b59c-535ad8a95de6.jpg","Фото")</f>
      </c>
    </row>
    <row r="6719">
      <c r="A6719" s="7">
        <f>HYPERLINK("http://www.lingerieopt.ru/item/5356-trusiki-stringi-s-ryushami-dostupom-i-applikaciei-v-vide-cvetka/","5356")</f>
      </c>
      <c r="B6719" s="8" t="s">
        <v>6472</v>
      </c>
      <c r="C6719" s="9">
        <v>544</v>
      </c>
      <c r="D6719" s="0">
        <v>16</v>
      </c>
      <c r="E6719" s="10">
        <f>HYPERLINK("http://www.lingerieopt.ru/images/original/dcd340aa-92e2-40ae-b59c-535ad8a95de6.jpg","Фото")</f>
      </c>
    </row>
    <row r="6720">
      <c r="A6720" s="7">
        <f>HYPERLINK("http://www.lingerieopt.ru/item/5357-azhurnje-trusiki-stringi-s-razrezom-i-dostupom/","5357")</f>
      </c>
      <c r="B6720" s="8" t="s">
        <v>6473</v>
      </c>
      <c r="C6720" s="9">
        <v>606</v>
      </c>
      <c r="D6720" s="0">
        <v>15</v>
      </c>
      <c r="E6720" s="10">
        <f>HYPERLINK("http://www.lingerieopt.ru/images/original/908208cc-d9ba-4a1c-bd45-143946126985.jpg","Фото")</f>
      </c>
    </row>
    <row r="6721">
      <c r="A6721" s="7">
        <f>HYPERLINK("http://www.lingerieopt.ru/item/5357-azhurnje-trusiki-stringi-s-razrezom-i-dostupom/","5357")</f>
      </c>
      <c r="B6721" s="8" t="s">
        <v>6474</v>
      </c>
      <c r="C6721" s="9">
        <v>606</v>
      </c>
      <c r="D6721" s="0">
        <v>12</v>
      </c>
      <c r="E6721" s="10">
        <f>HYPERLINK("http://www.lingerieopt.ru/images/original/908208cc-d9ba-4a1c-bd45-143946126985.jpg","Фото")</f>
      </c>
    </row>
    <row r="6722">
      <c r="A6722" s="7">
        <f>HYPERLINK("http://www.lingerieopt.ru/item/5358-azhurnje-trusiki-stringi-s-dostupom/","5358")</f>
      </c>
      <c r="B6722" s="8" t="s">
        <v>6475</v>
      </c>
      <c r="C6722" s="9">
        <v>574</v>
      </c>
      <c r="D6722" s="0">
        <v>0</v>
      </c>
      <c r="E6722" s="10">
        <f>HYPERLINK("http://www.lingerieopt.ru/images/original/5d8798eb-1b11-400b-b838-692ee621e376.jpg","Фото")</f>
      </c>
    </row>
    <row r="6723">
      <c r="A6723" s="7">
        <f>HYPERLINK("http://www.lingerieopt.ru/item/5358-azhurnje-trusiki-stringi-s-dostupom/","5358")</f>
      </c>
      <c r="B6723" s="8" t="s">
        <v>6476</v>
      </c>
      <c r="C6723" s="9">
        <v>574</v>
      </c>
      <c r="D6723" s="0">
        <v>9</v>
      </c>
      <c r="E6723" s="10">
        <f>HYPERLINK("http://www.lingerieopt.ru/images/original/5d8798eb-1b11-400b-b838-692ee621e376.jpg","Фото")</f>
      </c>
    </row>
    <row r="6724">
      <c r="A6724" s="7">
        <f>HYPERLINK("http://www.lingerieopt.ru/item/5358-azhurnje-trusiki-stringi-s-dostupom/","5358")</f>
      </c>
      <c r="B6724" s="8" t="s">
        <v>6477</v>
      </c>
      <c r="C6724" s="9">
        <v>574</v>
      </c>
      <c r="D6724" s="0">
        <v>6</v>
      </c>
      <c r="E6724" s="10">
        <f>HYPERLINK("http://www.lingerieopt.ru/images/original/5d8798eb-1b11-400b-b838-692ee621e376.jpg","Фото")</f>
      </c>
    </row>
    <row r="6725">
      <c r="A6725" s="7">
        <f>HYPERLINK("http://www.lingerieopt.ru/item/5358-azhurnje-trusiki-stringi-s-dostupom/","5358")</f>
      </c>
      <c r="B6725" s="8" t="s">
        <v>6478</v>
      </c>
      <c r="C6725" s="9">
        <v>574</v>
      </c>
      <c r="D6725" s="0">
        <v>4</v>
      </c>
      <c r="E6725" s="10">
        <f>HYPERLINK("http://www.lingerieopt.ru/images/original/5d8798eb-1b11-400b-b838-692ee621e376.jpg","Фото")</f>
      </c>
    </row>
    <row r="6726">
      <c r="A6726" s="7">
        <f>HYPERLINK("http://www.lingerieopt.ru/item/5358-azhurnje-trusiki-stringi-s-dostupom/","5358")</f>
      </c>
      <c r="B6726" s="8" t="s">
        <v>6479</v>
      </c>
      <c r="C6726" s="9">
        <v>574</v>
      </c>
      <c r="D6726" s="0">
        <v>3</v>
      </c>
      <c r="E6726" s="10">
        <f>HYPERLINK("http://www.lingerieopt.ru/images/original/5d8798eb-1b11-400b-b838-692ee621e376.jpg","Фото")</f>
      </c>
    </row>
    <row r="6727">
      <c r="A6727" s="7">
        <f>HYPERLINK("http://www.lingerieopt.ru/item/5358-azhurnje-trusiki-stringi-s-dostupom/","5358")</f>
      </c>
      <c r="B6727" s="8" t="s">
        <v>6480</v>
      </c>
      <c r="C6727" s="9">
        <v>574</v>
      </c>
      <c r="D6727" s="0">
        <v>10</v>
      </c>
      <c r="E6727" s="10">
        <f>HYPERLINK("http://www.lingerieopt.ru/images/original/5d8798eb-1b11-400b-b838-692ee621e376.jpg","Фото")</f>
      </c>
    </row>
    <row r="6728">
      <c r="A6728" s="7">
        <f>HYPERLINK("http://www.lingerieopt.ru/item/5359-originalnje-trusiki-s-dostupom-i-poluotkrjtoi-popoi/","5359")</f>
      </c>
      <c r="B6728" s="8" t="s">
        <v>6481</v>
      </c>
      <c r="C6728" s="9">
        <v>587</v>
      </c>
      <c r="D6728" s="0">
        <v>0</v>
      </c>
      <c r="E6728" s="10">
        <f>HYPERLINK("http://www.lingerieopt.ru/images/original/b00f3d65-2a61-4c2d-9895-e71bffdcb095.jpg","Фото")</f>
      </c>
    </row>
    <row r="6729">
      <c r="A6729" s="7">
        <f>HYPERLINK("http://www.lingerieopt.ru/item/5359-originalnje-trusiki-s-dostupom-i-poluotkrjtoi-popoi/","5359")</f>
      </c>
      <c r="B6729" s="8" t="s">
        <v>6482</v>
      </c>
      <c r="C6729" s="9">
        <v>587</v>
      </c>
      <c r="D6729" s="0">
        <v>15</v>
      </c>
      <c r="E6729" s="10">
        <f>HYPERLINK("http://www.lingerieopt.ru/images/original/b00f3d65-2a61-4c2d-9895-e71bffdcb095.jpg","Фото")</f>
      </c>
    </row>
    <row r="6730">
      <c r="A6730" s="7">
        <f>HYPERLINK("http://www.lingerieopt.ru/item/5359-originalnje-trusiki-s-dostupom-i-poluotkrjtoi-popoi/","5359")</f>
      </c>
      <c r="B6730" s="8" t="s">
        <v>6483</v>
      </c>
      <c r="C6730" s="9">
        <v>587</v>
      </c>
      <c r="D6730" s="0">
        <v>7</v>
      </c>
      <c r="E6730" s="10">
        <f>HYPERLINK("http://www.lingerieopt.ru/images/original/b00f3d65-2a61-4c2d-9895-e71bffdcb095.jpg","Фото")</f>
      </c>
    </row>
    <row r="6731">
      <c r="A6731" s="7">
        <f>HYPERLINK("http://www.lingerieopt.ru/item/5359-originalnje-trusiki-s-dostupom-i-poluotkrjtoi-popoi/","5359")</f>
      </c>
      <c r="B6731" s="8" t="s">
        <v>6484</v>
      </c>
      <c r="C6731" s="9">
        <v>587</v>
      </c>
      <c r="D6731" s="0">
        <v>15</v>
      </c>
      <c r="E6731" s="10">
        <f>HYPERLINK("http://www.lingerieopt.ru/images/original/b00f3d65-2a61-4c2d-9895-e71bffdcb095.jpg","Фото")</f>
      </c>
    </row>
    <row r="6732">
      <c r="A6732" s="7">
        <f>HYPERLINK("http://www.lingerieopt.ru/item/5360-azhurnje-trusiki-stringi-s-shirokim-poyaskom-i-dostupom/","5360")</f>
      </c>
      <c r="B6732" s="8" t="s">
        <v>6485</v>
      </c>
      <c r="C6732" s="9">
        <v>616</v>
      </c>
      <c r="D6732" s="0">
        <v>7</v>
      </c>
      <c r="E6732" s="10">
        <f>HYPERLINK("http://www.lingerieopt.ru/images/original/1b6d0b90-7baf-4134-a64f-2ae38810f77d.jpg","Фото")</f>
      </c>
    </row>
    <row r="6733">
      <c r="A6733" s="7">
        <f>HYPERLINK("http://www.lingerieopt.ru/item/5360-azhurnje-trusiki-stringi-s-shirokim-poyaskom-i-dostupom/","5360")</f>
      </c>
      <c r="B6733" s="8" t="s">
        <v>6486</v>
      </c>
      <c r="C6733" s="9">
        <v>616</v>
      </c>
      <c r="D6733" s="0">
        <v>13</v>
      </c>
      <c r="E6733" s="10">
        <f>HYPERLINK("http://www.lingerieopt.ru/images/original/1b6d0b90-7baf-4134-a64f-2ae38810f77d.jpg","Фото")</f>
      </c>
    </row>
    <row r="6734">
      <c r="A6734" s="7">
        <f>HYPERLINK("http://www.lingerieopt.ru/item/5360-azhurnje-trusiki-stringi-s-shirokim-poyaskom-i-dostupom/","5360")</f>
      </c>
      <c r="B6734" s="8" t="s">
        <v>6487</v>
      </c>
      <c r="C6734" s="9">
        <v>616</v>
      </c>
      <c r="D6734" s="0">
        <v>11</v>
      </c>
      <c r="E6734" s="10">
        <f>HYPERLINK("http://www.lingerieopt.ru/images/original/1b6d0b90-7baf-4134-a64f-2ae38810f77d.jpg","Фото")</f>
      </c>
    </row>
    <row r="6735">
      <c r="A6735" s="7">
        <f>HYPERLINK("http://www.lingerieopt.ru/item/5360-azhurnje-trusiki-stringi-s-shirokim-poyaskom-i-dostupom/","5360")</f>
      </c>
      <c r="B6735" s="8" t="s">
        <v>6488</v>
      </c>
      <c r="C6735" s="9">
        <v>616</v>
      </c>
      <c r="D6735" s="0">
        <v>4</v>
      </c>
      <c r="E6735" s="10">
        <f>HYPERLINK("http://www.lingerieopt.ru/images/original/1b6d0b90-7baf-4134-a64f-2ae38810f77d.jpg","Фото")</f>
      </c>
    </row>
    <row r="6736">
      <c r="A6736" s="7">
        <f>HYPERLINK("http://www.lingerieopt.ru/item/5361-trusiki-stringi-s-troinjmi-azhurnjmi-bretelyami/","5361")</f>
      </c>
      <c r="B6736" s="8" t="s">
        <v>6489</v>
      </c>
      <c r="C6736" s="9">
        <v>655</v>
      </c>
      <c r="D6736" s="0">
        <v>4</v>
      </c>
      <c r="E6736" s="10">
        <f>HYPERLINK("http://www.lingerieopt.ru/images/original/e17df923-d2a4-4af4-a67f-92f502b53880.jpg","Фото")</f>
      </c>
    </row>
    <row r="6737">
      <c r="A6737" s="7">
        <f>HYPERLINK("http://www.lingerieopt.ru/item/5361-trusiki-stringi-s-troinjmi-azhurnjmi-bretelyami/","5361")</f>
      </c>
      <c r="B6737" s="8" t="s">
        <v>6490</v>
      </c>
      <c r="C6737" s="9">
        <v>655</v>
      </c>
      <c r="D6737" s="0">
        <v>3</v>
      </c>
      <c r="E6737" s="10">
        <f>HYPERLINK("http://www.lingerieopt.ru/images/original/e17df923-d2a4-4af4-a67f-92f502b53880.jpg","Фото")</f>
      </c>
    </row>
    <row r="6738">
      <c r="A6738" s="7">
        <f>HYPERLINK("http://www.lingerieopt.ru/item/5362-originalnje-azhurnje-trusiki-s-dostupom-i-vjrezom-serdechkom-na-pope/","5362")</f>
      </c>
      <c r="B6738" s="8" t="s">
        <v>6491</v>
      </c>
      <c r="C6738" s="9">
        <v>733</v>
      </c>
      <c r="D6738" s="0">
        <v>9</v>
      </c>
      <c r="E6738" s="10">
        <f>HYPERLINK("http://www.lingerieopt.ru/images/original/464b371f-e0db-4f54-897c-4275faeeced2.jpg","Фото")</f>
      </c>
    </row>
    <row r="6739">
      <c r="A6739" s="7">
        <f>HYPERLINK("http://www.lingerieopt.ru/item/5362-originalnje-azhurnje-trusiki-s-dostupom-i-vjrezom-serdechkom-na-pope/","5362")</f>
      </c>
      <c r="B6739" s="8" t="s">
        <v>6492</v>
      </c>
      <c r="C6739" s="9">
        <v>733</v>
      </c>
      <c r="D6739" s="0">
        <v>13</v>
      </c>
      <c r="E6739" s="10">
        <f>HYPERLINK("http://www.lingerieopt.ru/images/original/464b371f-e0db-4f54-897c-4275faeeced2.jpg","Фото")</f>
      </c>
    </row>
    <row r="6740">
      <c r="A6740" s="7">
        <f>HYPERLINK("http://www.lingerieopt.ru/item/5362-originalnje-azhurnje-trusiki-s-dostupom-i-vjrezom-serdechkom-na-pope/","5362")</f>
      </c>
      <c r="B6740" s="8" t="s">
        <v>6493</v>
      </c>
      <c r="C6740" s="9">
        <v>733</v>
      </c>
      <c r="D6740" s="0">
        <v>4</v>
      </c>
      <c r="E6740" s="10">
        <f>HYPERLINK("http://www.lingerieopt.ru/images/original/464b371f-e0db-4f54-897c-4275faeeced2.jpg","Фото")</f>
      </c>
    </row>
    <row r="6741">
      <c r="A6741" s="7">
        <f>HYPERLINK("http://www.lingerieopt.ru/item/5362-originalnje-azhurnje-trusiki-s-dostupom-i-vjrezom-serdechkom-na-pope/","5362")</f>
      </c>
      <c r="B6741" s="8" t="s">
        <v>6494</v>
      </c>
      <c r="C6741" s="9">
        <v>733</v>
      </c>
      <c r="D6741" s="0">
        <v>4</v>
      </c>
      <c r="E6741" s="10">
        <f>HYPERLINK("http://www.lingerieopt.ru/images/original/464b371f-e0db-4f54-897c-4275faeeced2.jpg","Фото")</f>
      </c>
    </row>
    <row r="6742">
      <c r="A6742" s="7">
        <f>HYPERLINK("http://www.lingerieopt.ru/item/5363-trusiki-stringi-s-azhurnoi-licevoi-chastyu-i-dostupom/","5363")</f>
      </c>
      <c r="B6742" s="8" t="s">
        <v>6495</v>
      </c>
      <c r="C6742" s="9">
        <v>552</v>
      </c>
      <c r="D6742" s="0">
        <v>11</v>
      </c>
      <c r="E6742" s="10">
        <f>HYPERLINK("http://www.lingerieopt.ru/images/original/52fefc04-36ff-40f0-adbb-76523e6a4cb6.jpg","Фото")</f>
      </c>
    </row>
    <row r="6743">
      <c r="A6743" s="7">
        <f>HYPERLINK("http://www.lingerieopt.ru/item/5363-trusiki-stringi-s-azhurnoi-licevoi-chastyu-i-dostupom/","5363")</f>
      </c>
      <c r="B6743" s="8" t="s">
        <v>6496</v>
      </c>
      <c r="C6743" s="9">
        <v>552</v>
      </c>
      <c r="D6743" s="0">
        <v>0</v>
      </c>
      <c r="E6743" s="10">
        <f>HYPERLINK("http://www.lingerieopt.ru/images/original/52fefc04-36ff-40f0-adbb-76523e6a4cb6.jpg","Фото")</f>
      </c>
    </row>
    <row r="6744">
      <c r="A6744" s="7">
        <f>HYPERLINK("http://www.lingerieopt.ru/item/5364-prelestnje-trusiki-stringi-s-dostupom-i-otkrjtoi-popoi/","5364")</f>
      </c>
      <c r="B6744" s="8" t="s">
        <v>6497</v>
      </c>
      <c r="C6744" s="9">
        <v>476</v>
      </c>
      <c r="D6744" s="0">
        <v>9</v>
      </c>
      <c r="E6744" s="10">
        <f>HYPERLINK("http://www.lingerieopt.ru/images/original/cd68317b-94ba-451e-bc1e-ca55229336a0.jpg","Фото")</f>
      </c>
    </row>
    <row r="6745">
      <c r="A6745" s="7">
        <f>HYPERLINK("http://www.lingerieopt.ru/item/5364-prelestnje-trusiki-stringi-s-dostupom-i-otkrjtoi-popoi/","5364")</f>
      </c>
      <c r="B6745" s="8" t="s">
        <v>6498</v>
      </c>
      <c r="C6745" s="9">
        <v>476</v>
      </c>
      <c r="D6745" s="0">
        <v>13</v>
      </c>
      <c r="E6745" s="10">
        <f>HYPERLINK("http://www.lingerieopt.ru/images/original/cd68317b-94ba-451e-bc1e-ca55229336a0.jpg","Фото")</f>
      </c>
    </row>
    <row r="6746">
      <c r="A6746" s="7">
        <f>HYPERLINK("http://www.lingerieopt.ru/item/5365-milje-trusiki-stringi-s-vjshivkoi-i-melkimi-ryushami/","5365")</f>
      </c>
      <c r="B6746" s="8" t="s">
        <v>6499</v>
      </c>
      <c r="C6746" s="9">
        <v>606</v>
      </c>
      <c r="D6746" s="0">
        <v>12</v>
      </c>
      <c r="E6746" s="10">
        <f>HYPERLINK("http://www.lingerieopt.ru/images/original/53d6189c-0b15-4bcc-8db2-a97f418b988d.jpg","Фото")</f>
      </c>
    </row>
    <row r="6747">
      <c r="A6747" s="7">
        <f>HYPERLINK("http://www.lingerieopt.ru/item/5366-trusiki-stringi-s-azhurnoi-kistochkoi/","5366")</f>
      </c>
      <c r="B6747" s="8" t="s">
        <v>6500</v>
      </c>
      <c r="C6747" s="9">
        <v>428</v>
      </c>
      <c r="D6747" s="0">
        <v>8</v>
      </c>
      <c r="E6747" s="10">
        <f>HYPERLINK("http://www.lingerieopt.ru/images/original/7d6febcf-45de-44ce-9996-f587d1cc2e2d.jpg","Фото")</f>
      </c>
    </row>
    <row r="6748">
      <c r="A6748" s="7">
        <f>HYPERLINK("http://www.lingerieopt.ru/item/5367-trusiki-stringi-s-cvetkom-dostupom-dvoinjmi-bretelyami-i-otkrjtoi-popoi/","5367")</f>
      </c>
      <c r="B6748" s="8" t="s">
        <v>6501</v>
      </c>
      <c r="C6748" s="9">
        <v>519</v>
      </c>
      <c r="D6748" s="0">
        <v>14</v>
      </c>
      <c r="E6748" s="10">
        <f>HYPERLINK("http://www.lingerieopt.ru/images/original/8cc02a21-d709-4ad3-a243-e6e6ddac6b12.jpg","Фото")</f>
      </c>
    </row>
    <row r="6749">
      <c r="A6749" s="7">
        <f>HYPERLINK("http://www.lingerieopt.ru/item/5368-trusiki-ukrashennje-strazami-i-dostupom/","5368")</f>
      </c>
      <c r="B6749" s="8" t="s">
        <v>6502</v>
      </c>
      <c r="C6749" s="9">
        <v>574</v>
      </c>
      <c r="D6749" s="0">
        <v>28</v>
      </c>
      <c r="E6749" s="10">
        <f>HYPERLINK("http://www.lingerieopt.ru/images/original/eee5efa9-57f3-45f8-8a78-f9b1890e3e8e.jpg","Фото")</f>
      </c>
    </row>
    <row r="6750">
      <c r="A6750" s="7">
        <f>HYPERLINK("http://www.lingerieopt.ru/item/5368-trusiki-ukrashennje-strazami-i-dostupom/","5368")</f>
      </c>
      <c r="B6750" s="8" t="s">
        <v>6503</v>
      </c>
      <c r="C6750" s="9">
        <v>574</v>
      </c>
      <c r="D6750" s="0">
        <v>18</v>
      </c>
      <c r="E6750" s="10">
        <f>HYPERLINK("http://www.lingerieopt.ru/images/original/eee5efa9-57f3-45f8-8a78-f9b1890e3e8e.jpg","Фото")</f>
      </c>
    </row>
    <row r="6751">
      <c r="A6751" s="7">
        <f>HYPERLINK("http://www.lingerieopt.ru/item/5368-trusiki-ukrashennje-strazami-i-dostupom/","5368")</f>
      </c>
      <c r="B6751" s="8" t="s">
        <v>6504</v>
      </c>
      <c r="C6751" s="9">
        <v>574</v>
      </c>
      <c r="D6751" s="0">
        <v>26</v>
      </c>
      <c r="E6751" s="10">
        <f>HYPERLINK("http://www.lingerieopt.ru/images/original/eee5efa9-57f3-45f8-8a78-f9b1890e3e8e.jpg","Фото")</f>
      </c>
    </row>
    <row r="6752">
      <c r="A6752" s="7">
        <f>HYPERLINK("http://www.lingerieopt.ru/item/5368-trusiki-ukrashennje-strazami-i-dostupom/","5368")</f>
      </c>
      <c r="B6752" s="8" t="s">
        <v>6505</v>
      </c>
      <c r="C6752" s="9">
        <v>574</v>
      </c>
      <c r="D6752" s="0">
        <v>34</v>
      </c>
      <c r="E6752" s="10">
        <f>HYPERLINK("http://www.lingerieopt.ru/images/original/eee5efa9-57f3-45f8-8a78-f9b1890e3e8e.jpg","Фото")</f>
      </c>
    </row>
    <row r="6753">
      <c r="A6753" s="7">
        <f>HYPERLINK("http://www.lingerieopt.ru/item/5369-poyas-dlya-chulok-iz-azhurnjh-treugolnikov-s-trusikami-string/","5369")</f>
      </c>
      <c r="B6753" s="8" t="s">
        <v>6506</v>
      </c>
      <c r="C6753" s="9">
        <v>1170</v>
      </c>
      <c r="D6753" s="0">
        <v>4</v>
      </c>
      <c r="E6753" s="10">
        <f>HYPERLINK("http://www.lingerieopt.ru/images/original/457d777a-a322-45c7-8cf4-002266335d23.jpg","Фото")</f>
      </c>
    </row>
    <row r="6754">
      <c r="A6754" s="7">
        <f>HYPERLINK("http://www.lingerieopt.ru/item/5369-poyas-dlya-chulok-iz-azhurnjh-treugolnikov-s-trusikami-string/","5369")</f>
      </c>
      <c r="B6754" s="8" t="s">
        <v>6507</v>
      </c>
      <c r="C6754" s="9">
        <v>1170</v>
      </c>
      <c r="D6754" s="0">
        <v>3</v>
      </c>
      <c r="E6754" s="10">
        <f>HYPERLINK("http://www.lingerieopt.ru/images/original/457d777a-a322-45c7-8cf4-002266335d23.jpg","Фото")</f>
      </c>
    </row>
    <row r="6755">
      <c r="A6755" s="7">
        <f>HYPERLINK("http://www.lingerieopt.ru/item/5369-poyas-dlya-chulok-iz-azhurnjh-treugolnikov-s-trusikami-string/","5369")</f>
      </c>
      <c r="B6755" s="8" t="s">
        <v>6508</v>
      </c>
      <c r="C6755" s="9">
        <v>1170</v>
      </c>
      <c r="D6755" s="0">
        <v>5</v>
      </c>
      <c r="E6755" s="10">
        <f>HYPERLINK("http://www.lingerieopt.ru/images/original/457d777a-a322-45c7-8cf4-002266335d23.jpg","Фото")</f>
      </c>
    </row>
    <row r="6756">
      <c r="A6756" s="7">
        <f>HYPERLINK("http://www.lingerieopt.ru/item/5369-poyas-dlya-chulok-iz-azhurnjh-treugolnikov-s-trusikami-string/","5369")</f>
      </c>
      <c r="B6756" s="8" t="s">
        <v>6509</v>
      </c>
      <c r="C6756" s="9">
        <v>1170</v>
      </c>
      <c r="D6756" s="0">
        <v>6</v>
      </c>
      <c r="E6756" s="10">
        <f>HYPERLINK("http://www.lingerieopt.ru/images/original/457d777a-a322-45c7-8cf4-002266335d23.jpg","Фото")</f>
      </c>
    </row>
    <row r="6757">
      <c r="A6757" s="7">
        <f>HYPERLINK("http://www.lingerieopt.ru/item/5370-poyas-dlya-chulok-v-komplekte-s-trusikami-string-s-dostupom/","5370")</f>
      </c>
      <c r="B6757" s="8" t="s">
        <v>6510</v>
      </c>
      <c r="C6757" s="9">
        <v>1108</v>
      </c>
      <c r="D6757" s="0">
        <v>2</v>
      </c>
      <c r="E6757" s="10">
        <f>HYPERLINK("http://www.lingerieopt.ru/images/original/b4dc2021-1ec2-45cd-b3b5-ee6b64f1cf42.jpg","Фото")</f>
      </c>
    </row>
    <row r="6758">
      <c r="A6758" s="7">
        <f>HYPERLINK("http://www.lingerieopt.ru/item/5370-poyas-dlya-chulok-v-komplekte-s-trusikami-string-s-dostupom/","5370")</f>
      </c>
      <c r="B6758" s="8" t="s">
        <v>6511</v>
      </c>
      <c r="C6758" s="9">
        <v>1108</v>
      </c>
      <c r="D6758" s="0">
        <v>6</v>
      </c>
      <c r="E6758" s="10">
        <f>HYPERLINK("http://www.lingerieopt.ru/images/original/b4dc2021-1ec2-45cd-b3b5-ee6b64f1cf42.jpg","Фото")</f>
      </c>
    </row>
    <row r="6759">
      <c r="A6759" s="7">
        <f>HYPERLINK("http://www.lingerieopt.ru/item/5370-poyas-dlya-chulok-v-komplekte-s-trusikami-string-s-dostupom/","5370")</f>
      </c>
      <c r="B6759" s="8" t="s">
        <v>6512</v>
      </c>
      <c r="C6759" s="9">
        <v>1108</v>
      </c>
      <c r="D6759" s="0">
        <v>5</v>
      </c>
      <c r="E6759" s="10">
        <f>HYPERLINK("http://www.lingerieopt.ru/images/original/b4dc2021-1ec2-45cd-b3b5-ee6b64f1cf42.jpg","Фото")</f>
      </c>
    </row>
    <row r="6760">
      <c r="A6760" s="7">
        <f>HYPERLINK("http://www.lingerieopt.ru/item/5370-poyas-dlya-chulok-v-komplekte-s-trusikami-string-s-dostupom/","5370")</f>
      </c>
      <c r="B6760" s="8" t="s">
        <v>6513</v>
      </c>
      <c r="C6760" s="9">
        <v>1108</v>
      </c>
      <c r="D6760" s="0">
        <v>6</v>
      </c>
      <c r="E6760" s="10">
        <f>HYPERLINK("http://www.lingerieopt.ru/images/original/b4dc2021-1ec2-45cd-b3b5-ee6b64f1cf42.jpg","Фото")</f>
      </c>
    </row>
    <row r="6761">
      <c r="A6761" s="7">
        <f>HYPERLINK("http://www.lingerieopt.ru/item/5370-poyas-dlya-chulok-v-komplekte-s-trusikami-string-s-dostupom/","5370")</f>
      </c>
      <c r="B6761" s="8" t="s">
        <v>6514</v>
      </c>
      <c r="C6761" s="9">
        <v>1108</v>
      </c>
      <c r="D6761" s="0">
        <v>4</v>
      </c>
      <c r="E6761" s="10">
        <f>HYPERLINK("http://www.lingerieopt.ru/images/original/b4dc2021-1ec2-45cd-b3b5-ee6b64f1cf42.jpg","Фото")</f>
      </c>
    </row>
    <row r="6762">
      <c r="A6762" s="7">
        <f>HYPERLINK("http://www.lingerieopt.ru/item/5370-poyas-dlya-chulok-v-komplekte-s-trusikami-string-s-dostupom/","5370")</f>
      </c>
      <c r="B6762" s="8" t="s">
        <v>6515</v>
      </c>
      <c r="C6762" s="9">
        <v>1108</v>
      </c>
      <c r="D6762" s="0">
        <v>5</v>
      </c>
      <c r="E6762" s="10">
        <f>HYPERLINK("http://www.lingerieopt.ru/images/original/b4dc2021-1ec2-45cd-b3b5-ee6b64f1cf42.jpg","Фото")</f>
      </c>
    </row>
    <row r="6763">
      <c r="A6763" s="7">
        <f>HYPERLINK("http://www.lingerieopt.ru/item/5371-azhurnje-perchatki-mitenki-s-oborkami-i-trusiki-stringi/","5371")</f>
      </c>
      <c r="B6763" s="8" t="s">
        <v>1655</v>
      </c>
      <c r="C6763" s="9">
        <v>1030</v>
      </c>
      <c r="D6763" s="0">
        <v>2</v>
      </c>
      <c r="E6763" s="10">
        <f>HYPERLINK("http://www.lingerieopt.ru/images/original/8aa8b28e-de22-4db6-802f-726449d79bb8.jpg","Фото")</f>
      </c>
    </row>
    <row r="6764">
      <c r="A6764" s="7">
        <f>HYPERLINK("http://www.lingerieopt.ru/item/5371-azhurnje-perchatki-mitenki-s-oborkami-i-trusiki-stringi/","5371")</f>
      </c>
      <c r="B6764" s="8" t="s">
        <v>1658</v>
      </c>
      <c r="C6764" s="9">
        <v>1030</v>
      </c>
      <c r="D6764" s="0">
        <v>0</v>
      </c>
      <c r="E6764" s="10">
        <f>HYPERLINK("http://www.lingerieopt.ru/images/original/8aa8b28e-de22-4db6-802f-726449d79bb8.jpg","Фото")</f>
      </c>
    </row>
    <row r="6765">
      <c r="A6765" s="7">
        <f>HYPERLINK("http://www.lingerieopt.ru/item/5371-azhurnje-perchatki-mitenki-s-oborkami-i-trusiki-stringi/","5371")</f>
      </c>
      <c r="B6765" s="8" t="s">
        <v>1657</v>
      </c>
      <c r="C6765" s="9">
        <v>1030</v>
      </c>
      <c r="D6765" s="0">
        <v>0</v>
      </c>
      <c r="E6765" s="10">
        <f>HYPERLINK("http://www.lingerieopt.ru/images/original/8aa8b28e-de22-4db6-802f-726449d79bb8.jpg","Фото")</f>
      </c>
    </row>
    <row r="6766">
      <c r="A6766" s="7">
        <f>HYPERLINK("http://www.lingerieopt.ru/item/5371-azhurnje-perchatki-mitenki-s-oborkami-i-trusiki-stringi/","5371")</f>
      </c>
      <c r="B6766" s="8" t="s">
        <v>1656</v>
      </c>
      <c r="C6766" s="9">
        <v>1030</v>
      </c>
      <c r="D6766" s="0">
        <v>3</v>
      </c>
      <c r="E6766" s="10">
        <f>HYPERLINK("http://www.lingerieopt.ru/images/original/8aa8b28e-de22-4db6-802f-726449d79bb8.jpg","Фото")</f>
      </c>
    </row>
    <row r="6767">
      <c r="A6767" s="7">
        <f>HYPERLINK("http://www.lingerieopt.ru/item/5598-kruzhevnje-shortiki-so-shnurovkoi/","5598")</f>
      </c>
      <c r="B6767" s="8" t="s">
        <v>6516</v>
      </c>
      <c r="C6767" s="9">
        <v>1295</v>
      </c>
      <c r="D6767" s="0">
        <v>0</v>
      </c>
      <c r="E6767" s="10">
        <f>HYPERLINK("http://www.lingerieopt.ru/images/original/d262effb-3403-4ec1-9dc7-11c9f9a69e06.jpg","Фото")</f>
      </c>
    </row>
    <row r="6768">
      <c r="A6768" s="7">
        <f>HYPERLINK("http://www.lingerieopt.ru/item/5598-kruzhevnje-shortiki-so-shnurovkoi/","5598")</f>
      </c>
      <c r="B6768" s="8" t="s">
        <v>6517</v>
      </c>
      <c r="C6768" s="9">
        <v>1295</v>
      </c>
      <c r="D6768" s="0">
        <v>2</v>
      </c>
      <c r="E6768" s="10">
        <f>HYPERLINK("http://www.lingerieopt.ru/images/original/d262effb-3403-4ec1-9dc7-11c9f9a69e06.jpg","Фото")</f>
      </c>
    </row>
    <row r="6769">
      <c r="A6769" s="7">
        <f>HYPERLINK("http://www.lingerieopt.ru/item/6088-trusiki-stringi-s-pikantnjm-vjrezom/","6088")</f>
      </c>
      <c r="B6769" s="8" t="s">
        <v>6518</v>
      </c>
      <c r="C6769" s="9">
        <v>627</v>
      </c>
      <c r="D6769" s="0">
        <v>30</v>
      </c>
      <c r="E6769" s="10">
        <f>HYPERLINK("http://www.lingerieopt.ru/images/original/dcbd8962-1a74-47a2-903e-41d9d7907fba.jpg","Фото")</f>
      </c>
    </row>
    <row r="6770">
      <c r="A6770" s="7">
        <f>HYPERLINK("http://www.lingerieopt.ru/item/6088-trusiki-stringi-s-pikantnjm-vjrezom/","6088")</f>
      </c>
      <c r="B6770" s="8" t="s">
        <v>6519</v>
      </c>
      <c r="C6770" s="9">
        <v>627</v>
      </c>
      <c r="D6770" s="0">
        <v>31</v>
      </c>
      <c r="E6770" s="10">
        <f>HYPERLINK("http://www.lingerieopt.ru/images/original/dcbd8962-1a74-47a2-903e-41d9d7907fba.jpg","Фото")</f>
      </c>
    </row>
    <row r="6771">
      <c r="A6771" s="7">
        <f>HYPERLINK("http://www.lingerieopt.ru/item/6149-setchatje-trusiki-s-bantom/","6149")</f>
      </c>
      <c r="B6771" s="8" t="s">
        <v>6520</v>
      </c>
      <c r="C6771" s="9">
        <v>367</v>
      </c>
      <c r="D6771" s="0">
        <v>14</v>
      </c>
      <c r="E6771" s="10">
        <f>HYPERLINK("http://www.lingerieopt.ru/images/original/a8cf8433-04e6-4551-bd39-4ef7e49eb43d.jpg","Фото")</f>
      </c>
    </row>
    <row r="6772">
      <c r="A6772" s="7">
        <f>HYPERLINK("http://www.lingerieopt.ru/item/6149-setchatje-trusiki-s-bantom/","6149")</f>
      </c>
      <c r="B6772" s="8" t="s">
        <v>6521</v>
      </c>
      <c r="C6772" s="9">
        <v>367</v>
      </c>
      <c r="D6772" s="0">
        <v>11</v>
      </c>
      <c r="E6772" s="10">
        <f>HYPERLINK("http://www.lingerieopt.ru/images/original/a8cf8433-04e6-4551-bd39-4ef7e49eb43d.jpg","Фото")</f>
      </c>
    </row>
    <row r="6773">
      <c r="A6773" s="7">
        <f>HYPERLINK("http://www.lingerieopt.ru/item/6149-setchatje-trusiki-s-bantom/","6149")</f>
      </c>
      <c r="B6773" s="8" t="s">
        <v>6522</v>
      </c>
      <c r="C6773" s="9">
        <v>367</v>
      </c>
      <c r="D6773" s="0">
        <v>2</v>
      </c>
      <c r="E6773" s="10">
        <f>HYPERLINK("http://www.lingerieopt.ru/images/original/a8cf8433-04e6-4551-bd39-4ef7e49eb43d.jpg","Фото")</f>
      </c>
    </row>
    <row r="6774">
      <c r="A6774" s="7">
        <f>HYPERLINK("http://www.lingerieopt.ru/item/6149-setchatje-trusiki-s-bantom/","6149")</f>
      </c>
      <c r="B6774" s="8" t="s">
        <v>6523</v>
      </c>
      <c r="C6774" s="9">
        <v>367</v>
      </c>
      <c r="D6774" s="0">
        <v>6</v>
      </c>
      <c r="E6774" s="10">
        <f>HYPERLINK("http://www.lingerieopt.ru/images/original/a8cf8433-04e6-4551-bd39-4ef7e49eb43d.jpg","Фото")</f>
      </c>
    </row>
    <row r="6775">
      <c r="A6775" s="7">
        <f>HYPERLINK("http://www.lingerieopt.ru/item/6149-setchatje-trusiki-s-bantom/","6149")</f>
      </c>
      <c r="B6775" s="8" t="s">
        <v>6524</v>
      </c>
      <c r="C6775" s="9">
        <v>367</v>
      </c>
      <c r="D6775" s="0">
        <v>10</v>
      </c>
      <c r="E6775" s="10">
        <f>HYPERLINK("http://www.lingerieopt.ru/images/original/a8cf8433-04e6-4551-bd39-4ef7e49eb43d.jpg","Фото")</f>
      </c>
    </row>
    <row r="6776">
      <c r="A6776" s="7">
        <f>HYPERLINK("http://www.lingerieopt.ru/item/6149-setchatje-trusiki-s-bantom/","6149")</f>
      </c>
      <c r="B6776" s="8" t="s">
        <v>6525</v>
      </c>
      <c r="C6776" s="9">
        <v>367</v>
      </c>
      <c r="D6776" s="0">
        <v>14</v>
      </c>
      <c r="E6776" s="10">
        <f>HYPERLINK("http://www.lingerieopt.ru/images/original/a8cf8433-04e6-4551-bd39-4ef7e49eb43d.jpg","Фото")</f>
      </c>
    </row>
    <row r="6777">
      <c r="A6777" s="7">
        <f>HYPERLINK("http://www.lingerieopt.ru/item/6150-kruzhevnje-trusiki-s-azhurnjmi-vjrezami/","6150")</f>
      </c>
      <c r="B6777" s="8" t="s">
        <v>6526</v>
      </c>
      <c r="C6777" s="9">
        <v>428</v>
      </c>
      <c r="D6777" s="0">
        <v>15</v>
      </c>
      <c r="E6777" s="10">
        <f>HYPERLINK("http://www.lingerieopt.ru/images/original/fbfbca2f-3056-455f-9ffd-62c2200d426f.jpg","Фото")</f>
      </c>
    </row>
    <row r="6778">
      <c r="A6778" s="7">
        <f>HYPERLINK("http://www.lingerieopt.ru/item/6150-kruzhevnje-trusiki-s-azhurnjmi-vjrezami/","6150")</f>
      </c>
      <c r="B6778" s="8" t="s">
        <v>6527</v>
      </c>
      <c r="C6778" s="9">
        <v>428</v>
      </c>
      <c r="D6778" s="0">
        <v>0</v>
      </c>
      <c r="E6778" s="10">
        <f>HYPERLINK("http://www.lingerieopt.ru/images/original/fbfbca2f-3056-455f-9ffd-62c2200d426f.jpg","Фото")</f>
      </c>
    </row>
    <row r="6779">
      <c r="A6779" s="7">
        <f>HYPERLINK("http://www.lingerieopt.ru/item/6150-kruzhevnje-trusiki-s-azhurnjmi-vjrezami/","6150")</f>
      </c>
      <c r="B6779" s="8" t="s">
        <v>6528</v>
      </c>
      <c r="C6779" s="9">
        <v>428</v>
      </c>
      <c r="D6779" s="0">
        <v>4</v>
      </c>
      <c r="E6779" s="10">
        <f>HYPERLINK("http://www.lingerieopt.ru/images/original/fbfbca2f-3056-455f-9ffd-62c2200d426f.jpg","Фото")</f>
      </c>
    </row>
    <row r="6780">
      <c r="A6780" s="7">
        <f>HYPERLINK("http://www.lingerieopt.ru/item/6150-kruzhevnje-trusiki-s-azhurnjmi-vjrezami/","6150")</f>
      </c>
      <c r="B6780" s="8" t="s">
        <v>6529</v>
      </c>
      <c r="C6780" s="9">
        <v>428</v>
      </c>
      <c r="D6780" s="0">
        <v>14</v>
      </c>
      <c r="E6780" s="10">
        <f>HYPERLINK("http://www.lingerieopt.ru/images/original/fbfbca2f-3056-455f-9ffd-62c2200d426f.jpg","Фото")</f>
      </c>
    </row>
    <row r="6781">
      <c r="A6781" s="7">
        <f>HYPERLINK("http://www.lingerieopt.ru/item/6150-kruzhevnje-trusiki-s-azhurnjmi-vjrezami/","6150")</f>
      </c>
      <c r="B6781" s="8" t="s">
        <v>6530</v>
      </c>
      <c r="C6781" s="9">
        <v>428</v>
      </c>
      <c r="D6781" s="0">
        <v>15</v>
      </c>
      <c r="E6781" s="10">
        <f>HYPERLINK("http://www.lingerieopt.ru/images/original/fbfbca2f-3056-455f-9ffd-62c2200d426f.jpg","Фото")</f>
      </c>
    </row>
    <row r="6782">
      <c r="A6782" s="7">
        <f>HYPERLINK("http://www.lingerieopt.ru/item/6150-kruzhevnje-trusiki-s-azhurnjmi-vjrezami/","6150")</f>
      </c>
      <c r="B6782" s="8" t="s">
        <v>6531</v>
      </c>
      <c r="C6782" s="9">
        <v>428</v>
      </c>
      <c r="D6782" s="0">
        <v>8</v>
      </c>
      <c r="E6782" s="10">
        <f>HYPERLINK("http://www.lingerieopt.ru/images/original/fbfbca2f-3056-455f-9ffd-62c2200d426f.jpg","Фото")</f>
      </c>
    </row>
    <row r="6783">
      <c r="A6783" s="7">
        <f>HYPERLINK("http://www.lingerieopt.ru/item/6332-otkrjtje-kruzhevnje-trusiki/","6332")</f>
      </c>
      <c r="B6783" s="8" t="s">
        <v>6532</v>
      </c>
      <c r="C6783" s="9">
        <v>610</v>
      </c>
      <c r="D6783" s="0">
        <v>5</v>
      </c>
      <c r="E6783" s="10">
        <f>HYPERLINK("http://www.lingerieopt.ru/images/original/e3f4459e-90f2-484b-a565-3c3ab979bbf0.jpg","Фото")</f>
      </c>
    </row>
    <row r="6784">
      <c r="A6784" s="7">
        <f>HYPERLINK("http://www.lingerieopt.ru/item/6332-otkrjtje-kruzhevnje-trusiki/","6332")</f>
      </c>
      <c r="B6784" s="8" t="s">
        <v>6533</v>
      </c>
      <c r="C6784" s="9">
        <v>610</v>
      </c>
      <c r="D6784" s="0">
        <v>10</v>
      </c>
      <c r="E6784" s="10">
        <f>HYPERLINK("http://www.lingerieopt.ru/images/original/e3f4459e-90f2-484b-a565-3c3ab979bbf0.jpg","Фото")</f>
      </c>
    </row>
    <row r="6785">
      <c r="A6785" s="7">
        <f>HYPERLINK("http://www.lingerieopt.ru/item/6359-komplekt-iz-kruzhevnogo-poyasa-dlya-chulok-i-trusikov-string-s-razrezom/","6359")</f>
      </c>
      <c r="B6785" s="8" t="s">
        <v>6534</v>
      </c>
      <c r="C6785" s="9">
        <v>1162</v>
      </c>
      <c r="D6785" s="0">
        <v>13</v>
      </c>
      <c r="E6785" s="10">
        <f>HYPERLINK("http://www.lingerieopt.ru/images/original/a6456d22-50fb-4d13-8bb8-c575a1f42b09.jpg","Фото")</f>
      </c>
    </row>
    <row r="6786">
      <c r="A6786" s="7">
        <f>HYPERLINK("http://www.lingerieopt.ru/item/6359-komplekt-iz-kruzhevnogo-poyasa-dlya-chulok-i-trusikov-string-s-razrezom/","6359")</f>
      </c>
      <c r="B6786" s="8" t="s">
        <v>6535</v>
      </c>
      <c r="C6786" s="9">
        <v>1162</v>
      </c>
      <c r="D6786" s="0">
        <v>2</v>
      </c>
      <c r="E6786" s="10">
        <f>HYPERLINK("http://www.lingerieopt.ru/images/original/a6456d22-50fb-4d13-8bb8-c575a1f42b09.jpg","Фото")</f>
      </c>
    </row>
    <row r="6787">
      <c r="A6787" s="7">
        <f>HYPERLINK("http://www.lingerieopt.ru/item/6385-miniatyurnje-trusiki-s-tonkimi-bokovjmi-lyamkami/","6385")</f>
      </c>
      <c r="B6787" s="8" t="s">
        <v>6536</v>
      </c>
      <c r="C6787" s="9">
        <v>456</v>
      </c>
      <c r="D6787" s="0">
        <v>0</v>
      </c>
      <c r="E6787" s="10">
        <f>HYPERLINK("http://www.lingerieopt.ru/images/original/90de13f9-c59f-47c4-8bda-3923b697967b.jpg","Фото")</f>
      </c>
    </row>
    <row r="6788">
      <c r="A6788" s="7">
        <f>HYPERLINK("http://www.lingerieopt.ru/item/6385-miniatyurnje-trusiki-s-tonkimi-bokovjmi-lyamkami/","6385")</f>
      </c>
      <c r="B6788" s="8" t="s">
        <v>6537</v>
      </c>
      <c r="C6788" s="9">
        <v>456</v>
      </c>
      <c r="D6788" s="0">
        <v>7</v>
      </c>
      <c r="E6788" s="10">
        <f>HYPERLINK("http://www.lingerieopt.ru/images/original/90de13f9-c59f-47c4-8bda-3923b697967b.jpg","Фото")</f>
      </c>
    </row>
    <row r="6789">
      <c r="A6789" s="7">
        <f>HYPERLINK("http://www.lingerieopt.ru/item/6422-trusiki-stringi-carmelove-s-kruzhevnjmi-vstavkami/","6422")</f>
      </c>
      <c r="B6789" s="8" t="s">
        <v>6538</v>
      </c>
      <c r="C6789" s="9">
        <v>799</v>
      </c>
      <c r="D6789" s="0">
        <v>0</v>
      </c>
      <c r="E6789" s="10">
        <f>HYPERLINK("http://www.lingerieopt.ru/images/original/0291f5fe-ba33-4b16-8c7f-ef3dfd14a10d.jpg","Фото")</f>
      </c>
    </row>
    <row r="6790">
      <c r="A6790" s="7">
        <f>HYPERLINK("http://www.lingerieopt.ru/item/6422-trusiki-stringi-carmelove-s-kruzhevnjmi-vstavkami/","6422")</f>
      </c>
      <c r="B6790" s="8" t="s">
        <v>6539</v>
      </c>
      <c r="C6790" s="9">
        <v>799</v>
      </c>
      <c r="D6790" s="0">
        <v>1</v>
      </c>
      <c r="E6790" s="10">
        <f>HYPERLINK("http://www.lingerieopt.ru/images/original/0291f5fe-ba33-4b16-8c7f-ef3dfd14a10d.jpg","Фото")</f>
      </c>
    </row>
    <row r="6791">
      <c r="A6791" s="7">
        <f>HYPERLINK("http://www.lingerieopt.ru/item/6487-trusiki-stringi-s-shirokim-kruzhevnjm-poyaskom/","6487")</f>
      </c>
      <c r="B6791" s="8" t="s">
        <v>6540</v>
      </c>
      <c r="C6791" s="9">
        <v>780</v>
      </c>
      <c r="D6791" s="0">
        <v>30</v>
      </c>
      <c r="E6791" s="10">
        <f>HYPERLINK("http://www.lingerieopt.ru/images/original/a071e1f7-9701-407f-ac5b-b1a8bd9a3f5b.jpg","Фото")</f>
      </c>
    </row>
    <row r="6792">
      <c r="A6792" s="7">
        <f>HYPERLINK("http://www.lingerieopt.ru/item/6487-trusiki-stringi-s-shirokim-kruzhevnjm-poyaskom/","6487")</f>
      </c>
      <c r="B6792" s="8" t="s">
        <v>6541</v>
      </c>
      <c r="C6792" s="9">
        <v>780</v>
      </c>
      <c r="D6792" s="0">
        <v>30</v>
      </c>
      <c r="E6792" s="10">
        <f>HYPERLINK("http://www.lingerieopt.ru/images/original/a071e1f7-9701-407f-ac5b-b1a8bd9a3f5b.jpg","Фото")</f>
      </c>
    </row>
    <row r="6793">
      <c r="A6793" s="7">
        <f>HYPERLINK("http://www.lingerieopt.ru/item/6580-vjsokie-kruzhevnje-trusiki-felicity-s-kontrastnoi-shnurovkoi/","6580")</f>
      </c>
      <c r="B6793" s="8" t="s">
        <v>6542</v>
      </c>
      <c r="C6793" s="9">
        <v>918</v>
      </c>
      <c r="D6793" s="0">
        <v>2</v>
      </c>
      <c r="E6793" s="10">
        <f>HYPERLINK("http://www.lingerieopt.ru/images/original/748976ba-c50b-4d18-95c3-0cce45571ac6.jpg","Фото")</f>
      </c>
    </row>
    <row r="6794">
      <c r="A6794" s="7">
        <f>HYPERLINK("http://www.lingerieopt.ru/item/6580-vjsokie-kruzhevnje-trusiki-felicity-s-kontrastnoi-shnurovkoi/","6580")</f>
      </c>
      <c r="B6794" s="8" t="s">
        <v>6543</v>
      </c>
      <c r="C6794" s="9">
        <v>918</v>
      </c>
      <c r="D6794" s="0">
        <v>2</v>
      </c>
      <c r="E6794" s="10">
        <f>HYPERLINK("http://www.lingerieopt.ru/images/original/748976ba-c50b-4d18-95c3-0cce45571ac6.jpg","Фото")</f>
      </c>
    </row>
    <row r="6795">
      <c r="A6795" s="7">
        <f>HYPERLINK("http://www.lingerieopt.ru/item/6580-vjsokie-kruzhevnje-trusiki-felicity-s-kontrastnoi-shnurovkoi/","6580")</f>
      </c>
      <c r="B6795" s="8" t="s">
        <v>6544</v>
      </c>
      <c r="C6795" s="9">
        <v>918</v>
      </c>
      <c r="D6795" s="0">
        <v>5</v>
      </c>
      <c r="E6795" s="10">
        <f>HYPERLINK("http://www.lingerieopt.ru/images/original/748976ba-c50b-4d18-95c3-0cce45571ac6.jpg","Фото")</f>
      </c>
    </row>
    <row r="6796">
      <c r="A6796" s="7">
        <f>HYPERLINK("http://www.lingerieopt.ru/item/6580-vjsokie-kruzhevnje-trusiki-felicity-s-kontrastnoi-shnurovkoi/","6580")</f>
      </c>
      <c r="B6796" s="8" t="s">
        <v>6545</v>
      </c>
      <c r="C6796" s="9">
        <v>918</v>
      </c>
      <c r="D6796" s="0">
        <v>1</v>
      </c>
      <c r="E6796" s="10">
        <f>HYPERLINK("http://www.lingerieopt.ru/images/original/748976ba-c50b-4d18-95c3-0cce45571ac6.jpg","Фото")</f>
      </c>
    </row>
    <row r="6797">
      <c r="A6797" s="7">
        <f>HYPERLINK("http://www.lingerieopt.ru/item/6581-kruzhevnje-trusiki-quinn-s-otkrjtjmi-yagodicami/","6581")</f>
      </c>
      <c r="B6797" s="8" t="s">
        <v>6546</v>
      </c>
      <c r="C6797" s="9">
        <v>437</v>
      </c>
      <c r="D6797" s="0">
        <v>4</v>
      </c>
      <c r="E6797" s="10">
        <f>HYPERLINK("http://www.lingerieopt.ru/images/original/2472e5b8-0715-4756-af5b-f820b1319bf5.jpg","Фото")</f>
      </c>
    </row>
    <row r="6798">
      <c r="A6798" s="7">
        <f>HYPERLINK("http://www.lingerieopt.ru/item/6581-kruzhevnje-trusiki-quinn-s-otkrjtjmi-yagodicami/","6581")</f>
      </c>
      <c r="B6798" s="8" t="s">
        <v>6547</v>
      </c>
      <c r="C6798" s="9">
        <v>437</v>
      </c>
      <c r="D6798" s="0">
        <v>2</v>
      </c>
      <c r="E6798" s="10">
        <f>HYPERLINK("http://www.lingerieopt.ru/images/original/2472e5b8-0715-4756-af5b-f820b1319bf5.jpg","Фото")</f>
      </c>
    </row>
    <row r="6799">
      <c r="A6799" s="7">
        <f>HYPERLINK("http://www.lingerieopt.ru/item/6581-kruzhevnje-trusiki-quinn-s-otkrjtjmi-yagodicami/","6581")</f>
      </c>
      <c r="B6799" s="8" t="s">
        <v>6548</v>
      </c>
      <c r="C6799" s="9">
        <v>437</v>
      </c>
      <c r="D6799" s="0">
        <v>3</v>
      </c>
      <c r="E6799" s="10">
        <f>HYPERLINK("http://www.lingerieopt.ru/images/original/2472e5b8-0715-4756-af5b-f820b1319bf5.jpg","Фото")</f>
      </c>
    </row>
    <row r="6800">
      <c r="A6800" s="7">
        <f>HYPERLINK("http://www.lingerieopt.ru/item/6581-kruzhevnje-trusiki-quinn-s-otkrjtjmi-yagodicami/","6581")</f>
      </c>
      <c r="B6800" s="8" t="s">
        <v>6549</v>
      </c>
      <c r="C6800" s="9">
        <v>437</v>
      </c>
      <c r="D6800" s="0">
        <v>8</v>
      </c>
      <c r="E6800" s="10">
        <f>HYPERLINK("http://www.lingerieopt.ru/images/original/2472e5b8-0715-4756-af5b-f820b1319bf5.jpg","Фото")</f>
      </c>
    </row>
    <row r="6801">
      <c r="A6801" s="7">
        <f>HYPERLINK("http://www.lingerieopt.ru/item/6582-trusiki-stringi-ossia-s-uglublennjm-verhnim-kraem/","6582")</f>
      </c>
      <c r="B6801" s="8" t="s">
        <v>6550</v>
      </c>
      <c r="C6801" s="9">
        <v>375</v>
      </c>
      <c r="D6801" s="0">
        <v>0</v>
      </c>
      <c r="E6801" s="10">
        <f>HYPERLINK("http://www.lingerieopt.ru/images/original/3ee4b91c-f627-4b7a-982f-6d400734170f.jpg","Фото")</f>
      </c>
    </row>
    <row r="6802">
      <c r="A6802" s="7">
        <f>HYPERLINK("http://www.lingerieopt.ru/item/6582-trusiki-stringi-ossia-s-uglublennjm-verhnim-kraem/","6582")</f>
      </c>
      <c r="B6802" s="8" t="s">
        <v>6551</v>
      </c>
      <c r="C6802" s="9">
        <v>375</v>
      </c>
      <c r="D6802" s="0">
        <v>4</v>
      </c>
      <c r="E6802" s="10">
        <f>HYPERLINK("http://www.lingerieopt.ru/images/original/3ee4b91c-f627-4b7a-982f-6d400734170f.jpg","Фото")</f>
      </c>
    </row>
    <row r="6803">
      <c r="A6803" s="7">
        <f>HYPERLINK("http://www.lingerieopt.ru/item/6582-trusiki-stringi-ossia-s-uglublennjm-verhnim-kraem/","6582")</f>
      </c>
      <c r="B6803" s="8" t="s">
        <v>6552</v>
      </c>
      <c r="C6803" s="9">
        <v>375</v>
      </c>
      <c r="D6803" s="0">
        <v>3</v>
      </c>
      <c r="E6803" s="10">
        <f>HYPERLINK("http://www.lingerieopt.ru/images/original/3ee4b91c-f627-4b7a-982f-6d400734170f.jpg","Фото")</f>
      </c>
    </row>
    <row r="6804">
      <c r="A6804" s="7">
        <f>HYPERLINK("http://www.lingerieopt.ru/item/6582-trusiki-stringi-ossia-s-uglublennjm-verhnim-kraem/","6582")</f>
      </c>
      <c r="B6804" s="8" t="s">
        <v>6553</v>
      </c>
      <c r="C6804" s="9">
        <v>375</v>
      </c>
      <c r="D6804" s="0">
        <v>1</v>
      </c>
      <c r="E6804" s="10">
        <f>HYPERLINK("http://www.lingerieopt.ru/images/original/3ee4b91c-f627-4b7a-982f-6d400734170f.jpg","Фото")</f>
      </c>
    </row>
    <row r="6805">
      <c r="A6805" s="7">
        <f>HYPERLINK("http://www.lingerieopt.ru/item/6583-trusiki-intriganti-s-vjrezom-serdechkom-na-yagodicah/","6583")</f>
      </c>
      <c r="B6805" s="8" t="s">
        <v>6554</v>
      </c>
      <c r="C6805" s="9">
        <v>424</v>
      </c>
      <c r="D6805" s="0">
        <v>1</v>
      </c>
      <c r="E6805" s="10">
        <f>HYPERLINK("http://www.lingerieopt.ru/images/original/fd0bd0a9-27e7-4176-b46f-860c36b2de8c.jpg","Фото")</f>
      </c>
    </row>
    <row r="6806">
      <c r="A6806" s="7">
        <f>HYPERLINK("http://www.lingerieopt.ru/item/6583-trusiki-intriganti-s-vjrezom-serdechkom-na-yagodicah/","6583")</f>
      </c>
      <c r="B6806" s="8" t="s">
        <v>6555</v>
      </c>
      <c r="C6806" s="9">
        <v>424</v>
      </c>
      <c r="D6806" s="0">
        <v>3</v>
      </c>
      <c r="E6806" s="10">
        <f>HYPERLINK("http://www.lingerieopt.ru/images/original/fd0bd0a9-27e7-4176-b46f-860c36b2de8c.jpg","Фото")</f>
      </c>
    </row>
    <row r="6807">
      <c r="A6807" s="7">
        <f>HYPERLINK("http://www.lingerieopt.ru/item/6583-trusiki-intriganti-s-vjrezom-serdechkom-na-yagodicah/","6583")</f>
      </c>
      <c r="B6807" s="8" t="s">
        <v>6556</v>
      </c>
      <c r="C6807" s="9">
        <v>424</v>
      </c>
      <c r="D6807" s="0">
        <v>2</v>
      </c>
      <c r="E6807" s="10">
        <f>HYPERLINK("http://www.lingerieopt.ru/images/original/fd0bd0a9-27e7-4176-b46f-860c36b2de8c.jpg","Фото")</f>
      </c>
    </row>
    <row r="6808">
      <c r="A6808" s="7">
        <f>HYPERLINK("http://www.lingerieopt.ru/item/6583-trusiki-intriganti-s-vjrezom-serdechkom-na-yagodicah/","6583")</f>
      </c>
      <c r="B6808" s="8" t="s">
        <v>6557</v>
      </c>
      <c r="C6808" s="9">
        <v>424</v>
      </c>
      <c r="D6808" s="0">
        <v>3</v>
      </c>
      <c r="E6808" s="10">
        <f>HYPERLINK("http://www.lingerieopt.ru/images/original/fd0bd0a9-27e7-4176-b46f-860c36b2de8c.jpg","Фото")</f>
      </c>
    </row>
    <row r="6809">
      <c r="A6809" s="7">
        <f>HYPERLINK("http://www.lingerieopt.ru/item/6592-kruzhevnoi-komplekt-magnolia-iz-3-predmetov/","6592")</f>
      </c>
      <c r="B6809" s="8" t="s">
        <v>4165</v>
      </c>
      <c r="C6809" s="9">
        <v>784</v>
      </c>
      <c r="D6809" s="0">
        <v>3</v>
      </c>
      <c r="E6809" s="10">
        <f>HYPERLINK("http://www.lingerieopt.ru/images/original/e28716f0-e9bc-413e-b553-6a806bdacc9f.jpg","Фото")</f>
      </c>
    </row>
    <row r="6810">
      <c r="A6810" s="7">
        <f>HYPERLINK("http://www.lingerieopt.ru/item/6592-kruzhevnoi-komplekt-magnolia-iz-3-predmetov/","6592")</f>
      </c>
      <c r="B6810" s="8" t="s">
        <v>4167</v>
      </c>
      <c r="C6810" s="9">
        <v>784</v>
      </c>
      <c r="D6810" s="0">
        <v>6</v>
      </c>
      <c r="E6810" s="10">
        <f>HYPERLINK("http://www.lingerieopt.ru/images/original/e28716f0-e9bc-413e-b553-6a806bdacc9f.jpg","Фото")</f>
      </c>
    </row>
    <row r="6811">
      <c r="A6811" s="7">
        <f>HYPERLINK("http://www.lingerieopt.ru/item/6592-kruzhevnoi-komplekt-magnolia-iz-3-predmetov/","6592")</f>
      </c>
      <c r="B6811" s="8" t="s">
        <v>4166</v>
      </c>
      <c r="C6811" s="9">
        <v>784</v>
      </c>
      <c r="D6811" s="0">
        <v>6</v>
      </c>
      <c r="E6811" s="10">
        <f>HYPERLINK("http://www.lingerieopt.ru/images/original/e28716f0-e9bc-413e-b553-6a806bdacc9f.jpg","Фото")</f>
      </c>
    </row>
    <row r="6812">
      <c r="A6812" s="7">
        <f>HYPERLINK("http://www.lingerieopt.ru/item/6649-atlasnje-stringi-s-kruzhevom-crotchless-thong-neon-coral/","6649")</f>
      </c>
      <c r="B6812" s="8" t="s">
        <v>6558</v>
      </c>
      <c r="C6812" s="9">
        <v>381</v>
      </c>
      <c r="D6812" s="0">
        <v>0</v>
      </c>
      <c r="E6812" s="10">
        <f>HYPERLINK("http://www.lingerieopt.ru/images/original/3c1f421a-020b-492a-8e56-b5a5abb66379.jpg","Фото")</f>
      </c>
    </row>
    <row r="6813">
      <c r="A6813" s="7">
        <f>HYPERLINK("http://www.lingerieopt.ru/item/6649-atlasnje-stringi-s-kruzhevom-crotchless-thong-neon-coral/","6649")</f>
      </c>
      <c r="B6813" s="8" t="s">
        <v>6559</v>
      </c>
      <c r="C6813" s="9">
        <v>381</v>
      </c>
      <c r="D6813" s="0">
        <v>3</v>
      </c>
      <c r="E6813" s="10">
        <f>HYPERLINK("http://www.lingerieopt.ru/images/original/3c1f421a-020b-492a-8e56-b5a5abb66379.jpg","Фото")</f>
      </c>
    </row>
    <row r="6814">
      <c r="A6814" s="7">
        <f>HYPERLINK("http://www.lingerieopt.ru/item/6679-trusiki-stringi-dolce-donna-thong/","6679")</f>
      </c>
      <c r="B6814" s="8" t="s">
        <v>6560</v>
      </c>
      <c r="C6814" s="9">
        <v>613</v>
      </c>
      <c r="D6814" s="0">
        <v>0</v>
      </c>
      <c r="E6814" s="10">
        <f>HYPERLINK("http://www.lingerieopt.ru/images/original/cfb282a1-47ab-47ca-8a60-892811a9140e.jpg","Фото")</f>
      </c>
    </row>
    <row r="6815">
      <c r="A6815" s="7">
        <f>HYPERLINK("http://www.lingerieopt.ru/item/6679-trusiki-stringi-dolce-donna-thong/","6679")</f>
      </c>
      <c r="B6815" s="8" t="s">
        <v>6561</v>
      </c>
      <c r="C6815" s="9">
        <v>613</v>
      </c>
      <c r="D6815" s="0">
        <v>0</v>
      </c>
      <c r="E6815" s="10">
        <f>HYPERLINK("http://www.lingerieopt.ru/images/original/cfb282a1-47ab-47ca-8a60-892811a9140e.jpg","Фото")</f>
      </c>
    </row>
    <row r="6816">
      <c r="A6816" s="7">
        <f>HYPERLINK("http://www.lingerieopt.ru/item/6679-trusiki-stringi-dolce-donna-thong/","6679")</f>
      </c>
      <c r="B6816" s="8" t="s">
        <v>6562</v>
      </c>
      <c r="C6816" s="9">
        <v>613</v>
      </c>
      <c r="D6816" s="0">
        <v>3</v>
      </c>
      <c r="E6816" s="10">
        <f>HYPERLINK("http://www.lingerieopt.ru/images/original/cfb282a1-47ab-47ca-8a60-892811a9140e.jpg","Фото")</f>
      </c>
    </row>
    <row r="6817">
      <c r="A6817" s="7">
        <f>HYPERLINK("http://www.lingerieopt.ru/item/6679-trusiki-stringi-dolce-donna-thong/","6679")</f>
      </c>
      <c r="B6817" s="8" t="s">
        <v>6563</v>
      </c>
      <c r="C6817" s="9">
        <v>613</v>
      </c>
      <c r="D6817" s="0">
        <v>6</v>
      </c>
      <c r="E6817" s="10">
        <f>HYPERLINK("http://www.lingerieopt.ru/images/original/cfb282a1-47ab-47ca-8a60-892811a9140e.jpg","Фото")</f>
      </c>
    </row>
    <row r="6818">
      <c r="A6818" s="7">
        <f>HYPERLINK("http://www.lingerieopt.ru/item/6682-trusiki-stringi-v-goroshek-pink-polka-dots-thong/","6682")</f>
      </c>
      <c r="B6818" s="8" t="s">
        <v>6564</v>
      </c>
      <c r="C6818" s="9">
        <v>608</v>
      </c>
      <c r="D6818" s="0">
        <v>0</v>
      </c>
      <c r="E6818" s="10">
        <f>HYPERLINK("http://www.lingerieopt.ru/images/original/742554f0-8337-4ca0-a529-8d35093c564e.jpg","Фото")</f>
      </c>
    </row>
    <row r="6819">
      <c r="A6819" s="7">
        <f>HYPERLINK("http://www.lingerieopt.ru/item/6682-trusiki-stringi-v-goroshek-pink-polka-dots-thong/","6682")</f>
      </c>
      <c r="B6819" s="8" t="s">
        <v>6565</v>
      </c>
      <c r="C6819" s="9">
        <v>608</v>
      </c>
      <c r="D6819" s="0">
        <v>0</v>
      </c>
      <c r="E6819" s="10">
        <f>HYPERLINK("http://www.lingerieopt.ru/images/original/742554f0-8337-4ca0-a529-8d35093c564e.jpg","Фото")</f>
      </c>
    </row>
    <row r="6820">
      <c r="A6820" s="7">
        <f>HYPERLINK("http://www.lingerieopt.ru/item/6682-trusiki-stringi-v-goroshek-pink-polka-dots-thong/","6682")</f>
      </c>
      <c r="B6820" s="8" t="s">
        <v>6566</v>
      </c>
      <c r="C6820" s="9">
        <v>608</v>
      </c>
      <c r="D6820" s="0">
        <v>1</v>
      </c>
      <c r="E6820" s="10">
        <f>HYPERLINK("http://www.lingerieopt.ru/images/original/742554f0-8337-4ca0-a529-8d35093c564e.jpg","Фото")</f>
      </c>
    </row>
    <row r="6821">
      <c r="A6821" s="7">
        <f>HYPERLINK("http://www.lingerieopt.ru/item/6683-trusiki-s-bantom-i-azhurnoi-lentoi-leopard-bow/","6683")</f>
      </c>
      <c r="B6821" s="8" t="s">
        <v>6567</v>
      </c>
      <c r="C6821" s="9">
        <v>608</v>
      </c>
      <c r="D6821" s="0">
        <v>3</v>
      </c>
      <c r="E6821" s="10">
        <f>HYPERLINK("http://www.lingerieopt.ru/images/original/eb0c4a87-4c5d-49ac-b763-b9f4fac7a765.jpg","Фото")</f>
      </c>
    </row>
    <row r="6822">
      <c r="A6822" s="7">
        <f>HYPERLINK("http://www.lingerieopt.ru/item/6838-trusiki-braziliana-alabastra-s-razrezom/","6838")</f>
      </c>
      <c r="B6822" s="8" t="s">
        <v>6568</v>
      </c>
      <c r="C6822" s="9">
        <v>612</v>
      </c>
      <c r="D6822" s="0">
        <v>1</v>
      </c>
      <c r="E6822" s="10">
        <f>HYPERLINK("http://www.lingerieopt.ru/images/original/4b576177-fe8d-44c1-8a67-ce6ee7741255.jpg","Фото")</f>
      </c>
    </row>
    <row r="6823">
      <c r="A6823" s="7">
        <f>HYPERLINK("http://www.lingerieopt.ru/item/6838-trusiki-braziliana-alabastra-s-razrezom/","6838")</f>
      </c>
      <c r="B6823" s="8" t="s">
        <v>6569</v>
      </c>
      <c r="C6823" s="9">
        <v>612</v>
      </c>
      <c r="D6823" s="0">
        <v>3</v>
      </c>
      <c r="E6823" s="10">
        <f>HYPERLINK("http://www.lingerieopt.ru/images/original/4b576177-fe8d-44c1-8a67-ce6ee7741255.jpg","Фото")</f>
      </c>
    </row>
    <row r="6824">
      <c r="A6824" s="7">
        <f>HYPERLINK("http://www.lingerieopt.ru/item/6846-trusiki-stringi-my-bijou/","6846")</f>
      </c>
      <c r="B6824" s="8" t="s">
        <v>6570</v>
      </c>
      <c r="C6824" s="9">
        <v>542</v>
      </c>
      <c r="D6824" s="0">
        <v>6</v>
      </c>
      <c r="E6824" s="10">
        <f>HYPERLINK("http://www.lingerieopt.ru/images/original/9e059694-73b9-4d9b-af54-540523ea4184.jpg","Фото")</f>
      </c>
    </row>
    <row r="6825">
      <c r="A6825" s="7">
        <f>HYPERLINK("http://www.lingerieopt.ru/item/6846-trusiki-stringi-my-bijou/","6846")</f>
      </c>
      <c r="B6825" s="8" t="s">
        <v>6571</v>
      </c>
      <c r="C6825" s="9">
        <v>542</v>
      </c>
      <c r="D6825" s="0">
        <v>0</v>
      </c>
      <c r="E6825" s="10">
        <f>HYPERLINK("http://www.lingerieopt.ru/images/original/9e059694-73b9-4d9b-af54-540523ea4184.jpg","Фото")</f>
      </c>
    </row>
    <row r="6826">
      <c r="A6826" s="7">
        <f>HYPERLINK("http://www.lingerieopt.ru/item/6846-trusiki-stringi-my-bijou/","6846")</f>
      </c>
      <c r="B6826" s="8" t="s">
        <v>6572</v>
      </c>
      <c r="C6826" s="9">
        <v>542</v>
      </c>
      <c r="D6826" s="0">
        <v>0</v>
      </c>
      <c r="E6826" s="10">
        <f>HYPERLINK("http://www.lingerieopt.ru/images/original/9e059694-73b9-4d9b-af54-540523ea4184.jpg","Фото")</f>
      </c>
    </row>
    <row r="6827">
      <c r="A6827" s="7">
        <f>HYPERLINK("http://www.lingerieopt.ru/item/6846-trusiki-stringi-my-bijou/","6846")</f>
      </c>
      <c r="B6827" s="8" t="s">
        <v>6573</v>
      </c>
      <c r="C6827" s="9">
        <v>542</v>
      </c>
      <c r="D6827" s="0">
        <v>0</v>
      </c>
      <c r="E6827" s="10">
        <f>HYPERLINK("http://www.lingerieopt.ru/images/original/9e059694-73b9-4d9b-af54-540523ea4184.jpg","Фото")</f>
      </c>
    </row>
    <row r="6828">
      <c r="A6828" s="7">
        <f>HYPERLINK("http://www.lingerieopt.ru/item/6851-trusiki-bisquitta-s-vjrezom-i-broshkoi-na-pope/","6851")</f>
      </c>
      <c r="B6828" s="8" t="s">
        <v>6574</v>
      </c>
      <c r="C6828" s="9">
        <v>712</v>
      </c>
      <c r="D6828" s="0">
        <v>1</v>
      </c>
      <c r="E6828" s="10">
        <f>HYPERLINK("http://www.lingerieopt.ru/images/original/7c7ea409-fa22-4f2c-8a78-7768e4e127dd.jpg","Фото")</f>
      </c>
    </row>
    <row r="6829">
      <c r="A6829" s="7">
        <f>HYPERLINK("http://www.lingerieopt.ru/item/6851-trusiki-bisquitta-s-vjrezom-i-broshkoi-na-pope/","6851")</f>
      </c>
      <c r="B6829" s="8" t="s">
        <v>6575</v>
      </c>
      <c r="C6829" s="9">
        <v>712</v>
      </c>
      <c r="D6829" s="0">
        <v>0</v>
      </c>
      <c r="E6829" s="10">
        <f>HYPERLINK("http://www.lingerieopt.ru/images/original/7c7ea409-fa22-4f2c-8a78-7768e4e127dd.jpg","Фото")</f>
      </c>
    </row>
    <row r="6830">
      <c r="A6830" s="7">
        <f>HYPERLINK("http://www.lingerieopt.ru/item/6884-alje-trusiki-secred-v-komplekte-s-aksessuarami/","6884")</f>
      </c>
      <c r="B6830" s="8" t="s">
        <v>1791</v>
      </c>
      <c r="C6830" s="9">
        <v>1175</v>
      </c>
      <c r="D6830" s="0">
        <v>8</v>
      </c>
      <c r="E6830" s="10">
        <f>HYPERLINK("http://www.lingerieopt.ru/images/original/9472ccb5-bd68-4a3f-8575-fb7342be8aa1.jpg","Фото")</f>
      </c>
    </row>
    <row r="6831">
      <c r="A6831" s="7">
        <f>HYPERLINK("http://www.lingerieopt.ru/item/6884-alje-trusiki-secred-v-komplekte-s-aksessuarami/","6884")</f>
      </c>
      <c r="B6831" s="8" t="s">
        <v>1792</v>
      </c>
      <c r="C6831" s="9">
        <v>1175</v>
      </c>
      <c r="D6831" s="0">
        <v>7</v>
      </c>
      <c r="E6831" s="10">
        <f>HYPERLINK("http://www.lingerieopt.ru/images/original/9472ccb5-bd68-4a3f-8575-fb7342be8aa1.jpg","Фото")</f>
      </c>
    </row>
    <row r="6832">
      <c r="A6832" s="7">
        <f>HYPERLINK("http://www.lingerieopt.ru/item/6908-originalnje-trusiki-stringi-luiza/","6908")</f>
      </c>
      <c r="B6832" s="8" t="s">
        <v>6576</v>
      </c>
      <c r="C6832" s="9">
        <v>399</v>
      </c>
      <c r="D6832" s="0">
        <v>0</v>
      </c>
      <c r="E6832" s="10">
        <f>HYPERLINK("http://www.lingerieopt.ru/images/original/748f599c-7424-48d0-b2c7-322ea369e870.jpg","Фото")</f>
      </c>
    </row>
    <row r="6833">
      <c r="A6833" s="7">
        <f>HYPERLINK("http://www.lingerieopt.ru/item/6908-originalnje-trusiki-stringi-luiza/","6908")</f>
      </c>
      <c r="B6833" s="8" t="s">
        <v>6577</v>
      </c>
      <c r="C6833" s="9">
        <v>399</v>
      </c>
      <c r="D6833" s="0">
        <v>0</v>
      </c>
      <c r="E6833" s="10">
        <f>HYPERLINK("http://www.lingerieopt.ru/images/original/748f599c-7424-48d0-b2c7-322ea369e870.jpg","Фото")</f>
      </c>
    </row>
    <row r="6834">
      <c r="A6834" s="7">
        <f>HYPERLINK("http://www.lingerieopt.ru/item/6908-originalnje-trusiki-stringi-luiza/","6908")</f>
      </c>
      <c r="B6834" s="8" t="s">
        <v>6578</v>
      </c>
      <c r="C6834" s="9">
        <v>399</v>
      </c>
      <c r="D6834" s="0">
        <v>20</v>
      </c>
      <c r="E6834" s="10">
        <f>HYPERLINK("http://www.lingerieopt.ru/images/original/748f599c-7424-48d0-b2c7-322ea369e870.jpg","Фото")</f>
      </c>
    </row>
    <row r="6835">
      <c r="A6835" s="7">
        <f>HYPERLINK("http://www.lingerieopt.ru/item/6908-originalnje-trusiki-stringi-luiza/","6908")</f>
      </c>
      <c r="B6835" s="8" t="s">
        <v>6579</v>
      </c>
      <c r="C6835" s="9">
        <v>399</v>
      </c>
      <c r="D6835" s="0">
        <v>0</v>
      </c>
      <c r="E6835" s="10">
        <f>HYPERLINK("http://www.lingerieopt.ru/images/original/748f599c-7424-48d0-b2c7-322ea369e870.jpg","Фото")</f>
      </c>
    </row>
    <row r="6836">
      <c r="A6836" s="7">
        <f>HYPERLINK("http://www.lingerieopt.ru/item/6908-originalnje-trusiki-stringi-luiza/","6908")</f>
      </c>
      <c r="B6836" s="8" t="s">
        <v>6580</v>
      </c>
      <c r="C6836" s="9">
        <v>399</v>
      </c>
      <c r="D6836" s="0">
        <v>10</v>
      </c>
      <c r="E6836" s="10">
        <f>HYPERLINK("http://www.lingerieopt.ru/images/original/748f599c-7424-48d0-b2c7-322ea369e870.jpg","Фото")</f>
      </c>
    </row>
    <row r="6837">
      <c r="A6837" s="7">
        <f>HYPERLINK("http://www.lingerieopt.ru/item/6908-originalnje-trusiki-stringi-luiza/","6908")</f>
      </c>
      <c r="B6837" s="8" t="s">
        <v>6581</v>
      </c>
      <c r="C6837" s="9">
        <v>399</v>
      </c>
      <c r="D6837" s="0">
        <v>2</v>
      </c>
      <c r="E6837" s="10">
        <f>HYPERLINK("http://www.lingerieopt.ru/images/original/748f599c-7424-48d0-b2c7-322ea369e870.jpg","Фото")</f>
      </c>
    </row>
    <row r="6838">
      <c r="A6838" s="7">
        <f>HYPERLINK("http://www.lingerieopt.ru/item/6914-trusiki-picantina-s-vjrezom/","6914")</f>
      </c>
      <c r="B6838" s="8" t="s">
        <v>6582</v>
      </c>
      <c r="C6838" s="9">
        <v>589</v>
      </c>
      <c r="D6838" s="0">
        <v>6</v>
      </c>
      <c r="E6838" s="10">
        <f>HYPERLINK("http://www.lingerieopt.ru/images/original/60e111ee-ce2d-40fd-bdb0-ff170b786b6f.jpg","Фото")</f>
      </c>
    </row>
    <row r="6839">
      <c r="A6839" s="7">
        <f>HYPERLINK("http://www.lingerieopt.ru/item/6914-trusiki-picantina-s-vjrezom/","6914")</f>
      </c>
      <c r="B6839" s="8" t="s">
        <v>6583</v>
      </c>
      <c r="C6839" s="9">
        <v>589</v>
      </c>
      <c r="D6839" s="0">
        <v>10</v>
      </c>
      <c r="E6839" s="10">
        <f>HYPERLINK("http://www.lingerieopt.ru/images/original/60e111ee-ce2d-40fd-bdb0-ff170b786b6f.jpg","Фото")</f>
      </c>
    </row>
    <row r="6840">
      <c r="A6840" s="7">
        <f>HYPERLINK("http://www.lingerieopt.ru/item/6915-trusiki-greyla-s-izjskannjm-kruzhevom/","6915")</f>
      </c>
      <c r="B6840" s="8" t="s">
        <v>6584</v>
      </c>
      <c r="C6840" s="9">
        <v>684</v>
      </c>
      <c r="D6840" s="0">
        <v>4</v>
      </c>
      <c r="E6840" s="10">
        <f>HYPERLINK("http://www.lingerieopt.ru/images/original/a983a62b-b4e4-41f9-a920-d0364a019fd5.jpg","Фото")</f>
      </c>
    </row>
    <row r="6841">
      <c r="A6841" s="7">
        <f>HYPERLINK("http://www.lingerieopt.ru/item/6915-trusiki-greyla-s-izjskannjm-kruzhevom/","6915")</f>
      </c>
      <c r="B6841" s="8" t="s">
        <v>6585</v>
      </c>
      <c r="C6841" s="9">
        <v>684</v>
      </c>
      <c r="D6841" s="0">
        <v>3</v>
      </c>
      <c r="E6841" s="10">
        <f>HYPERLINK("http://www.lingerieopt.ru/images/original/a983a62b-b4e4-41f9-a920-d0364a019fd5.jpg","Фото")</f>
      </c>
    </row>
    <row r="6842">
      <c r="A6842" s="7">
        <f>HYPERLINK("http://www.lingerieopt.ru/item/6965-stringi-iz-tonkih-lent-aisha/","6965")</f>
      </c>
      <c r="B6842" s="8" t="s">
        <v>6586</v>
      </c>
      <c r="C6842" s="9">
        <v>893</v>
      </c>
      <c r="D6842" s="0">
        <v>0</v>
      </c>
      <c r="E6842" s="10">
        <f>HYPERLINK("http://www.lingerieopt.ru/images/original/413a94e4-2c21-4137-85e0-7769e5a27c8d.jpg","Фото")</f>
      </c>
    </row>
    <row r="6843">
      <c r="A6843" s="7">
        <f>HYPERLINK("http://www.lingerieopt.ru/item/6965-stringi-iz-tonkih-lent-aisha/","6965")</f>
      </c>
      <c r="B6843" s="8" t="s">
        <v>6587</v>
      </c>
      <c r="C6843" s="9">
        <v>893</v>
      </c>
      <c r="D6843" s="0">
        <v>14</v>
      </c>
      <c r="E6843" s="10">
        <f>HYPERLINK("http://www.lingerieopt.ru/images/original/413a94e4-2c21-4137-85e0-7769e5a27c8d.jpg","Фото")</f>
      </c>
    </row>
    <row r="6844">
      <c r="A6844" s="7">
        <f>HYPERLINK("http://www.lingerieopt.ru/item/6965-stringi-iz-tonkih-lent-aisha/","6965")</f>
      </c>
      <c r="B6844" s="8" t="s">
        <v>6588</v>
      </c>
      <c r="C6844" s="9">
        <v>893</v>
      </c>
      <c r="D6844" s="0">
        <v>0</v>
      </c>
      <c r="E6844" s="10">
        <f>HYPERLINK("http://www.lingerieopt.ru/images/original/413a94e4-2c21-4137-85e0-7769e5a27c8d.jpg","Фото")</f>
      </c>
    </row>
    <row r="6845">
      <c r="A6845" s="7">
        <f>HYPERLINK("http://www.lingerieopt.ru/item/6965-stringi-iz-tonkih-lent-aisha/","6965")</f>
      </c>
      <c r="B6845" s="8" t="s">
        <v>6589</v>
      </c>
      <c r="C6845" s="9">
        <v>893</v>
      </c>
      <c r="D6845" s="0">
        <v>20</v>
      </c>
      <c r="E6845" s="10">
        <f>HYPERLINK("http://www.lingerieopt.ru/images/original/413a94e4-2c21-4137-85e0-7769e5a27c8d.jpg","Фото")</f>
      </c>
    </row>
    <row r="6846">
      <c r="A6846" s="7">
        <f>HYPERLINK("http://www.lingerieopt.ru/item/6965-stringi-iz-tonkih-lent-aisha/","6965")</f>
      </c>
      <c r="B6846" s="8" t="s">
        <v>6590</v>
      </c>
      <c r="C6846" s="9">
        <v>893</v>
      </c>
      <c r="D6846" s="0">
        <v>0</v>
      </c>
      <c r="E6846" s="10">
        <f>HYPERLINK("http://www.lingerieopt.ru/images/original/413a94e4-2c21-4137-85e0-7769e5a27c8d.jpg","Фото")</f>
      </c>
    </row>
    <row r="6847">
      <c r="A6847" s="7">
        <f>HYPERLINK("http://www.lingerieopt.ru/item/6965-stringi-iz-tonkih-lent-aisha/","6965")</f>
      </c>
      <c r="B6847" s="8" t="s">
        <v>6591</v>
      </c>
      <c r="C6847" s="9">
        <v>893</v>
      </c>
      <c r="D6847" s="0">
        <v>0</v>
      </c>
      <c r="E6847" s="10">
        <f>HYPERLINK("http://www.lingerieopt.ru/images/original/413a94e4-2c21-4137-85e0-7769e5a27c8d.jpg","Фото")</f>
      </c>
    </row>
    <row r="6848">
      <c r="A6848" s="7">
        <f>HYPERLINK("http://www.lingerieopt.ru/item/6966-stringi-rene-s-lentami-na-talii/","6966")</f>
      </c>
      <c r="B6848" s="8" t="s">
        <v>6592</v>
      </c>
      <c r="C6848" s="9">
        <v>893</v>
      </c>
      <c r="D6848" s="0">
        <v>12</v>
      </c>
      <c r="E6848" s="10">
        <f>HYPERLINK("http://www.lingerieopt.ru/images/original/43d9e030-726f-4484-bd1b-7ccb4fedb93d.jpg","Фото")</f>
      </c>
    </row>
    <row r="6849">
      <c r="A6849" s="7">
        <f>HYPERLINK("http://www.lingerieopt.ru/item/6966-stringi-rene-s-lentami-na-talii/","6966")</f>
      </c>
      <c r="B6849" s="8" t="s">
        <v>6593</v>
      </c>
      <c r="C6849" s="9">
        <v>893</v>
      </c>
      <c r="D6849" s="0">
        <v>12</v>
      </c>
      <c r="E6849" s="10">
        <f>HYPERLINK("http://www.lingerieopt.ru/images/original/43d9e030-726f-4484-bd1b-7ccb4fedb93d.jpg","Фото")</f>
      </c>
    </row>
    <row r="6850">
      <c r="A6850" s="7">
        <f>HYPERLINK("http://www.lingerieopt.ru/item/6966-stringi-rene-s-lentami-na-talii/","6966")</f>
      </c>
      <c r="B6850" s="8" t="s">
        <v>6594</v>
      </c>
      <c r="C6850" s="9">
        <v>893</v>
      </c>
      <c r="D6850" s="0">
        <v>15</v>
      </c>
      <c r="E6850" s="10">
        <f>HYPERLINK("http://www.lingerieopt.ru/images/original/43d9e030-726f-4484-bd1b-7ccb4fedb93d.jpg","Фото")</f>
      </c>
    </row>
    <row r="6851">
      <c r="A6851" s="7">
        <f>HYPERLINK("http://www.lingerieopt.ru/item/6967-stringi-s-lentami-po-bokam-loretta/","6967")</f>
      </c>
      <c r="B6851" s="8" t="s">
        <v>6595</v>
      </c>
      <c r="C6851" s="9">
        <v>695</v>
      </c>
      <c r="D6851" s="0">
        <v>0</v>
      </c>
      <c r="E6851" s="10">
        <f>HYPERLINK("http://www.lingerieopt.ru/images/original/bc43607f-2cbf-44d1-bbaa-dc5f6be3521b.jpg","Фото")</f>
      </c>
    </row>
    <row r="6852">
      <c r="A6852" s="7">
        <f>HYPERLINK("http://www.lingerieopt.ru/item/6967-stringi-s-lentami-po-bokam-loretta/","6967")</f>
      </c>
      <c r="B6852" s="8" t="s">
        <v>6596</v>
      </c>
      <c r="C6852" s="9">
        <v>695</v>
      </c>
      <c r="D6852" s="0">
        <v>0</v>
      </c>
      <c r="E6852" s="10">
        <f>HYPERLINK("http://www.lingerieopt.ru/images/original/bc43607f-2cbf-44d1-bbaa-dc5f6be3521b.jpg","Фото")</f>
      </c>
    </row>
    <row r="6853">
      <c r="A6853" s="7">
        <f>HYPERLINK("http://www.lingerieopt.ru/item/6967-stringi-s-lentami-po-bokam-loretta/","6967")</f>
      </c>
      <c r="B6853" s="8" t="s">
        <v>6597</v>
      </c>
      <c r="C6853" s="9">
        <v>695</v>
      </c>
      <c r="D6853" s="0">
        <v>1</v>
      </c>
      <c r="E6853" s="10">
        <f>HYPERLINK("http://www.lingerieopt.ru/images/original/bc43607f-2cbf-44d1-bbaa-dc5f6be3521b.jpg","Фото")</f>
      </c>
    </row>
    <row r="6854">
      <c r="A6854" s="7">
        <f>HYPERLINK("http://www.lingerieopt.ru/item/6968-poluprozrachnje-trusiki-isabella/","6968")</f>
      </c>
      <c r="B6854" s="8" t="s">
        <v>6598</v>
      </c>
      <c r="C6854" s="9">
        <v>1192</v>
      </c>
      <c r="D6854" s="0">
        <v>0</v>
      </c>
      <c r="E6854" s="10">
        <f>HYPERLINK("http://www.lingerieopt.ru/images/original/d98dd40c-f823-487a-af14-3d38a62c63a5.jpg","Фото")</f>
      </c>
    </row>
    <row r="6855">
      <c r="A6855" s="7">
        <f>HYPERLINK("http://www.lingerieopt.ru/item/6968-poluprozrachnje-trusiki-isabella/","6968")</f>
      </c>
      <c r="B6855" s="8" t="s">
        <v>6599</v>
      </c>
      <c r="C6855" s="9">
        <v>1192</v>
      </c>
      <c r="D6855" s="0">
        <v>0</v>
      </c>
      <c r="E6855" s="10">
        <f>HYPERLINK("http://www.lingerieopt.ru/images/original/d98dd40c-f823-487a-af14-3d38a62c63a5.jpg","Фото")</f>
      </c>
    </row>
    <row r="6856">
      <c r="A6856" s="7">
        <f>HYPERLINK("http://www.lingerieopt.ru/item/6968-poluprozrachnje-trusiki-isabella/","6968")</f>
      </c>
      <c r="B6856" s="8" t="s">
        <v>6600</v>
      </c>
      <c r="C6856" s="9">
        <v>1192</v>
      </c>
      <c r="D6856" s="0">
        <v>1</v>
      </c>
      <c r="E6856" s="10">
        <f>HYPERLINK("http://www.lingerieopt.ru/images/original/d98dd40c-f823-487a-af14-3d38a62c63a5.jpg","Фото")</f>
      </c>
    </row>
    <row r="6857">
      <c r="A6857" s="7">
        <f>HYPERLINK("http://www.lingerieopt.ru/item/6968-poluprozrachnje-trusiki-isabella/","6968")</f>
      </c>
      <c r="B6857" s="8" t="s">
        <v>6601</v>
      </c>
      <c r="C6857" s="9">
        <v>1192</v>
      </c>
      <c r="D6857" s="0">
        <v>0</v>
      </c>
      <c r="E6857" s="10">
        <f>HYPERLINK("http://www.lingerieopt.ru/images/original/d98dd40c-f823-487a-af14-3d38a62c63a5.jpg","Фото")</f>
      </c>
    </row>
    <row r="6858">
      <c r="A6858" s="7">
        <f>HYPERLINK("http://www.lingerieopt.ru/item/6969-trusj-gloria-s-vjsokoi-taliei/","6969")</f>
      </c>
      <c r="B6858" s="8" t="s">
        <v>6602</v>
      </c>
      <c r="C6858" s="9">
        <v>1192</v>
      </c>
      <c r="D6858" s="0">
        <v>0</v>
      </c>
      <c r="E6858" s="10">
        <f>HYPERLINK("http://www.lingerieopt.ru/images/original/0c322050-c808-4a8c-8d27-cb7b1b96fa15.jpg","Фото")</f>
      </c>
    </row>
    <row r="6859">
      <c r="A6859" s="7">
        <f>HYPERLINK("http://www.lingerieopt.ru/item/6969-trusj-gloria-s-vjsokoi-taliei/","6969")</f>
      </c>
      <c r="B6859" s="8" t="s">
        <v>6603</v>
      </c>
      <c r="C6859" s="9">
        <v>1192</v>
      </c>
      <c r="D6859" s="0">
        <v>3</v>
      </c>
      <c r="E6859" s="10">
        <f>HYPERLINK("http://www.lingerieopt.ru/images/original/0c322050-c808-4a8c-8d27-cb7b1b96fa15.jpg","Фото")</f>
      </c>
    </row>
    <row r="6860">
      <c r="A6860" s="7">
        <f>HYPERLINK("http://www.lingerieopt.ru/item/6969-trusj-gloria-s-vjsokoi-taliei/","6969")</f>
      </c>
      <c r="B6860" s="8" t="s">
        <v>6604</v>
      </c>
      <c r="C6860" s="9">
        <v>1192</v>
      </c>
      <c r="D6860" s="0">
        <v>6</v>
      </c>
      <c r="E6860" s="10">
        <f>HYPERLINK("http://www.lingerieopt.ru/images/original/0c322050-c808-4a8c-8d27-cb7b1b96fa15.jpg","Фото")</f>
      </c>
    </row>
    <row r="6861">
      <c r="A6861" s="7">
        <f>HYPERLINK("http://www.lingerieopt.ru/item/6969-trusj-gloria-s-vjsokoi-taliei/","6969")</f>
      </c>
      <c r="B6861" s="8" t="s">
        <v>6605</v>
      </c>
      <c r="C6861" s="9">
        <v>1192</v>
      </c>
      <c r="D6861" s="0">
        <v>13</v>
      </c>
      <c r="E6861" s="10">
        <f>HYPERLINK("http://www.lingerieopt.ru/images/original/0c322050-c808-4a8c-8d27-cb7b1b96fa15.jpg","Фото")</f>
      </c>
    </row>
    <row r="6862">
      <c r="A6862" s="7">
        <f>HYPERLINK("http://www.lingerieopt.ru/item/6969-trusj-gloria-s-vjsokoi-taliei/","6969")</f>
      </c>
      <c r="B6862" s="8" t="s">
        <v>6606</v>
      </c>
      <c r="C6862" s="9">
        <v>1192</v>
      </c>
      <c r="D6862" s="0">
        <v>12</v>
      </c>
      <c r="E6862" s="10">
        <f>HYPERLINK("http://www.lingerieopt.ru/images/original/0c322050-c808-4a8c-8d27-cb7b1b96fa15.jpg","Фото")</f>
      </c>
    </row>
    <row r="6863">
      <c r="A6863" s="7">
        <f>HYPERLINK("http://www.lingerieopt.ru/item/6970-trusiki-olivia-s-vjsokoi-taliei/","6970")</f>
      </c>
      <c r="B6863" s="8" t="s">
        <v>6607</v>
      </c>
      <c r="C6863" s="9">
        <v>1192</v>
      </c>
      <c r="D6863" s="0">
        <v>1</v>
      </c>
      <c r="E6863" s="10">
        <f>HYPERLINK("http://www.lingerieopt.ru/images/original/303f27ae-4605-4553-8d0f-7461263f2353.jpg","Фото")</f>
      </c>
    </row>
    <row r="6864">
      <c r="A6864" s="7">
        <f>HYPERLINK("http://www.lingerieopt.ru/item/6970-trusiki-olivia-s-vjsokoi-taliei/","6970")</f>
      </c>
      <c r="B6864" s="8" t="s">
        <v>6608</v>
      </c>
      <c r="C6864" s="9">
        <v>1192</v>
      </c>
      <c r="D6864" s="0">
        <v>4</v>
      </c>
      <c r="E6864" s="10">
        <f>HYPERLINK("http://www.lingerieopt.ru/images/original/303f27ae-4605-4553-8d0f-7461263f2353.jpg","Фото")</f>
      </c>
    </row>
    <row r="6865">
      <c r="A6865" s="7">
        <f>HYPERLINK("http://www.lingerieopt.ru/item/6978-kruzhevnje-trusiki-stringi-s-shirokim-poyaskom-i-dostupom/","6978")</f>
      </c>
      <c r="B6865" s="8" t="s">
        <v>6609</v>
      </c>
      <c r="C6865" s="9">
        <v>540</v>
      </c>
      <c r="D6865" s="0">
        <v>0</v>
      </c>
      <c r="E6865" s="10">
        <f>HYPERLINK("http://www.lingerieopt.ru/images/original/4e0cb6e6-8a33-442f-b18a-efa7550a37a0.jpg","Фото")</f>
      </c>
    </row>
    <row r="6866">
      <c r="A6866" s="7">
        <f>HYPERLINK("http://www.lingerieopt.ru/item/6978-kruzhevnje-trusiki-stringi-s-shirokim-poyaskom-i-dostupom/","6978")</f>
      </c>
      <c r="B6866" s="8" t="s">
        <v>6610</v>
      </c>
      <c r="C6866" s="9">
        <v>540</v>
      </c>
      <c r="D6866" s="0">
        <v>3</v>
      </c>
      <c r="E6866" s="10">
        <f>HYPERLINK("http://www.lingerieopt.ru/images/original/4e0cb6e6-8a33-442f-b18a-efa7550a37a0.jpg","Фото")</f>
      </c>
    </row>
    <row r="6867">
      <c r="A6867" s="7">
        <f>HYPERLINK("http://www.lingerieopt.ru/item/6978-kruzhevnje-trusiki-stringi-s-shirokim-poyaskom-i-dostupom/","6978")</f>
      </c>
      <c r="B6867" s="8" t="s">
        <v>6611</v>
      </c>
      <c r="C6867" s="9">
        <v>540</v>
      </c>
      <c r="D6867" s="0">
        <v>3</v>
      </c>
      <c r="E6867" s="10">
        <f>HYPERLINK("http://www.lingerieopt.ru/images/original/4e0cb6e6-8a33-442f-b18a-efa7550a37a0.jpg","Фото")</f>
      </c>
    </row>
    <row r="6868">
      <c r="A6868" s="7">
        <f>HYPERLINK("http://www.lingerieopt.ru/item/6978-kruzhevnje-trusiki-stringi-s-shirokim-poyaskom-i-dostupom/","6978")</f>
      </c>
      <c r="B6868" s="8" t="s">
        <v>6612</v>
      </c>
      <c r="C6868" s="9">
        <v>540</v>
      </c>
      <c r="D6868" s="0">
        <v>0</v>
      </c>
      <c r="E6868" s="10">
        <f>HYPERLINK("http://www.lingerieopt.ru/images/original/4e0cb6e6-8a33-442f-b18a-efa7550a37a0.jpg","Фото")</f>
      </c>
    </row>
    <row r="6869">
      <c r="A6869" s="7">
        <f>HYPERLINK("http://www.lingerieopt.ru/item/6978-kruzhevnje-trusiki-stringi-s-shirokim-poyaskom-i-dostupom/","6978")</f>
      </c>
      <c r="B6869" s="8" t="s">
        <v>6613</v>
      </c>
      <c r="C6869" s="9">
        <v>540</v>
      </c>
      <c r="D6869" s="0">
        <v>3</v>
      </c>
      <c r="E6869" s="10">
        <f>HYPERLINK("http://www.lingerieopt.ru/images/original/4e0cb6e6-8a33-442f-b18a-efa7550a37a0.jpg","Фото")</f>
      </c>
    </row>
    <row r="6870">
      <c r="A6870" s="7">
        <f>HYPERLINK("http://www.lingerieopt.ru/item/6978-kruzhevnje-trusiki-stringi-s-shirokim-poyaskom-i-dostupom/","6978")</f>
      </c>
      <c r="B6870" s="8" t="s">
        <v>6614</v>
      </c>
      <c r="C6870" s="9">
        <v>540</v>
      </c>
      <c r="D6870" s="0">
        <v>3</v>
      </c>
      <c r="E6870" s="10">
        <f>HYPERLINK("http://www.lingerieopt.ru/images/original/4e0cb6e6-8a33-442f-b18a-efa7550a37a0.jpg","Фото")</f>
      </c>
    </row>
    <row r="6871">
      <c r="A6871" s="7">
        <f>HYPERLINK("http://www.lingerieopt.ru/item/6978-kruzhevnje-trusiki-stringi-s-shirokim-poyaskom-i-dostupom/","6978")</f>
      </c>
      <c r="B6871" s="8" t="s">
        <v>6615</v>
      </c>
      <c r="C6871" s="9">
        <v>540</v>
      </c>
      <c r="D6871" s="0">
        <v>0</v>
      </c>
      <c r="E6871" s="10">
        <f>HYPERLINK("http://www.lingerieopt.ru/images/original/4e0cb6e6-8a33-442f-b18a-efa7550a37a0.jpg","Фото")</f>
      </c>
    </row>
    <row r="6872">
      <c r="A6872" s="7">
        <f>HYPERLINK("http://www.lingerieopt.ru/item/6978-kruzhevnje-trusiki-stringi-s-shirokim-poyaskom-i-dostupom/","6978")</f>
      </c>
      <c r="B6872" s="8" t="s">
        <v>6616</v>
      </c>
      <c r="C6872" s="9">
        <v>540</v>
      </c>
      <c r="D6872" s="0">
        <v>0</v>
      </c>
      <c r="E6872" s="10">
        <f>HYPERLINK("http://www.lingerieopt.ru/images/original/4e0cb6e6-8a33-442f-b18a-efa7550a37a0.jpg","Фото")</f>
      </c>
    </row>
    <row r="6873">
      <c r="A6873" s="7">
        <f>HYPERLINK("http://www.lingerieopt.ru/item/6982-ocharovatelnje-trusiki-tongi-s-kruzhevnoi-otorochkoi/","6982")</f>
      </c>
      <c r="B6873" s="8" t="s">
        <v>6617</v>
      </c>
      <c r="C6873" s="9">
        <v>774</v>
      </c>
      <c r="D6873" s="0">
        <v>1</v>
      </c>
      <c r="E6873" s="10">
        <f>HYPERLINK("http://www.lingerieopt.ru/images/original/bae7036d-dd61-4a44-83dd-868cc52c3e3e.jpg","Фото")</f>
      </c>
    </row>
    <row r="6874">
      <c r="A6874" s="7">
        <f>HYPERLINK("http://www.lingerieopt.ru/item/6982-ocharovatelnje-trusiki-tongi-s-kruzhevnoi-otorochkoi/","6982")</f>
      </c>
      <c r="B6874" s="8" t="s">
        <v>6618</v>
      </c>
      <c r="C6874" s="9">
        <v>774</v>
      </c>
      <c r="D6874" s="0">
        <v>0</v>
      </c>
      <c r="E6874" s="10">
        <f>HYPERLINK("http://www.lingerieopt.ru/images/original/bae7036d-dd61-4a44-83dd-868cc52c3e3e.jpg","Фото")</f>
      </c>
    </row>
    <row r="6875">
      <c r="A6875" s="7">
        <f>HYPERLINK("http://www.lingerieopt.ru/item/7040-trusiki-open-croatch-s-cvetochnjm-kruzhevom/","7040")</f>
      </c>
      <c r="B6875" s="8" t="s">
        <v>6619</v>
      </c>
      <c r="C6875" s="9">
        <v>561</v>
      </c>
      <c r="D6875" s="0">
        <v>0</v>
      </c>
      <c r="E6875" s="10">
        <f>HYPERLINK("http://www.lingerieopt.ru/images/original/1011321d-5594-4bbb-8ad1-d790826967f2.jpg","Фото")</f>
      </c>
    </row>
    <row r="6876">
      <c r="A6876" s="7">
        <f>HYPERLINK("http://www.lingerieopt.ru/item/7040-trusiki-open-croatch-s-cvetochnjm-kruzhevom/","7040")</f>
      </c>
      <c r="B6876" s="8" t="s">
        <v>6620</v>
      </c>
      <c r="C6876" s="9">
        <v>561</v>
      </c>
      <c r="D6876" s="0">
        <v>0</v>
      </c>
      <c r="E6876" s="10">
        <f>HYPERLINK("http://www.lingerieopt.ru/images/original/1011321d-5594-4bbb-8ad1-d790826967f2.jpg","Фото")</f>
      </c>
    </row>
    <row r="6877">
      <c r="A6877" s="7">
        <f>HYPERLINK("http://www.lingerieopt.ru/item/7040-trusiki-open-croatch-s-cvetochnjm-kruzhevom/","7040")</f>
      </c>
      <c r="B6877" s="8" t="s">
        <v>6621</v>
      </c>
      <c r="C6877" s="9">
        <v>561</v>
      </c>
      <c r="D6877" s="0">
        <v>0</v>
      </c>
      <c r="E6877" s="10">
        <f>HYPERLINK("http://www.lingerieopt.ru/images/original/1011321d-5594-4bbb-8ad1-d790826967f2.jpg","Фото")</f>
      </c>
    </row>
    <row r="6878">
      <c r="A6878" s="7">
        <f>HYPERLINK("http://www.lingerieopt.ru/item/7040-trusiki-open-croatch-s-cvetochnjm-kruzhevom/","7040")</f>
      </c>
      <c r="B6878" s="8" t="s">
        <v>6622</v>
      </c>
      <c r="C6878" s="9">
        <v>561</v>
      </c>
      <c r="D6878" s="0">
        <v>0</v>
      </c>
      <c r="E6878" s="10">
        <f>HYPERLINK("http://www.lingerieopt.ru/images/original/1011321d-5594-4bbb-8ad1-d790826967f2.jpg","Фото")</f>
      </c>
    </row>
    <row r="6879">
      <c r="A6879" s="7">
        <f>HYPERLINK("http://www.lingerieopt.ru/item/7040-trusiki-open-croatch-s-cvetochnjm-kruzhevom/","7040")</f>
      </c>
      <c r="B6879" s="8" t="s">
        <v>6623</v>
      </c>
      <c r="C6879" s="9">
        <v>561</v>
      </c>
      <c r="D6879" s="0">
        <v>0</v>
      </c>
      <c r="E6879" s="10">
        <f>HYPERLINK("http://www.lingerieopt.ru/images/original/1011321d-5594-4bbb-8ad1-d790826967f2.jpg","Фото")</f>
      </c>
    </row>
    <row r="6880">
      <c r="A6880" s="7">
        <f>HYPERLINK("http://www.lingerieopt.ru/item/7040-trusiki-open-croatch-s-cvetochnjm-kruzhevom/","7040")</f>
      </c>
      <c r="B6880" s="8" t="s">
        <v>6624</v>
      </c>
      <c r="C6880" s="9">
        <v>561</v>
      </c>
      <c r="D6880" s="0">
        <v>1</v>
      </c>
      <c r="E6880" s="10">
        <f>HYPERLINK("http://www.lingerieopt.ru/images/original/1011321d-5594-4bbb-8ad1-d790826967f2.jpg","Фото")</f>
      </c>
    </row>
    <row r="6881">
      <c r="A6881" s="7">
        <f>HYPERLINK("http://www.lingerieopt.ru/item/7051-trusiki-blackbella-s-shirokoi-kruzhevnoi-polosoi/","7051")</f>
      </c>
      <c r="B6881" s="8" t="s">
        <v>6625</v>
      </c>
      <c r="C6881" s="9">
        <v>570</v>
      </c>
      <c r="D6881" s="0">
        <v>0</v>
      </c>
      <c r="E6881" s="10">
        <f>HYPERLINK("http://www.lingerieopt.ru/images/original/f6568e39-e578-479d-9f5d-724870e4298b.jpg","Фото")</f>
      </c>
    </row>
    <row r="6882">
      <c r="A6882" s="7">
        <f>HYPERLINK("http://www.lingerieopt.ru/item/7051-trusiki-blackbella-s-shirokoi-kruzhevnoi-polosoi/","7051")</f>
      </c>
      <c r="B6882" s="8" t="s">
        <v>6626</v>
      </c>
      <c r="C6882" s="9">
        <v>570</v>
      </c>
      <c r="D6882" s="0">
        <v>4</v>
      </c>
      <c r="E6882" s="10">
        <f>HYPERLINK("http://www.lingerieopt.ru/images/original/f6568e39-e578-479d-9f5d-724870e4298b.jpg","Фото")</f>
      </c>
    </row>
    <row r="6883">
      <c r="A6883" s="7">
        <f>HYPERLINK("http://www.lingerieopt.ru/item/7052-trusiki-auroria-s-poyasom-bantikom/","7052")</f>
      </c>
      <c r="B6883" s="8" t="s">
        <v>6627</v>
      </c>
      <c r="C6883" s="9">
        <v>605</v>
      </c>
      <c r="D6883" s="0">
        <v>5</v>
      </c>
      <c r="E6883" s="10">
        <f>HYPERLINK("http://www.lingerieopt.ru/images/original/26043704-0024-41f3-94cf-8d51e70934e7.jpg","Фото")</f>
      </c>
    </row>
    <row r="6884">
      <c r="A6884" s="7">
        <f>HYPERLINK("http://www.lingerieopt.ru/item/7069-trusiki-zvezda-iz-elastichnjh-lent/","7069")</f>
      </c>
      <c r="B6884" s="8" t="s">
        <v>6628</v>
      </c>
      <c r="C6884" s="9">
        <v>1033</v>
      </c>
      <c r="D6884" s="0">
        <v>11</v>
      </c>
      <c r="E6884" s="10">
        <f>HYPERLINK("http://www.lingerieopt.ru/images/original/63313674-1e07-4029-8a88-5560edb4b2b7.jpg","Фото")</f>
      </c>
    </row>
    <row r="6885">
      <c r="A6885" s="7">
        <f>HYPERLINK("http://www.lingerieopt.ru/item/7072-azhurnje-otkrjtje-trusiki-s-businkami/","7072")</f>
      </c>
      <c r="B6885" s="8" t="s">
        <v>6629</v>
      </c>
      <c r="C6885" s="9">
        <v>537</v>
      </c>
      <c r="D6885" s="0">
        <v>1</v>
      </c>
      <c r="E6885" s="10">
        <f>HYPERLINK("http://www.lingerieopt.ru/images/original/4d5072d7-02e7-4487-905e-8d371fa3a8f4.jpg","Фото")</f>
      </c>
    </row>
    <row r="6886">
      <c r="A6886" s="7">
        <f>HYPERLINK("http://www.lingerieopt.ru/item/7072-azhurnje-otkrjtje-trusiki-s-businkami/","7072")</f>
      </c>
      <c r="B6886" s="8" t="s">
        <v>6630</v>
      </c>
      <c r="C6886" s="9">
        <v>537</v>
      </c>
      <c r="D6886" s="0">
        <v>0</v>
      </c>
      <c r="E6886" s="10">
        <f>HYPERLINK("http://www.lingerieopt.ru/images/original/4d5072d7-02e7-4487-905e-8d371fa3a8f4.jpg","Фото")</f>
      </c>
    </row>
    <row r="6887">
      <c r="A6887" s="7">
        <f>HYPERLINK("http://www.lingerieopt.ru/item/7072-azhurnje-otkrjtje-trusiki-s-businkami/","7072")</f>
      </c>
      <c r="B6887" s="8" t="s">
        <v>6631</v>
      </c>
      <c r="C6887" s="9">
        <v>537</v>
      </c>
      <c r="D6887" s="0">
        <v>4</v>
      </c>
      <c r="E6887" s="10">
        <f>HYPERLINK("http://www.lingerieopt.ru/images/original/4d5072d7-02e7-4487-905e-8d371fa3a8f4.jpg","Фото")</f>
      </c>
    </row>
    <row r="6888">
      <c r="A6888" s="7">
        <f>HYPERLINK("http://www.lingerieopt.ru/item/7072-azhurnje-otkrjtje-trusiki-s-businkami/","7072")</f>
      </c>
      <c r="B6888" s="8" t="s">
        <v>6632</v>
      </c>
      <c r="C6888" s="9">
        <v>537</v>
      </c>
      <c r="D6888" s="0">
        <v>0</v>
      </c>
      <c r="E6888" s="10">
        <f>HYPERLINK("http://www.lingerieopt.ru/images/original/4d5072d7-02e7-4487-905e-8d371fa3a8f4.jpg","Фото")</f>
      </c>
    </row>
    <row r="6889">
      <c r="A6889" s="7">
        <f>HYPERLINK("http://www.lingerieopt.ru/item/7072-azhurnje-otkrjtje-trusiki-s-businkami/","7072")</f>
      </c>
      <c r="B6889" s="8" t="s">
        <v>6633</v>
      </c>
      <c r="C6889" s="9">
        <v>537</v>
      </c>
      <c r="D6889" s="0">
        <v>0</v>
      </c>
      <c r="E6889" s="10">
        <f>HYPERLINK("http://www.lingerieopt.ru/images/original/4d5072d7-02e7-4487-905e-8d371fa3a8f4.jpg","Фото")</f>
      </c>
    </row>
    <row r="6890">
      <c r="A6890" s="7">
        <f>HYPERLINK("http://www.lingerieopt.ru/item/7072-azhurnje-otkrjtje-trusiki-s-businkami/","7072")</f>
      </c>
      <c r="B6890" s="8" t="s">
        <v>6634</v>
      </c>
      <c r="C6890" s="9">
        <v>537</v>
      </c>
      <c r="D6890" s="0">
        <v>0</v>
      </c>
      <c r="E6890" s="10">
        <f>HYPERLINK("http://www.lingerieopt.ru/images/original/4d5072d7-02e7-4487-905e-8d371fa3a8f4.jpg","Фото")</f>
      </c>
    </row>
    <row r="6891">
      <c r="A6891" s="7">
        <f>HYPERLINK("http://www.lingerieopt.ru/item/7072-azhurnje-otkrjtje-trusiki-s-businkami/","7072")</f>
      </c>
      <c r="B6891" s="8" t="s">
        <v>6635</v>
      </c>
      <c r="C6891" s="9">
        <v>537</v>
      </c>
      <c r="D6891" s="0">
        <v>0</v>
      </c>
      <c r="E6891" s="10">
        <f>HYPERLINK("http://www.lingerieopt.ru/images/original/4d5072d7-02e7-4487-905e-8d371fa3a8f4.jpg","Фото")</f>
      </c>
    </row>
    <row r="6892">
      <c r="A6892" s="7">
        <f>HYPERLINK("http://www.lingerieopt.ru/item/7072-azhurnje-otkrjtje-trusiki-s-businkami/","7072")</f>
      </c>
      <c r="B6892" s="8" t="s">
        <v>6636</v>
      </c>
      <c r="C6892" s="9">
        <v>537</v>
      </c>
      <c r="D6892" s="0">
        <v>1</v>
      </c>
      <c r="E6892" s="10">
        <f>HYPERLINK("http://www.lingerieopt.ru/images/original/4d5072d7-02e7-4487-905e-8d371fa3a8f4.jpg","Фото")</f>
      </c>
    </row>
    <row r="6893">
      <c r="A6893" s="7">
        <f>HYPERLINK("http://www.lingerieopt.ru/item/7074-kruzhevnje-trusiki-s-krestoobraznjm-vjrezom-i-dostupom/","7074")</f>
      </c>
      <c r="B6893" s="8" t="s">
        <v>6637</v>
      </c>
      <c r="C6893" s="9">
        <v>537</v>
      </c>
      <c r="D6893" s="0">
        <v>0</v>
      </c>
      <c r="E6893" s="10">
        <f>HYPERLINK("http://www.lingerieopt.ru/images/original/8230e316-cdc8-49dd-87eb-79bb4e92358b.jpg","Фото")</f>
      </c>
    </row>
    <row r="6894">
      <c r="A6894" s="7">
        <f>HYPERLINK("http://www.lingerieopt.ru/item/7074-kruzhevnje-trusiki-s-krestoobraznjm-vjrezom-i-dostupom/","7074")</f>
      </c>
      <c r="B6894" s="8" t="s">
        <v>6638</v>
      </c>
      <c r="C6894" s="9">
        <v>537</v>
      </c>
      <c r="D6894" s="0">
        <v>1</v>
      </c>
      <c r="E6894" s="10">
        <f>HYPERLINK("http://www.lingerieopt.ru/images/original/8230e316-cdc8-49dd-87eb-79bb4e92358b.jpg","Фото")</f>
      </c>
    </row>
    <row r="6895">
      <c r="A6895" s="7">
        <f>HYPERLINK("http://www.lingerieopt.ru/item/7074-kruzhevnje-trusiki-s-krestoobraznjm-vjrezom-i-dostupom/","7074")</f>
      </c>
      <c r="B6895" s="8" t="s">
        <v>6639</v>
      </c>
      <c r="C6895" s="9">
        <v>537</v>
      </c>
      <c r="D6895" s="0">
        <v>2</v>
      </c>
      <c r="E6895" s="10">
        <f>HYPERLINK("http://www.lingerieopt.ru/images/original/8230e316-cdc8-49dd-87eb-79bb4e92358b.jpg","Фото")</f>
      </c>
    </row>
    <row r="6896">
      <c r="A6896" s="7">
        <f>HYPERLINK("http://www.lingerieopt.ru/item/7074-kruzhevnje-trusiki-s-krestoobraznjm-vjrezom-i-dostupom/","7074")</f>
      </c>
      <c r="B6896" s="8" t="s">
        <v>6640</v>
      </c>
      <c r="C6896" s="9">
        <v>537</v>
      </c>
      <c r="D6896" s="0">
        <v>0</v>
      </c>
      <c r="E6896" s="10">
        <f>HYPERLINK("http://www.lingerieopt.ru/images/original/8230e316-cdc8-49dd-87eb-79bb4e92358b.jpg","Фото")</f>
      </c>
    </row>
    <row r="6897">
      <c r="A6897" s="7">
        <f>HYPERLINK("http://www.lingerieopt.ru/item/7074-kruzhevnje-trusiki-s-krestoobraznjm-vjrezom-i-dostupom/","7074")</f>
      </c>
      <c r="B6897" s="8" t="s">
        <v>6641</v>
      </c>
      <c r="C6897" s="9">
        <v>537</v>
      </c>
      <c r="D6897" s="0">
        <v>0</v>
      </c>
      <c r="E6897" s="10">
        <f>HYPERLINK("http://www.lingerieopt.ru/images/original/8230e316-cdc8-49dd-87eb-79bb4e92358b.jpg","Фото")</f>
      </c>
    </row>
    <row r="6898">
      <c r="A6898" s="7">
        <f>HYPERLINK("http://www.lingerieopt.ru/item/7074-kruzhevnje-trusiki-s-krestoobraznjm-vjrezom-i-dostupom/","7074")</f>
      </c>
      <c r="B6898" s="8" t="s">
        <v>6642</v>
      </c>
      <c r="C6898" s="9">
        <v>537</v>
      </c>
      <c r="D6898" s="0">
        <v>0</v>
      </c>
      <c r="E6898" s="10">
        <f>HYPERLINK("http://www.lingerieopt.ru/images/original/8230e316-cdc8-49dd-87eb-79bb4e92358b.jpg","Фото")</f>
      </c>
    </row>
    <row r="6899">
      <c r="A6899" s="7">
        <f>HYPERLINK("http://www.lingerieopt.ru/item/7074-kruzhevnje-trusiki-s-krestoobraznjm-vjrezom-i-dostupom/","7074")</f>
      </c>
      <c r="B6899" s="8" t="s">
        <v>6643</v>
      </c>
      <c r="C6899" s="9">
        <v>537</v>
      </c>
      <c r="D6899" s="0">
        <v>0</v>
      </c>
      <c r="E6899" s="10">
        <f>HYPERLINK("http://www.lingerieopt.ru/images/original/8230e316-cdc8-49dd-87eb-79bb4e92358b.jpg","Фото")</f>
      </c>
    </row>
    <row r="6900">
      <c r="A6900" s="7">
        <f>HYPERLINK("http://www.lingerieopt.ru/item/7074-kruzhevnje-trusiki-s-krestoobraznjm-vjrezom-i-dostupom/","7074")</f>
      </c>
      <c r="B6900" s="8" t="s">
        <v>6644</v>
      </c>
      <c r="C6900" s="9">
        <v>537</v>
      </c>
      <c r="D6900" s="0">
        <v>3</v>
      </c>
      <c r="E6900" s="10">
        <f>HYPERLINK("http://www.lingerieopt.ru/images/original/8230e316-cdc8-49dd-87eb-79bb4e92358b.jpg","Фото")</f>
      </c>
    </row>
    <row r="6901">
      <c r="A6901" s="7">
        <f>HYPERLINK("http://www.lingerieopt.ru/item/7074-kruzhevnje-trusiki-s-krestoobraznjm-vjrezom-i-dostupom/","7074")</f>
      </c>
      <c r="B6901" s="8" t="s">
        <v>6645</v>
      </c>
      <c r="C6901" s="9">
        <v>537</v>
      </c>
      <c r="D6901" s="0">
        <v>0</v>
      </c>
      <c r="E6901" s="10">
        <f>HYPERLINK("http://www.lingerieopt.ru/images/original/8230e316-cdc8-49dd-87eb-79bb4e92358b.jpg","Фото")</f>
      </c>
    </row>
    <row r="6902">
      <c r="A6902" s="7">
        <f>HYPERLINK("http://www.lingerieopt.ru/item/7074-kruzhevnje-trusiki-s-krestoobraznjm-vjrezom-i-dostupom/","7074")</f>
      </c>
      <c r="B6902" s="8" t="s">
        <v>6646</v>
      </c>
      <c r="C6902" s="9">
        <v>537</v>
      </c>
      <c r="D6902" s="0">
        <v>0</v>
      </c>
      <c r="E6902" s="10">
        <f>HYPERLINK("http://www.lingerieopt.ru/images/original/8230e316-cdc8-49dd-87eb-79bb4e92358b.jpg","Фото")</f>
      </c>
    </row>
    <row r="6903">
      <c r="A6903" s="7">
        <f>HYPERLINK("http://www.lingerieopt.ru/item/7074-kruzhevnje-trusiki-s-krestoobraznjm-vjrezom-i-dostupom/","7074")</f>
      </c>
      <c r="B6903" s="8" t="s">
        <v>6647</v>
      </c>
      <c r="C6903" s="9">
        <v>537</v>
      </c>
      <c r="D6903" s="0">
        <v>0</v>
      </c>
      <c r="E6903" s="10">
        <f>HYPERLINK("http://www.lingerieopt.ru/images/original/8230e316-cdc8-49dd-87eb-79bb4e92358b.jpg","Фото")</f>
      </c>
    </row>
    <row r="6904">
      <c r="A6904" s="7">
        <f>HYPERLINK("http://www.lingerieopt.ru/item/7076-azhurnje-trusiki-open-croatch/","7076")</f>
      </c>
      <c r="B6904" s="8" t="s">
        <v>6648</v>
      </c>
      <c r="C6904" s="9">
        <v>561</v>
      </c>
      <c r="D6904" s="0">
        <v>0</v>
      </c>
      <c r="E6904" s="10">
        <f>HYPERLINK("http://www.lingerieopt.ru/images/original/9732ca07-8144-4c3f-a11e-68e7bd53ae03.jpg","Фото")</f>
      </c>
    </row>
    <row r="6905">
      <c r="A6905" s="7">
        <f>HYPERLINK("http://www.lingerieopt.ru/item/7076-azhurnje-trusiki-open-croatch/","7076")</f>
      </c>
      <c r="B6905" s="8" t="s">
        <v>6649</v>
      </c>
      <c r="C6905" s="9">
        <v>561</v>
      </c>
      <c r="D6905" s="0">
        <v>1</v>
      </c>
      <c r="E6905" s="10">
        <f>HYPERLINK("http://www.lingerieopt.ru/images/original/9732ca07-8144-4c3f-a11e-68e7bd53ae03.jpg","Фото")</f>
      </c>
    </row>
    <row r="6906">
      <c r="A6906" s="7">
        <f>HYPERLINK("http://www.lingerieopt.ru/item/7157-shirokii-kruzhevnoi-poyas-dlya-chulok-i-trusiki-s-vjrezom/","7157")</f>
      </c>
      <c r="B6906" s="8" t="s">
        <v>1857</v>
      </c>
      <c r="C6906" s="9">
        <v>1650</v>
      </c>
      <c r="D6906" s="0">
        <v>4</v>
      </c>
      <c r="E6906" s="10">
        <f>HYPERLINK("http://www.lingerieopt.ru/images/original/c66a724c-36f9-4dfa-a00d-6b4632f9f61b.jpg","Фото")</f>
      </c>
    </row>
    <row r="6907">
      <c r="A6907" s="7">
        <f>HYPERLINK("http://www.lingerieopt.ru/item/7157-shirokii-kruzhevnoi-poyas-dlya-chulok-i-trusiki-s-vjrezom/","7157")</f>
      </c>
      <c r="B6907" s="8" t="s">
        <v>1859</v>
      </c>
      <c r="C6907" s="9">
        <v>1650</v>
      </c>
      <c r="D6907" s="0">
        <v>4</v>
      </c>
      <c r="E6907" s="10">
        <f>HYPERLINK("http://www.lingerieopt.ru/images/original/c66a724c-36f9-4dfa-a00d-6b4632f9f61b.jpg","Фото")</f>
      </c>
    </row>
    <row r="6908">
      <c r="A6908" s="7">
        <f>HYPERLINK("http://www.lingerieopt.ru/item/7157-shirokii-kruzhevnoi-poyas-dlya-chulok-i-trusiki-s-vjrezom/","7157")</f>
      </c>
      <c r="B6908" s="8" t="s">
        <v>1858</v>
      </c>
      <c r="C6908" s="9">
        <v>1650</v>
      </c>
      <c r="D6908" s="0">
        <v>3</v>
      </c>
      <c r="E6908" s="10">
        <f>HYPERLINK("http://www.lingerieopt.ru/images/original/c66a724c-36f9-4dfa-a00d-6b4632f9f61b.jpg","Фото")</f>
      </c>
    </row>
    <row r="6909">
      <c r="A6909" s="7">
        <f>HYPERLINK("http://www.lingerieopt.ru/item/7158-igrivje-trusiki-s-vjrezom-i-bantom-na-pope/","7158")</f>
      </c>
      <c r="B6909" s="8" t="s">
        <v>6650</v>
      </c>
      <c r="C6909" s="9">
        <v>631</v>
      </c>
      <c r="D6909" s="0">
        <v>6</v>
      </c>
      <c r="E6909" s="10">
        <f>HYPERLINK("http://www.lingerieopt.ru/images/original/34c724b3-7237-4bff-80d2-e9a0f9744b9f.jpg","Фото")</f>
      </c>
    </row>
    <row r="6910">
      <c r="A6910" s="7">
        <f>HYPERLINK("http://www.lingerieopt.ru/item/7158-igrivje-trusiki-s-vjrezom-i-bantom-na-pope/","7158")</f>
      </c>
      <c r="B6910" s="8" t="s">
        <v>6651</v>
      </c>
      <c r="C6910" s="9">
        <v>631</v>
      </c>
      <c r="D6910" s="0">
        <v>3</v>
      </c>
      <c r="E6910" s="10">
        <f>HYPERLINK("http://www.lingerieopt.ru/images/original/34c724b3-7237-4bff-80d2-e9a0f9744b9f.jpg","Фото")</f>
      </c>
    </row>
    <row r="6911">
      <c r="A6911" s="7">
        <f>HYPERLINK("http://www.lingerieopt.ru/item/7158-igrivje-trusiki-s-vjrezom-i-bantom-na-pope/","7158")</f>
      </c>
      <c r="B6911" s="8" t="s">
        <v>6652</v>
      </c>
      <c r="C6911" s="9">
        <v>631</v>
      </c>
      <c r="D6911" s="0">
        <v>0</v>
      </c>
      <c r="E6911" s="10">
        <f>HYPERLINK("http://www.lingerieopt.ru/images/original/34c724b3-7237-4bff-80d2-e9a0f9744b9f.jpg","Фото")</f>
      </c>
    </row>
    <row r="6912">
      <c r="A6912" s="7">
        <f>HYPERLINK("http://www.lingerieopt.ru/item/7158-igrivje-trusiki-s-vjrezom-i-bantom-na-pope/","7158")</f>
      </c>
      <c r="B6912" s="8" t="s">
        <v>6653</v>
      </c>
      <c r="C6912" s="9">
        <v>631</v>
      </c>
      <c r="D6912" s="0">
        <v>0</v>
      </c>
      <c r="E6912" s="10">
        <f>HYPERLINK("http://www.lingerieopt.ru/images/original/34c724b3-7237-4bff-80d2-e9a0f9744b9f.jpg","Фото")</f>
      </c>
    </row>
    <row r="6913">
      <c r="A6913" s="7">
        <f>HYPERLINK("http://www.lingerieopt.ru/item/7158-igrivje-trusiki-s-vjrezom-i-bantom-na-pope/","7158")</f>
      </c>
      <c r="B6913" s="8" t="s">
        <v>6654</v>
      </c>
      <c r="C6913" s="9">
        <v>631</v>
      </c>
      <c r="D6913" s="0">
        <v>0</v>
      </c>
      <c r="E6913" s="10">
        <f>HYPERLINK("http://www.lingerieopt.ru/images/original/34c724b3-7237-4bff-80d2-e9a0f9744b9f.jpg","Фото")</f>
      </c>
    </row>
    <row r="6914">
      <c r="A6914" s="7">
        <f>HYPERLINK("http://www.lingerieopt.ru/item/7158-igrivje-trusiki-s-vjrezom-i-bantom-na-pope/","7158")</f>
      </c>
      <c r="B6914" s="8" t="s">
        <v>6655</v>
      </c>
      <c r="C6914" s="9">
        <v>631</v>
      </c>
      <c r="D6914" s="0">
        <v>3</v>
      </c>
      <c r="E6914" s="10">
        <f>HYPERLINK("http://www.lingerieopt.ru/images/original/34c724b3-7237-4bff-80d2-e9a0f9744b9f.jpg","Фото")</f>
      </c>
    </row>
    <row r="6915">
      <c r="A6915" s="7">
        <f>HYPERLINK("http://www.lingerieopt.ru/item/7159-azhurnje-trusiki-s-vjrezom-i-shnurovkoi-na-pope/","7159")</f>
      </c>
      <c r="B6915" s="8" t="s">
        <v>6656</v>
      </c>
      <c r="C6915" s="9">
        <v>704</v>
      </c>
      <c r="D6915" s="0">
        <v>3</v>
      </c>
      <c r="E6915" s="10">
        <f>HYPERLINK("http://www.lingerieopt.ru/images/original/0ae59cd5-136b-4ed9-aa05-00043c47e2a2.jpg","Фото")</f>
      </c>
    </row>
    <row r="6916">
      <c r="A6916" s="7">
        <f>HYPERLINK("http://www.lingerieopt.ru/item/7159-azhurnje-trusiki-s-vjrezom-i-shnurovkoi-na-pope/","7159")</f>
      </c>
      <c r="B6916" s="8" t="s">
        <v>6657</v>
      </c>
      <c r="C6916" s="9">
        <v>704</v>
      </c>
      <c r="D6916" s="0">
        <v>0</v>
      </c>
      <c r="E6916" s="10">
        <f>HYPERLINK("http://www.lingerieopt.ru/images/original/0ae59cd5-136b-4ed9-aa05-00043c47e2a2.jpg","Фото")</f>
      </c>
    </row>
    <row r="6917">
      <c r="A6917" s="7">
        <f>HYPERLINK("http://www.lingerieopt.ru/item/7159-azhurnje-trusiki-s-vjrezom-i-shnurovkoi-na-pope/","7159")</f>
      </c>
      <c r="B6917" s="8" t="s">
        <v>6658</v>
      </c>
      <c r="C6917" s="9">
        <v>704</v>
      </c>
      <c r="D6917" s="0">
        <v>0</v>
      </c>
      <c r="E6917" s="10">
        <f>HYPERLINK("http://www.lingerieopt.ru/images/original/0ae59cd5-136b-4ed9-aa05-00043c47e2a2.jpg","Фото")</f>
      </c>
    </row>
    <row r="6918">
      <c r="A6918" s="7">
        <f>HYPERLINK("http://www.lingerieopt.ru/item/7160-kruzhevnje-trusiki-s-dostupom-obramlennjm-strazami/","7160")</f>
      </c>
      <c r="B6918" s="8" t="s">
        <v>6659</v>
      </c>
      <c r="C6918" s="9">
        <v>756</v>
      </c>
      <c r="D6918" s="0">
        <v>2</v>
      </c>
      <c r="E6918" s="10">
        <f>HYPERLINK("http://www.lingerieopt.ru/images/original/22cbbeb9-95a0-43cc-863a-dcdc514faddc.jpg","Фото")</f>
      </c>
    </row>
    <row r="6919">
      <c r="A6919" s="7">
        <f>HYPERLINK("http://www.lingerieopt.ru/item/7160-kruzhevnje-trusiki-s-dostupom-obramlennjm-strazami/","7160")</f>
      </c>
      <c r="B6919" s="8" t="s">
        <v>6660</v>
      </c>
      <c r="C6919" s="9">
        <v>756</v>
      </c>
      <c r="D6919" s="0">
        <v>3</v>
      </c>
      <c r="E6919" s="10">
        <f>HYPERLINK("http://www.lingerieopt.ru/images/original/22cbbeb9-95a0-43cc-863a-dcdc514faddc.jpg","Фото")</f>
      </c>
    </row>
    <row r="6920">
      <c r="A6920" s="7">
        <f>HYPERLINK("http://www.lingerieopt.ru/item/7160-kruzhevnje-trusiki-s-dostupom-obramlennjm-strazami/","7160")</f>
      </c>
      <c r="B6920" s="8" t="s">
        <v>6661</v>
      </c>
      <c r="C6920" s="9">
        <v>756</v>
      </c>
      <c r="D6920" s="0">
        <v>6</v>
      </c>
      <c r="E6920" s="10">
        <f>HYPERLINK("http://www.lingerieopt.ru/images/original/22cbbeb9-95a0-43cc-863a-dcdc514faddc.jpg","Фото")</f>
      </c>
    </row>
    <row r="6921">
      <c r="A6921" s="7">
        <f>HYPERLINK("http://www.lingerieopt.ru/item/7160-kruzhevnje-trusiki-s-dostupom-obramlennjm-strazami/","7160")</f>
      </c>
      <c r="B6921" s="8" t="s">
        <v>6662</v>
      </c>
      <c r="C6921" s="9">
        <v>756</v>
      </c>
      <c r="D6921" s="0">
        <v>3</v>
      </c>
      <c r="E6921" s="10">
        <f>HYPERLINK("http://www.lingerieopt.ru/images/original/22cbbeb9-95a0-43cc-863a-dcdc514faddc.jpg","Фото")</f>
      </c>
    </row>
    <row r="6922">
      <c r="A6922" s="7">
        <f>HYPERLINK("http://www.lingerieopt.ru/item/7160-kruzhevnje-trusiki-s-dostupom-obramlennjm-strazami/","7160")</f>
      </c>
      <c r="B6922" s="8" t="s">
        <v>6663</v>
      </c>
      <c r="C6922" s="9">
        <v>756</v>
      </c>
      <c r="D6922" s="0">
        <v>0</v>
      </c>
      <c r="E6922" s="10">
        <f>HYPERLINK("http://www.lingerieopt.ru/images/original/22cbbeb9-95a0-43cc-863a-dcdc514faddc.jpg","Фото")</f>
      </c>
    </row>
    <row r="6923">
      <c r="A6923" s="7">
        <f>HYPERLINK("http://www.lingerieopt.ru/item/7160-kruzhevnje-trusiki-s-dostupom-obramlennjm-strazami/","7160")</f>
      </c>
      <c r="B6923" s="8" t="s">
        <v>6664</v>
      </c>
      <c r="C6923" s="9">
        <v>756</v>
      </c>
      <c r="D6923" s="0">
        <v>0</v>
      </c>
      <c r="E6923" s="10">
        <f>HYPERLINK("http://www.lingerieopt.ru/images/original/22cbbeb9-95a0-43cc-863a-dcdc514faddc.jpg","Фото")</f>
      </c>
    </row>
    <row r="6924">
      <c r="A6924" s="7">
        <f>HYPERLINK("http://www.lingerieopt.ru/item/7182-trusiki-s-azhurnoi-vstavkoi-na-pope-i-dostupom/","7182")</f>
      </c>
      <c r="B6924" s="8" t="s">
        <v>6665</v>
      </c>
      <c r="C6924" s="9">
        <v>733</v>
      </c>
      <c r="D6924" s="0">
        <v>0</v>
      </c>
      <c r="E6924" s="10">
        <f>HYPERLINK("http://www.lingerieopt.ru/images/original/7e76807c-2980-4884-ae6e-7aec8ee7e1fb.jpg","Фото")</f>
      </c>
    </row>
    <row r="6925">
      <c r="A6925" s="7">
        <f>HYPERLINK("http://www.lingerieopt.ru/item/7182-trusiki-s-azhurnoi-vstavkoi-na-pope-i-dostupom/","7182")</f>
      </c>
      <c r="B6925" s="8" t="s">
        <v>6666</v>
      </c>
      <c r="C6925" s="9">
        <v>733</v>
      </c>
      <c r="D6925" s="0">
        <v>2</v>
      </c>
      <c r="E6925" s="10">
        <f>HYPERLINK("http://www.lingerieopt.ru/images/original/7e76807c-2980-4884-ae6e-7aec8ee7e1fb.jpg","Фото")</f>
      </c>
    </row>
    <row r="6926">
      <c r="A6926" s="7">
        <f>HYPERLINK("http://www.lingerieopt.ru/item/7182-trusiki-s-azhurnoi-vstavkoi-na-pope-i-dostupom/","7182")</f>
      </c>
      <c r="B6926" s="8" t="s">
        <v>6667</v>
      </c>
      <c r="C6926" s="9">
        <v>733</v>
      </c>
      <c r="D6926" s="0">
        <v>2</v>
      </c>
      <c r="E6926" s="10">
        <f>HYPERLINK("http://www.lingerieopt.ru/images/original/7e76807c-2980-4884-ae6e-7aec8ee7e1fb.jpg","Фото")</f>
      </c>
    </row>
    <row r="6927">
      <c r="A6927" s="7">
        <f>HYPERLINK("http://www.lingerieopt.ru/item/7182-trusiki-s-azhurnoi-vstavkoi-na-pope-i-dostupom/","7182")</f>
      </c>
      <c r="B6927" s="8" t="s">
        <v>6668</v>
      </c>
      <c r="C6927" s="9">
        <v>733</v>
      </c>
      <c r="D6927" s="0">
        <v>3</v>
      </c>
      <c r="E6927" s="10">
        <f>HYPERLINK("http://www.lingerieopt.ru/images/original/7e76807c-2980-4884-ae6e-7aec8ee7e1fb.jpg","Фото")</f>
      </c>
    </row>
    <row r="6928">
      <c r="A6928" s="7">
        <f>HYPERLINK("http://www.lingerieopt.ru/item/7182-trusiki-s-azhurnoi-vstavkoi-na-pope-i-dostupom/","7182")</f>
      </c>
      <c r="B6928" s="8" t="s">
        <v>6669</v>
      </c>
      <c r="C6928" s="9">
        <v>733</v>
      </c>
      <c r="D6928" s="0">
        <v>3</v>
      </c>
      <c r="E6928" s="10">
        <f>HYPERLINK("http://www.lingerieopt.ru/images/original/7e76807c-2980-4884-ae6e-7aec8ee7e1fb.jpg","Фото")</f>
      </c>
    </row>
    <row r="6929">
      <c r="A6929" s="7">
        <f>HYPERLINK("http://www.lingerieopt.ru/item/7182-trusiki-s-azhurnoi-vstavkoi-na-pope-i-dostupom/","7182")</f>
      </c>
      <c r="B6929" s="8" t="s">
        <v>6670</v>
      </c>
      <c r="C6929" s="9">
        <v>733</v>
      </c>
      <c r="D6929" s="0">
        <v>3</v>
      </c>
      <c r="E6929" s="10">
        <f>HYPERLINK("http://www.lingerieopt.ru/images/original/7e76807c-2980-4884-ae6e-7aec8ee7e1fb.jpg","Фото")</f>
      </c>
    </row>
    <row r="6930">
      <c r="A6930" s="7">
        <f>HYPERLINK("http://www.lingerieopt.ru/item/7184-setchatje-otkrjtje-trusiki-s-kruzhevnjm-kantom/","7184")</f>
      </c>
      <c r="B6930" s="8" t="s">
        <v>6671</v>
      </c>
      <c r="C6930" s="9">
        <v>916</v>
      </c>
      <c r="D6930" s="0">
        <v>4</v>
      </c>
      <c r="E6930" s="10">
        <f>HYPERLINK("http://www.lingerieopt.ru/images/original/433baafd-87cc-4edb-8cb9-ed9eee7aa115.jpg","Фото")</f>
      </c>
    </row>
    <row r="6931">
      <c r="A6931" s="7">
        <f>HYPERLINK("http://www.lingerieopt.ru/item/7184-setchatje-otkrjtje-trusiki-s-kruzhevnjm-kantom/","7184")</f>
      </c>
      <c r="B6931" s="8" t="s">
        <v>6672</v>
      </c>
      <c r="C6931" s="9">
        <v>916</v>
      </c>
      <c r="D6931" s="0">
        <v>5</v>
      </c>
      <c r="E6931" s="10">
        <f>HYPERLINK("http://www.lingerieopt.ru/images/original/433baafd-87cc-4edb-8cb9-ed9eee7aa115.jpg","Фото")</f>
      </c>
    </row>
    <row r="6932">
      <c r="A6932" s="7">
        <f>HYPERLINK("http://www.lingerieopt.ru/item/7184-setchatje-otkrjtje-trusiki-s-kruzhevnjm-kantom/","7184")</f>
      </c>
      <c r="B6932" s="8" t="s">
        <v>6673</v>
      </c>
      <c r="C6932" s="9">
        <v>916</v>
      </c>
      <c r="D6932" s="0">
        <v>5</v>
      </c>
      <c r="E6932" s="10">
        <f>HYPERLINK("http://www.lingerieopt.ru/images/original/433baafd-87cc-4edb-8cb9-ed9eee7aa115.jpg","Фото")</f>
      </c>
    </row>
    <row r="6933">
      <c r="A6933" s="7">
        <f>HYPERLINK("http://www.lingerieopt.ru/item/7185-kruzhevnje-otkrjtje-trusiki-plus-size-s-vjrezom-v-vide-serdca-na-pope/","7185")</f>
      </c>
      <c r="B6933" s="8" t="s">
        <v>6674</v>
      </c>
      <c r="C6933" s="9">
        <v>727</v>
      </c>
      <c r="D6933" s="0">
        <v>8</v>
      </c>
      <c r="E6933" s="10">
        <f>HYPERLINK("http://www.lingerieopt.ru/images/original/37bf0895-0062-4eb5-b916-3a74ad7c4b27.jpg","Фото")</f>
      </c>
    </row>
    <row r="6934">
      <c r="A6934" s="7">
        <f>HYPERLINK("http://www.lingerieopt.ru/item/7185-kruzhevnje-otkrjtje-trusiki-plus-size-s-vjrezom-v-vide-serdca-na-pope/","7185")</f>
      </c>
      <c r="B6934" s="8" t="s">
        <v>6675</v>
      </c>
      <c r="C6934" s="9">
        <v>727</v>
      </c>
      <c r="D6934" s="0">
        <v>5</v>
      </c>
      <c r="E6934" s="10">
        <f>HYPERLINK("http://www.lingerieopt.ru/images/original/37bf0895-0062-4eb5-b916-3a74ad7c4b27.jpg","Фото")</f>
      </c>
    </row>
    <row r="6935">
      <c r="A6935" s="7">
        <f>HYPERLINK("http://www.lingerieopt.ru/item/7185-kruzhevnje-otkrjtje-trusiki-plus-size-s-vjrezom-v-vide-serdca-na-pope/","7185")</f>
      </c>
      <c r="B6935" s="8" t="s">
        <v>6676</v>
      </c>
      <c r="C6935" s="9">
        <v>727</v>
      </c>
      <c r="D6935" s="0">
        <v>5</v>
      </c>
      <c r="E6935" s="10">
        <f>HYPERLINK("http://www.lingerieopt.ru/images/original/37bf0895-0062-4eb5-b916-3a74ad7c4b27.jpg","Фото")</f>
      </c>
    </row>
    <row r="6936">
      <c r="A6936" s="7">
        <f>HYPERLINK("http://www.lingerieopt.ru/item/7229-trusiki-picantina-s-kruzhevnjm-ornamentom/","7229")</f>
      </c>
      <c r="B6936" s="8" t="s">
        <v>6677</v>
      </c>
      <c r="C6936" s="9">
        <v>610</v>
      </c>
      <c r="D6936" s="0">
        <v>7</v>
      </c>
      <c r="E6936" s="10">
        <f>HYPERLINK("http://www.lingerieopt.ru/images/original/cabf4d13-e52c-405a-9f63-891a130242c9.jpg","Фото")</f>
      </c>
    </row>
    <row r="6937">
      <c r="A6937" s="7">
        <f>HYPERLINK("http://www.lingerieopt.ru/item/7229-trusiki-picantina-s-kruzhevnjm-ornamentom/","7229")</f>
      </c>
      <c r="B6937" s="8" t="s">
        <v>6678</v>
      </c>
      <c r="C6937" s="9">
        <v>610</v>
      </c>
      <c r="D6937" s="0">
        <v>0</v>
      </c>
      <c r="E6937" s="10">
        <f>HYPERLINK("http://www.lingerieopt.ru/images/original/cabf4d13-e52c-405a-9f63-891a130242c9.jpg","Фото")</f>
      </c>
    </row>
    <row r="6938">
      <c r="A6938" s="7">
        <f>HYPERLINK("http://www.lingerieopt.ru/item/7234-originalnje-trusiki-s-businami-i-troinjmi-bretelyami/","7234")</f>
      </c>
      <c r="B6938" s="8" t="s">
        <v>6679</v>
      </c>
      <c r="C6938" s="9">
        <v>439</v>
      </c>
      <c r="D6938" s="0">
        <v>0</v>
      </c>
      <c r="E6938" s="10">
        <f>HYPERLINK("http://www.lingerieopt.ru/images/original/5812d243-6128-40a0-8ba7-51e51a258747.jpg","Фото")</f>
      </c>
    </row>
    <row r="6939">
      <c r="A6939" s="7">
        <f>HYPERLINK("http://www.lingerieopt.ru/item/7234-originalnje-trusiki-s-businami-i-troinjmi-bretelyami/","7234")</f>
      </c>
      <c r="B6939" s="8" t="s">
        <v>6680</v>
      </c>
      <c r="C6939" s="9">
        <v>439</v>
      </c>
      <c r="D6939" s="0">
        <v>3</v>
      </c>
      <c r="E6939" s="10">
        <f>HYPERLINK("http://www.lingerieopt.ru/images/original/5812d243-6128-40a0-8ba7-51e51a258747.jpg","Фото")</f>
      </c>
    </row>
    <row r="6940">
      <c r="A6940" s="7">
        <f>HYPERLINK("http://www.lingerieopt.ru/item/7234-originalnje-trusiki-s-businami-i-troinjmi-bretelyami/","7234")</f>
      </c>
      <c r="B6940" s="8" t="s">
        <v>6681</v>
      </c>
      <c r="C6940" s="9">
        <v>439</v>
      </c>
      <c r="D6940" s="0">
        <v>3</v>
      </c>
      <c r="E6940" s="10">
        <f>HYPERLINK("http://www.lingerieopt.ru/images/original/5812d243-6128-40a0-8ba7-51e51a258747.jpg","Фото")</f>
      </c>
    </row>
    <row r="6941">
      <c r="A6941" s="7">
        <f>HYPERLINK("http://www.lingerieopt.ru/item/7234-originalnje-trusiki-s-businami-i-troinjmi-bretelyami/","7234")</f>
      </c>
      <c r="B6941" s="8" t="s">
        <v>6682</v>
      </c>
      <c r="C6941" s="9">
        <v>439</v>
      </c>
      <c r="D6941" s="0">
        <v>0</v>
      </c>
      <c r="E6941" s="10">
        <f>HYPERLINK("http://www.lingerieopt.ru/images/original/5812d243-6128-40a0-8ba7-51e51a258747.jpg","Фото")</f>
      </c>
    </row>
    <row r="6942">
      <c r="A6942" s="7">
        <f>HYPERLINK("http://www.lingerieopt.ru/item/7234-originalnje-trusiki-s-businami-i-troinjmi-bretelyami/","7234")</f>
      </c>
      <c r="B6942" s="8" t="s">
        <v>6683</v>
      </c>
      <c r="C6942" s="9">
        <v>439</v>
      </c>
      <c r="D6942" s="0">
        <v>5</v>
      </c>
      <c r="E6942" s="10">
        <f>HYPERLINK("http://www.lingerieopt.ru/images/original/5812d243-6128-40a0-8ba7-51e51a258747.jpg","Фото")</f>
      </c>
    </row>
    <row r="6943">
      <c r="A6943" s="7">
        <f>HYPERLINK("http://www.lingerieopt.ru/item/7234-originalnje-trusiki-s-businami-i-troinjmi-bretelyami/","7234")</f>
      </c>
      <c r="B6943" s="8" t="s">
        <v>6684</v>
      </c>
      <c r="C6943" s="9">
        <v>439</v>
      </c>
      <c r="D6943" s="0">
        <v>0</v>
      </c>
      <c r="E6943" s="10">
        <f>HYPERLINK("http://www.lingerieopt.ru/images/original/5812d243-6128-40a0-8ba7-51e51a258747.jpg","Фото")</f>
      </c>
    </row>
    <row r="6944">
      <c r="A6944" s="7">
        <f>HYPERLINK("http://www.lingerieopt.ru/item/7235-effektnje-trusiki-s-troinjmi-bretelyami-i-businkami/","7235")</f>
      </c>
      <c r="B6944" s="8" t="s">
        <v>6685</v>
      </c>
      <c r="C6944" s="9">
        <v>439</v>
      </c>
      <c r="D6944" s="0">
        <v>3</v>
      </c>
      <c r="E6944" s="10">
        <f>HYPERLINK("http://www.lingerieopt.ru/images/original/e1bd9217-397f-454f-9d1b-6f612b5c4ffd.jpg","Фото")</f>
      </c>
    </row>
    <row r="6945">
      <c r="A6945" s="7">
        <f>HYPERLINK("http://www.lingerieopt.ru/item/7236-trusiki-stringi-s-businami/","7236")</f>
      </c>
      <c r="B6945" s="8" t="s">
        <v>6686</v>
      </c>
      <c r="C6945" s="9">
        <v>509</v>
      </c>
      <c r="D6945" s="0">
        <v>1</v>
      </c>
      <c r="E6945" s="10">
        <f>HYPERLINK("http://www.lingerieopt.ru/images/original/415299ac-2fec-48f2-aa44-1884352d8c83.jpg","Фото")</f>
      </c>
    </row>
    <row r="6946">
      <c r="A6946" s="7">
        <f>HYPERLINK("http://www.lingerieopt.ru/item/7236-trusiki-stringi-s-businami/","7236")</f>
      </c>
      <c r="B6946" s="8" t="s">
        <v>6687</v>
      </c>
      <c r="C6946" s="9">
        <v>509</v>
      </c>
      <c r="D6946" s="0">
        <v>2</v>
      </c>
      <c r="E6946" s="10">
        <f>HYPERLINK("http://www.lingerieopt.ru/images/original/415299ac-2fec-48f2-aa44-1884352d8c83.jpg","Фото")</f>
      </c>
    </row>
    <row r="6947">
      <c r="A6947" s="7">
        <f>HYPERLINK("http://www.lingerieopt.ru/item/7236-trusiki-stringi-s-businami/","7236")</f>
      </c>
      <c r="B6947" s="8" t="s">
        <v>6688</v>
      </c>
      <c r="C6947" s="9">
        <v>509</v>
      </c>
      <c r="D6947" s="0">
        <v>0</v>
      </c>
      <c r="E6947" s="10">
        <f>HYPERLINK("http://www.lingerieopt.ru/images/original/415299ac-2fec-48f2-aa44-1884352d8c83.jpg","Фото")</f>
      </c>
    </row>
    <row r="6948">
      <c r="A6948" s="7">
        <f>HYPERLINK("http://www.lingerieopt.ru/item/7236-trusiki-stringi-s-businami/","7236")</f>
      </c>
      <c r="B6948" s="8" t="s">
        <v>6689</v>
      </c>
      <c r="C6948" s="9">
        <v>509</v>
      </c>
      <c r="D6948" s="0">
        <v>0</v>
      </c>
      <c r="E6948" s="10">
        <f>HYPERLINK("http://www.lingerieopt.ru/images/original/415299ac-2fec-48f2-aa44-1884352d8c83.jpg","Фото")</f>
      </c>
    </row>
    <row r="6949">
      <c r="A6949" s="7">
        <f>HYPERLINK("http://www.lingerieopt.ru/item/7236-trusiki-stringi-s-businami/","7236")</f>
      </c>
      <c r="B6949" s="8" t="s">
        <v>6690</v>
      </c>
      <c r="C6949" s="9">
        <v>509</v>
      </c>
      <c r="D6949" s="0">
        <v>0</v>
      </c>
      <c r="E6949" s="10">
        <f>HYPERLINK("http://www.lingerieopt.ru/images/original/415299ac-2fec-48f2-aa44-1884352d8c83.jpg","Фото")</f>
      </c>
    </row>
    <row r="6950">
      <c r="A6950" s="7">
        <f>HYPERLINK("http://www.lingerieopt.ru/item/7236-trusiki-stringi-s-businami/","7236")</f>
      </c>
      <c r="B6950" s="8" t="s">
        <v>6691</v>
      </c>
      <c r="C6950" s="9">
        <v>509</v>
      </c>
      <c r="D6950" s="0">
        <v>0</v>
      </c>
      <c r="E6950" s="10">
        <f>HYPERLINK("http://www.lingerieopt.ru/images/original/415299ac-2fec-48f2-aa44-1884352d8c83.jpg","Фото")</f>
      </c>
    </row>
    <row r="6951">
      <c r="A6951" s="7">
        <f>HYPERLINK("http://www.lingerieopt.ru/item/7236-trusiki-stringi-s-businami/","7236")</f>
      </c>
      <c r="B6951" s="8" t="s">
        <v>6692</v>
      </c>
      <c r="C6951" s="9">
        <v>509</v>
      </c>
      <c r="D6951" s="0">
        <v>1</v>
      </c>
      <c r="E6951" s="10">
        <f>HYPERLINK("http://www.lingerieopt.ru/images/original/415299ac-2fec-48f2-aa44-1884352d8c83.jpg","Фото")</f>
      </c>
    </row>
    <row r="6952">
      <c r="A6952" s="7">
        <f>HYPERLINK("http://www.lingerieopt.ru/item/7236-trusiki-stringi-s-businami/","7236")</f>
      </c>
      <c r="B6952" s="8" t="s">
        <v>6693</v>
      </c>
      <c r="C6952" s="9">
        <v>509</v>
      </c>
      <c r="D6952" s="0">
        <v>0</v>
      </c>
      <c r="E6952" s="10">
        <f>HYPERLINK("http://www.lingerieopt.ru/images/original/415299ac-2fec-48f2-aa44-1884352d8c83.jpg","Фото")</f>
      </c>
    </row>
    <row r="6953">
      <c r="A6953" s="7">
        <f>HYPERLINK("http://www.lingerieopt.ru/item/7236-trusiki-stringi-s-businami/","7236")</f>
      </c>
      <c r="B6953" s="8" t="s">
        <v>6694</v>
      </c>
      <c r="C6953" s="9">
        <v>509</v>
      </c>
      <c r="D6953" s="0">
        <v>0</v>
      </c>
      <c r="E6953" s="10">
        <f>HYPERLINK("http://www.lingerieopt.ru/images/original/415299ac-2fec-48f2-aa44-1884352d8c83.jpg","Фото")</f>
      </c>
    </row>
    <row r="6954">
      <c r="A6954" s="7">
        <f>HYPERLINK("http://www.lingerieopt.ru/item/7237-trusiki-dzhoki-s-businkami/","7237")</f>
      </c>
      <c r="B6954" s="8" t="s">
        <v>6695</v>
      </c>
      <c r="C6954" s="9">
        <v>509</v>
      </c>
      <c r="D6954" s="0">
        <v>3</v>
      </c>
      <c r="E6954" s="10">
        <f>HYPERLINK("http://www.lingerieopt.ru/images/original/b5f57708-18ee-4739-b251-a6aa8d6587b0.jpg","Фото")</f>
      </c>
    </row>
    <row r="6955">
      <c r="A6955" s="7">
        <f>HYPERLINK("http://www.lingerieopt.ru/item/7237-trusiki-dzhoki-s-businkami/","7237")</f>
      </c>
      <c r="B6955" s="8" t="s">
        <v>6696</v>
      </c>
      <c r="C6955" s="9">
        <v>509</v>
      </c>
      <c r="D6955" s="0">
        <v>0</v>
      </c>
      <c r="E6955" s="10">
        <f>HYPERLINK("http://www.lingerieopt.ru/images/original/b5f57708-18ee-4739-b251-a6aa8d6587b0.jpg","Фото")</f>
      </c>
    </row>
    <row r="6956">
      <c r="A6956" s="7">
        <f>HYPERLINK("http://www.lingerieopt.ru/item/7239-azhurnje-stringi-s-businami-i-dvoinjmi-bretelyami/","7239")</f>
      </c>
      <c r="B6956" s="8" t="s">
        <v>6697</v>
      </c>
      <c r="C6956" s="9">
        <v>572</v>
      </c>
      <c r="D6956" s="0">
        <v>0</v>
      </c>
      <c r="E6956" s="10">
        <f>HYPERLINK("http://www.lingerieopt.ru/images/original/cddee6f4-ba87-41b6-b30c-f8432bec7c94.jpg","Фото")</f>
      </c>
    </row>
    <row r="6957">
      <c r="A6957" s="7">
        <f>HYPERLINK("http://www.lingerieopt.ru/item/7239-azhurnje-stringi-s-businami-i-dvoinjmi-bretelyami/","7239")</f>
      </c>
      <c r="B6957" s="8" t="s">
        <v>6698</v>
      </c>
      <c r="C6957" s="9">
        <v>572</v>
      </c>
      <c r="D6957" s="0">
        <v>0</v>
      </c>
      <c r="E6957" s="10">
        <f>HYPERLINK("http://www.lingerieopt.ru/images/original/cddee6f4-ba87-41b6-b30c-f8432bec7c94.jpg","Фото")</f>
      </c>
    </row>
    <row r="6958">
      <c r="A6958" s="7">
        <f>HYPERLINK("http://www.lingerieopt.ru/item/7239-azhurnje-stringi-s-businami-i-dvoinjmi-bretelyami/","7239")</f>
      </c>
      <c r="B6958" s="8" t="s">
        <v>6699</v>
      </c>
      <c r="C6958" s="9">
        <v>572</v>
      </c>
      <c r="D6958" s="0">
        <v>1</v>
      </c>
      <c r="E6958" s="10">
        <f>HYPERLINK("http://www.lingerieopt.ru/images/original/cddee6f4-ba87-41b6-b30c-f8432bec7c94.jpg","Фото")</f>
      </c>
    </row>
    <row r="6959">
      <c r="A6959" s="7">
        <f>HYPERLINK("http://www.lingerieopt.ru/item/7239-azhurnje-stringi-s-businami-i-dvoinjmi-bretelyami/","7239")</f>
      </c>
      <c r="B6959" s="8" t="s">
        <v>6700</v>
      </c>
      <c r="C6959" s="9">
        <v>572</v>
      </c>
      <c r="D6959" s="0">
        <v>1</v>
      </c>
      <c r="E6959" s="10">
        <f>HYPERLINK("http://www.lingerieopt.ru/images/original/cddee6f4-ba87-41b6-b30c-f8432bec7c94.jpg","Фото")</f>
      </c>
    </row>
    <row r="6960">
      <c r="A6960" s="7">
        <f>HYPERLINK("http://www.lingerieopt.ru/item/7239-azhurnje-stringi-s-businami-i-dvoinjmi-bretelyami/","7239")</f>
      </c>
      <c r="B6960" s="8" t="s">
        <v>6701</v>
      </c>
      <c r="C6960" s="9">
        <v>572</v>
      </c>
      <c r="D6960" s="0">
        <v>2</v>
      </c>
      <c r="E6960" s="10">
        <f>HYPERLINK("http://www.lingerieopt.ru/images/original/cddee6f4-ba87-41b6-b30c-f8432bec7c94.jpg","Фото")</f>
      </c>
    </row>
    <row r="6961">
      <c r="A6961" s="7">
        <f>HYPERLINK("http://www.lingerieopt.ru/item/7239-azhurnje-stringi-s-businami-i-dvoinjmi-bretelyami/","7239")</f>
      </c>
      <c r="B6961" s="8" t="s">
        <v>6702</v>
      </c>
      <c r="C6961" s="9">
        <v>572</v>
      </c>
      <c r="D6961" s="0">
        <v>8</v>
      </c>
      <c r="E6961" s="10">
        <f>HYPERLINK("http://www.lingerieopt.ru/images/original/cddee6f4-ba87-41b6-b30c-f8432bec7c94.jpg","Фото")</f>
      </c>
    </row>
    <row r="6962">
      <c r="A6962" s="7">
        <f>HYPERLINK("http://www.lingerieopt.ru/item/7239-azhurnje-stringi-s-businami-i-dvoinjmi-bretelyami/","7239")</f>
      </c>
      <c r="B6962" s="8" t="s">
        <v>6703</v>
      </c>
      <c r="C6962" s="9">
        <v>572</v>
      </c>
      <c r="D6962" s="0">
        <v>1</v>
      </c>
      <c r="E6962" s="10">
        <f>HYPERLINK("http://www.lingerieopt.ru/images/original/cddee6f4-ba87-41b6-b30c-f8432bec7c94.jpg","Фото")</f>
      </c>
    </row>
    <row r="6963">
      <c r="A6963" s="7">
        <f>HYPERLINK("http://www.lingerieopt.ru/item/7239-azhurnje-stringi-s-businami-i-dvoinjmi-bretelyami/","7239")</f>
      </c>
      <c r="B6963" s="8" t="s">
        <v>6704</v>
      </c>
      <c r="C6963" s="9">
        <v>572</v>
      </c>
      <c r="D6963" s="0">
        <v>2</v>
      </c>
      <c r="E6963" s="10">
        <f>HYPERLINK("http://www.lingerieopt.ru/images/original/cddee6f4-ba87-41b6-b30c-f8432bec7c94.jpg","Фото")</f>
      </c>
    </row>
    <row r="6964">
      <c r="A6964" s="7">
        <f>HYPERLINK("http://www.lingerieopt.ru/item/7266-kruzhevnje-trusiki-shortiki-empressia/","7266")</f>
      </c>
      <c r="B6964" s="8" t="s">
        <v>6705</v>
      </c>
      <c r="C6964" s="9">
        <v>708</v>
      </c>
      <c r="D6964" s="0">
        <v>0</v>
      </c>
      <c r="E6964" s="10">
        <f>HYPERLINK("http://www.lingerieopt.ru/images/original/a27f6bd1-5cdf-4e80-944e-d16d8011a1dd.jpg","Фото")</f>
      </c>
    </row>
    <row r="6965">
      <c r="A6965" s="7">
        <f>HYPERLINK("http://www.lingerieopt.ru/item/7266-kruzhevnje-trusiki-shortiki-empressia/","7266")</f>
      </c>
      <c r="B6965" s="8" t="s">
        <v>6706</v>
      </c>
      <c r="C6965" s="9">
        <v>708</v>
      </c>
      <c r="D6965" s="0">
        <v>1</v>
      </c>
      <c r="E6965" s="10">
        <f>HYPERLINK("http://www.lingerieopt.ru/images/original/a27f6bd1-5cdf-4e80-944e-d16d8011a1dd.jpg","Фото")</f>
      </c>
    </row>
    <row r="6966">
      <c r="A6966" s="7">
        <f>HYPERLINK("http://www.lingerieopt.ru/item/7273-trusiki-lovica-s-kruzhevami-i-mini-broshkoi/","7273")</f>
      </c>
      <c r="B6966" s="8" t="s">
        <v>6707</v>
      </c>
      <c r="C6966" s="9">
        <v>799</v>
      </c>
      <c r="D6966" s="0">
        <v>1</v>
      </c>
      <c r="E6966" s="10">
        <f>HYPERLINK("http://www.lingerieopt.ru/images/original/b0ffad33-cc82-4aca-bb90-7c8cfdaa11e6.jpg","Фото")</f>
      </c>
    </row>
    <row r="6967">
      <c r="A6967" s="7">
        <f>HYPERLINK("http://www.lingerieopt.ru/item/7273-trusiki-lovica-s-kruzhevami-i-mini-broshkoi/","7273")</f>
      </c>
      <c r="B6967" s="8" t="s">
        <v>6708</v>
      </c>
      <c r="C6967" s="9">
        <v>799</v>
      </c>
      <c r="D6967" s="0">
        <v>0</v>
      </c>
      <c r="E6967" s="10">
        <f>HYPERLINK("http://www.lingerieopt.ru/images/original/b0ffad33-cc82-4aca-bb90-7c8cfdaa11e6.jpg","Фото")</f>
      </c>
    </row>
    <row r="6968">
      <c r="A6968" s="7">
        <f>HYPERLINK("http://www.lingerieopt.ru/item/7319-otkrjtje-kruzhevnje-trusiki-estasi/","7319")</f>
      </c>
      <c r="B6968" s="8" t="s">
        <v>6709</v>
      </c>
      <c r="C6968" s="9">
        <v>1391</v>
      </c>
      <c r="D6968" s="0">
        <v>6</v>
      </c>
      <c r="E6968" s="10">
        <f>HYPERLINK("http://www.lingerieopt.ru/images/original/509ab618-e21e-461c-94a2-a1b1445836f6.jpg","Фото")</f>
      </c>
    </row>
    <row r="6969">
      <c r="A6969" s="7">
        <f>HYPERLINK("http://www.lingerieopt.ru/item/7319-otkrjtje-kruzhevnje-trusiki-estasi/","7319")</f>
      </c>
      <c r="B6969" s="8" t="s">
        <v>6710</v>
      </c>
      <c r="C6969" s="9">
        <v>1391</v>
      </c>
      <c r="D6969" s="0">
        <v>2</v>
      </c>
      <c r="E6969" s="10">
        <f>HYPERLINK("http://www.lingerieopt.ru/images/original/509ab618-e21e-461c-94a2-a1b1445836f6.jpg","Фото")</f>
      </c>
    </row>
    <row r="6970">
      <c r="A6970" s="7">
        <f>HYPERLINK("http://www.lingerieopt.ru/item/7322-prozrachnje-mikro-stringi-lotos/","7322")</f>
      </c>
      <c r="B6970" s="8" t="s">
        <v>6711</v>
      </c>
      <c r="C6970" s="9">
        <v>1274</v>
      </c>
      <c r="D6970" s="0">
        <v>0</v>
      </c>
      <c r="E6970" s="10">
        <f>HYPERLINK("http://www.lingerieopt.ru/images/original/b409b8dd-7579-4b1e-a940-9e1b608bd73b.jpg","Фото")</f>
      </c>
    </row>
    <row r="6971">
      <c r="A6971" s="7">
        <f>HYPERLINK("http://www.lingerieopt.ru/item/7322-prozrachnje-mikro-stringi-lotos/","7322")</f>
      </c>
      <c r="B6971" s="8" t="s">
        <v>6712</v>
      </c>
      <c r="C6971" s="9">
        <v>1274</v>
      </c>
      <c r="D6971" s="0">
        <v>3</v>
      </c>
      <c r="E6971" s="10">
        <f>HYPERLINK("http://www.lingerieopt.ru/images/original/b409b8dd-7579-4b1e-a940-9e1b608bd73b.jpg","Фото")</f>
      </c>
    </row>
    <row r="6972">
      <c r="A6972" s="7">
        <f>HYPERLINK("http://www.lingerieopt.ru/item/7331-otkrjtje-kruzhevnje-trusiki-siglia-na-tonkih-tesemochkah/","7331")</f>
      </c>
      <c r="B6972" s="8" t="s">
        <v>6713</v>
      </c>
      <c r="C6972" s="9">
        <v>1349</v>
      </c>
      <c r="D6972" s="0">
        <v>2</v>
      </c>
      <c r="E6972" s="10">
        <f>HYPERLINK("http://www.lingerieopt.ru/images/original/cc4e84f4-6adc-4f47-9cb4-9120dfce36ce.jpg","Фото")</f>
      </c>
    </row>
    <row r="6973">
      <c r="A6973" s="7">
        <f>HYPERLINK("http://www.lingerieopt.ru/item/7331-otkrjtje-kruzhevnje-trusiki-siglia-na-tonkih-tesemochkah/","7331")</f>
      </c>
      <c r="B6973" s="8" t="s">
        <v>6714</v>
      </c>
      <c r="C6973" s="9">
        <v>1349</v>
      </c>
      <c r="D6973" s="0">
        <v>0</v>
      </c>
      <c r="E6973" s="10">
        <f>HYPERLINK("http://www.lingerieopt.ru/images/original/cc4e84f4-6adc-4f47-9cb4-9120dfce36ce.jpg","Фото")</f>
      </c>
    </row>
    <row r="6974">
      <c r="A6974" s="7">
        <f>HYPERLINK("http://www.lingerieopt.ru/item/7366-otkrjtje-kruzhevnje-trusiki-la-fiore/","7366")</f>
      </c>
      <c r="B6974" s="8" t="s">
        <v>6715</v>
      </c>
      <c r="C6974" s="9">
        <v>1349</v>
      </c>
      <c r="D6974" s="0">
        <v>2</v>
      </c>
      <c r="E6974" s="10">
        <f>HYPERLINK("http://www.lingerieopt.ru/images/original/f85f461a-d24f-42d2-93dd-d00274c40bec.jpg","Фото")</f>
      </c>
    </row>
    <row r="6975">
      <c r="A6975" s="7">
        <f>HYPERLINK("http://www.lingerieopt.ru/item/7378-otkrjtje-belje-kruzhevnje-trusiki/","7378")</f>
      </c>
      <c r="B6975" s="8" t="s">
        <v>6716</v>
      </c>
      <c r="C6975" s="9">
        <v>1319</v>
      </c>
      <c r="D6975" s="0">
        <v>5</v>
      </c>
      <c r="E6975" s="10">
        <f>HYPERLINK("http://www.lingerieopt.ru/images/original/2062ad97-78f5-44ab-88f8-0c0be63328d4.jpg","Фото")</f>
      </c>
    </row>
    <row r="6976">
      <c r="A6976" s="7">
        <f>HYPERLINK("http://www.lingerieopt.ru/item/7378-otkrjtje-belje-kruzhevnje-trusiki/","7378")</f>
      </c>
      <c r="B6976" s="8" t="s">
        <v>6717</v>
      </c>
      <c r="C6976" s="9">
        <v>1319</v>
      </c>
      <c r="D6976" s="0">
        <v>3</v>
      </c>
      <c r="E6976" s="10">
        <f>HYPERLINK("http://www.lingerieopt.ru/images/original/2062ad97-78f5-44ab-88f8-0c0be63328d4.jpg","Фото")</f>
      </c>
    </row>
    <row r="6977">
      <c r="A6977" s="7">
        <f>HYPERLINK("http://www.lingerieopt.ru/item/7462-komplekt-iz-poyasa-s-kruzhevnoi-vstavkoi-i-trusikov-string/","7462")</f>
      </c>
      <c r="B6977" s="8" t="s">
        <v>6718</v>
      </c>
      <c r="C6977" s="9">
        <v>865</v>
      </c>
      <c r="D6977" s="0">
        <v>1</v>
      </c>
      <c r="E6977" s="10">
        <f>HYPERLINK("http://www.lingerieopt.ru/images/original/86a48960-6248-4a6e-8649-64afd82c1b6d.jpg","Фото")</f>
      </c>
    </row>
    <row r="6978">
      <c r="A6978" s="7">
        <f>HYPERLINK("http://www.lingerieopt.ru/item/7462-komplekt-iz-poyasa-s-kruzhevnoi-vstavkoi-i-trusikov-string/","7462")</f>
      </c>
      <c r="B6978" s="8" t="s">
        <v>6719</v>
      </c>
      <c r="C6978" s="9">
        <v>865</v>
      </c>
      <c r="D6978" s="0">
        <v>6</v>
      </c>
      <c r="E6978" s="10">
        <f>HYPERLINK("http://www.lingerieopt.ru/images/original/86a48960-6248-4a6e-8649-64afd82c1b6d.jpg","Фото")</f>
      </c>
    </row>
    <row r="6979">
      <c r="A6979" s="7">
        <f>HYPERLINK("http://www.lingerieopt.ru/item/7531-ocharovatelnje-shortiki-cute-shorts-s-rozovjmi-ryushkami/","7531")</f>
      </c>
      <c r="B6979" s="8" t="s">
        <v>6720</v>
      </c>
      <c r="C6979" s="9">
        <v>968</v>
      </c>
      <c r="D6979" s="0">
        <v>5</v>
      </c>
      <c r="E6979" s="10">
        <f>HYPERLINK("http://www.lingerieopt.ru/images/original/9e6ec32b-f5f8-4c87-ae5f-a67efbb17baf.jpg","Фото")</f>
      </c>
    </row>
    <row r="6980">
      <c r="A6980" s="7">
        <f>HYPERLINK("http://www.lingerieopt.ru/item/7531-ocharovatelnje-shortiki-cute-shorts-s-rozovjmi-ryushkami/","7531")</f>
      </c>
      <c r="B6980" s="8" t="s">
        <v>6721</v>
      </c>
      <c r="C6980" s="9">
        <v>968</v>
      </c>
      <c r="D6980" s="0">
        <v>1</v>
      </c>
      <c r="E6980" s="10">
        <f>HYPERLINK("http://www.lingerieopt.ru/images/original/9e6ec32b-f5f8-4c87-ae5f-a67efbb17baf.jpg","Фото")</f>
      </c>
    </row>
    <row r="6981">
      <c r="A6981" s="7">
        <f>HYPERLINK("http://www.lingerieopt.ru/item/7544-shortj-s-naruchami-lush-shorts/","7544")</f>
      </c>
      <c r="B6981" s="8" t="s">
        <v>6722</v>
      </c>
      <c r="C6981" s="9">
        <v>2872</v>
      </c>
      <c r="D6981" s="0">
        <v>0</v>
      </c>
      <c r="E6981" s="10">
        <f>HYPERLINK("http://www.lingerieopt.ru/images/original/1a094672-05ca-43aa-ac45-ab468e542d6f.jpg","Фото")</f>
      </c>
    </row>
    <row r="6982">
      <c r="A6982" s="7">
        <f>HYPERLINK("http://www.lingerieopt.ru/item/7544-shortj-s-naruchami-lush-shorts/","7544")</f>
      </c>
      <c r="B6982" s="8" t="s">
        <v>6723</v>
      </c>
      <c r="C6982" s="9">
        <v>2872</v>
      </c>
      <c r="D6982" s="0">
        <v>2</v>
      </c>
      <c r="E6982" s="10">
        <f>HYPERLINK("http://www.lingerieopt.ru/images/original/1a094672-05ca-43aa-ac45-ab468e542d6f.jpg","Фото")</f>
      </c>
    </row>
    <row r="6983">
      <c r="A6983" s="7">
        <f>HYPERLINK("http://www.lingerieopt.ru/item/7728-nabor-iz-2-raznocvetnjh-trusikov-stringov-lacea/","7728")</f>
      </c>
      <c r="B6983" s="8" t="s">
        <v>6724</v>
      </c>
      <c r="C6983" s="9">
        <v>774</v>
      </c>
      <c r="D6983" s="0">
        <v>0</v>
      </c>
      <c r="E6983" s="10">
        <f>HYPERLINK("http://www.lingerieopt.ru/images/original/b2f0f7ea-14fa-49ec-8f65-441d5869a6d7.jpg","Фото")</f>
      </c>
    </row>
    <row r="6984">
      <c r="A6984" s="7">
        <f>HYPERLINK("http://www.lingerieopt.ru/item/7728-nabor-iz-2-raznocvetnjh-trusikov-stringov-lacea/","7728")</f>
      </c>
      <c r="B6984" s="8" t="s">
        <v>6725</v>
      </c>
      <c r="C6984" s="9">
        <v>774</v>
      </c>
      <c r="D6984" s="0">
        <v>6</v>
      </c>
      <c r="E6984" s="10">
        <f>HYPERLINK("http://www.lingerieopt.ru/images/original/b2f0f7ea-14fa-49ec-8f65-441d5869a6d7.jpg","Фото")</f>
      </c>
    </row>
    <row r="6985">
      <c r="A6985" s="7">
        <f>HYPERLINK("http://www.lingerieopt.ru/item/7728-nabor-iz-2-raznocvetnjh-trusikov-stringov-lacea/","7728")</f>
      </c>
      <c r="B6985" s="8" t="s">
        <v>6726</v>
      </c>
      <c r="C6985" s="9">
        <v>774</v>
      </c>
      <c r="D6985" s="0">
        <v>1</v>
      </c>
      <c r="E6985" s="10">
        <f>HYPERLINK("http://www.lingerieopt.ru/images/original/b2f0f7ea-14fa-49ec-8f65-441d5869a6d7.jpg","Фото")</f>
      </c>
    </row>
    <row r="6986">
      <c r="A6986" s="7">
        <f>HYPERLINK("http://www.lingerieopt.ru/item/7728-nabor-iz-2-raznocvetnjh-trusikov-stringov-lacea/","7728")</f>
      </c>
      <c r="B6986" s="8" t="s">
        <v>6727</v>
      </c>
      <c r="C6986" s="9">
        <v>774</v>
      </c>
      <c r="D6986" s="0">
        <v>0</v>
      </c>
      <c r="E6986" s="10">
        <f>HYPERLINK("http://www.lingerieopt.ru/images/original/b2f0f7ea-14fa-49ec-8f65-441d5869a6d7.jpg","Фото")</f>
      </c>
    </row>
    <row r="6987">
      <c r="A6987" s="7">
        <f>HYPERLINK("http://www.lingerieopt.ru/item/7731-kruzhevnje-trusiki-frivolla-s-poluotkrjtoi-zadnei-chastyu/","7731")</f>
      </c>
      <c r="B6987" s="8" t="s">
        <v>6728</v>
      </c>
      <c r="C6987" s="9">
        <v>684</v>
      </c>
      <c r="D6987" s="0">
        <v>4</v>
      </c>
      <c r="E6987" s="10">
        <f>HYPERLINK("http://www.lingerieopt.ru/images/original/fe5de2f2-b787-480b-805b-b226e774d5ed.jpg","Фото")</f>
      </c>
    </row>
    <row r="6988">
      <c r="A6988" s="7">
        <f>HYPERLINK("http://www.lingerieopt.ru/item/7731-kruzhevnje-trusiki-frivolla-s-poluotkrjtoi-zadnei-chastyu/","7731")</f>
      </c>
      <c r="B6988" s="8" t="s">
        <v>6729</v>
      </c>
      <c r="C6988" s="9">
        <v>684</v>
      </c>
      <c r="D6988" s="0">
        <v>12</v>
      </c>
      <c r="E6988" s="10">
        <f>HYPERLINK("http://www.lingerieopt.ru/images/original/fe5de2f2-b787-480b-805b-b226e774d5ed.jpg","Фото")</f>
      </c>
    </row>
    <row r="6989">
      <c r="A6989" s="7">
        <f>HYPERLINK("http://www.lingerieopt.ru/item/7732-nabor-iz-beljh-shortikov-i-trusikov-string-lacea-s-cvetnjm-azhurnjm-poyasom/","7732")</f>
      </c>
      <c r="B6989" s="8" t="s">
        <v>6730</v>
      </c>
      <c r="C6989" s="9">
        <v>832</v>
      </c>
      <c r="D6989" s="0">
        <v>10</v>
      </c>
      <c r="E6989" s="10">
        <f>HYPERLINK("http://www.lingerieopt.ru/images/original/a3537f98-4004-4137-8e0a-ea107494e87a.jpg","Фото")</f>
      </c>
    </row>
    <row r="6990">
      <c r="A6990" s="7">
        <f>HYPERLINK("http://www.lingerieopt.ru/item/7732-nabor-iz-beljh-shortikov-i-trusikov-string-lacea-s-cvetnjm-azhurnjm-poyasom/","7732")</f>
      </c>
      <c r="B6990" s="8" t="s">
        <v>6731</v>
      </c>
      <c r="C6990" s="9">
        <v>832</v>
      </c>
      <c r="D6990" s="0">
        <v>10</v>
      </c>
      <c r="E6990" s="10">
        <f>HYPERLINK("http://www.lingerieopt.ru/images/original/a3537f98-4004-4137-8e0a-ea107494e87a.jpg","Фото")</f>
      </c>
    </row>
    <row r="6991">
      <c r="A6991" s="7">
        <f>HYPERLINK("http://www.lingerieopt.ru/item/7732-nabor-iz-beljh-shortikov-i-trusikov-string-lacea-s-cvetnjm-azhurnjm-poyasom/","7732")</f>
      </c>
      <c r="B6991" s="8" t="s">
        <v>6732</v>
      </c>
      <c r="C6991" s="9">
        <v>832</v>
      </c>
      <c r="D6991" s="0">
        <v>8</v>
      </c>
      <c r="E6991" s="10">
        <f>HYPERLINK("http://www.lingerieopt.ru/images/original/a3537f98-4004-4137-8e0a-ea107494e87a.jpg","Фото")</f>
      </c>
    </row>
    <row r="6992">
      <c r="A6992" s="7">
        <f>HYPERLINK("http://www.lingerieopt.ru/item/7732-nabor-iz-beljh-shortikov-i-trusikov-string-lacea-s-cvetnjm-azhurnjm-poyasom/","7732")</f>
      </c>
      <c r="B6992" s="8" t="s">
        <v>6733</v>
      </c>
      <c r="C6992" s="9">
        <v>832</v>
      </c>
      <c r="D6992" s="0">
        <v>8</v>
      </c>
      <c r="E6992" s="10">
        <f>HYPERLINK("http://www.lingerieopt.ru/images/original/a3537f98-4004-4137-8e0a-ea107494e87a.jpg","Фото")</f>
      </c>
    </row>
    <row r="6993">
      <c r="A6993" s="7">
        <f>HYPERLINK("http://www.lingerieopt.ru/item/7733-nabor-iz-2-odnotonnjh-raznocvetnjh-shortikov-lacea/","7733")</f>
      </c>
      <c r="B6993" s="8" t="s">
        <v>6734</v>
      </c>
      <c r="C6993" s="9">
        <v>1152</v>
      </c>
      <c r="D6993" s="0">
        <v>2</v>
      </c>
      <c r="E6993" s="10">
        <f>HYPERLINK("http://www.lingerieopt.ru/images/original/016e6e7b-3302-4966-a5ca-e2315a6096cc.jpg","Фото")</f>
      </c>
    </row>
    <row r="6994">
      <c r="A6994" s="7">
        <f>HYPERLINK("http://www.lingerieopt.ru/item/7733-nabor-iz-2-odnotonnjh-raznocvetnjh-shortikov-lacea/","7733")</f>
      </c>
      <c r="B6994" s="8" t="s">
        <v>6735</v>
      </c>
      <c r="C6994" s="9">
        <v>1152</v>
      </c>
      <c r="D6994" s="0">
        <v>2</v>
      </c>
      <c r="E6994" s="10">
        <f>HYPERLINK("http://www.lingerieopt.ru/images/original/016e6e7b-3302-4966-a5ca-e2315a6096cc.jpg","Фото")</f>
      </c>
    </row>
    <row r="6995">
      <c r="A6995" s="7">
        <f>HYPERLINK("http://www.lingerieopt.ru/item/7733-nabor-iz-2-odnotonnjh-raznocvetnjh-shortikov-lacea/","7733")</f>
      </c>
      <c r="B6995" s="8" t="s">
        <v>6736</v>
      </c>
      <c r="C6995" s="9">
        <v>1152</v>
      </c>
      <c r="D6995" s="0">
        <v>0</v>
      </c>
      <c r="E6995" s="10">
        <f>HYPERLINK("http://www.lingerieopt.ru/images/original/016e6e7b-3302-4966-a5ca-e2315a6096cc.jpg","Фото")</f>
      </c>
    </row>
    <row r="6996">
      <c r="A6996" s="7">
        <f>HYPERLINK("http://www.lingerieopt.ru/item/7733-nabor-iz-2-odnotonnjh-raznocvetnjh-shortikov-lacea/","7733")</f>
      </c>
      <c r="B6996" s="8" t="s">
        <v>6737</v>
      </c>
      <c r="C6996" s="9">
        <v>1152</v>
      </c>
      <c r="D6996" s="0">
        <v>4</v>
      </c>
      <c r="E6996" s="10">
        <f>HYPERLINK("http://www.lingerieopt.ru/images/original/016e6e7b-3302-4966-a5ca-e2315a6096cc.jpg","Фото")</f>
      </c>
    </row>
    <row r="6997">
      <c r="A6997" s="7">
        <f>HYPERLINK("http://www.lingerieopt.ru/item/7735-shortiki-moketta-s-azhurnoi-verhnei-chastyu/","7735")</f>
      </c>
      <c r="B6997" s="8" t="s">
        <v>6738</v>
      </c>
      <c r="C6997" s="9">
        <v>683</v>
      </c>
      <c r="D6997" s="0">
        <v>14</v>
      </c>
      <c r="E6997" s="10">
        <f>HYPERLINK("http://www.lingerieopt.ru/images/original/c1757955-8eaf-40f2-8614-5675ba88015f.jpg","Фото")</f>
      </c>
    </row>
    <row r="6998">
      <c r="A6998" s="7">
        <f>HYPERLINK("http://www.lingerieopt.ru/item/7748-trusiki-shortj-s-printom-v-vide-poceluya-na-pope/","7748")</f>
      </c>
      <c r="B6998" s="8" t="s">
        <v>6739</v>
      </c>
      <c r="C6998" s="9">
        <v>503</v>
      </c>
      <c r="D6998" s="0">
        <v>19</v>
      </c>
      <c r="E6998" s="10">
        <f>HYPERLINK("http://www.lingerieopt.ru/images/original/25c4512a-913e-450f-89d1-d581a22daf20.jpg","Фото")</f>
      </c>
    </row>
    <row r="6999">
      <c r="A6999" s="7">
        <f>HYPERLINK("http://www.lingerieopt.ru/item/7839-trusiki-s-nadpisyu-happy-birthday/","7839")</f>
      </c>
      <c r="B6999" s="8" t="s">
        <v>6740</v>
      </c>
      <c r="C6999" s="9">
        <v>274</v>
      </c>
      <c r="D6999" s="0">
        <v>9</v>
      </c>
      <c r="E6999" s="10">
        <f>HYPERLINK("http://www.lingerieopt.ru/images/original/5019fb9c-3e8f-4a3a-8014-cf321977c061.jpg","Фото")</f>
      </c>
    </row>
    <row r="7000">
      <c r="A7000" s="7">
        <f>HYPERLINK("http://www.lingerieopt.ru/item/7841-trusiki-s-dostupom-i-metallicheskim-dekorom/","7841")</f>
      </c>
      <c r="B7000" s="8" t="s">
        <v>6741</v>
      </c>
      <c r="C7000" s="9">
        <v>343</v>
      </c>
      <c r="D7000" s="0">
        <v>16</v>
      </c>
      <c r="E7000" s="10">
        <f>HYPERLINK("http://www.lingerieopt.ru/images/original/1447b4b7-e3b5-4651-b726-85ce48d8a994.jpg","Фото")</f>
      </c>
    </row>
    <row r="7001">
      <c r="A7001" s="7">
        <f>HYPERLINK("http://www.lingerieopt.ru/item/7841-trusiki-s-dostupom-i-metallicheskim-dekorom/","7841")</f>
      </c>
      <c r="B7001" s="8" t="s">
        <v>6742</v>
      </c>
      <c r="C7001" s="9">
        <v>343</v>
      </c>
      <c r="D7001" s="0">
        <v>20</v>
      </c>
      <c r="E7001" s="10">
        <f>HYPERLINK("http://www.lingerieopt.ru/images/original/1447b4b7-e3b5-4651-b726-85ce48d8a994.jpg","Фото")</f>
      </c>
    </row>
    <row r="7002">
      <c r="A7002" s="7">
        <f>HYPERLINK("http://www.lingerieopt.ru/item/7842-derzkie-shortiki-s-dostupom-i-dekorativnoi-shnurovkoi-szadi/","7842")</f>
      </c>
      <c r="B7002" s="8" t="s">
        <v>6743</v>
      </c>
      <c r="C7002" s="9">
        <v>480</v>
      </c>
      <c r="D7002" s="0">
        <v>9</v>
      </c>
      <c r="E7002" s="10">
        <f>HYPERLINK("http://www.lingerieopt.ru/images/original/d540094e-c5dd-480d-b628-a011981b46cf.jpg","Фото")</f>
      </c>
    </row>
    <row r="7003">
      <c r="A7003" s="7">
        <f>HYPERLINK("http://www.lingerieopt.ru/item/7842-derzkie-shortiki-s-dostupom-i-dekorativnoi-shnurovkoi-szadi/","7842")</f>
      </c>
      <c r="B7003" s="8" t="s">
        <v>6744</v>
      </c>
      <c r="C7003" s="9">
        <v>480</v>
      </c>
      <c r="D7003" s="0">
        <v>11</v>
      </c>
      <c r="E7003" s="10">
        <f>HYPERLINK("http://www.lingerieopt.ru/images/original/d540094e-c5dd-480d-b628-a011981b46cf.jpg","Фото")</f>
      </c>
    </row>
    <row r="7004">
      <c r="A7004" s="7">
        <f>HYPERLINK("http://www.lingerieopt.ru/item/7843-belje-trusiki-s-dostupom-i-nezhnoi-yubochkoi/","7843")</f>
      </c>
      <c r="B7004" s="8" t="s">
        <v>6745</v>
      </c>
      <c r="C7004" s="9">
        <v>389</v>
      </c>
      <c r="D7004" s="0">
        <v>8</v>
      </c>
      <c r="E7004" s="10">
        <f>HYPERLINK("http://www.lingerieopt.ru/images/original/119400b5-5355-49ca-a195-d452f19fc496.jpg","Фото")</f>
      </c>
    </row>
    <row r="7005">
      <c r="A7005" s="7">
        <f>HYPERLINK("http://www.lingerieopt.ru/item/7843-belje-trusiki-s-dostupom-i-nezhnoi-yubochkoi/","7843")</f>
      </c>
      <c r="B7005" s="8" t="s">
        <v>6746</v>
      </c>
      <c r="C7005" s="9">
        <v>389</v>
      </c>
      <c r="D7005" s="0">
        <v>10</v>
      </c>
      <c r="E7005" s="10">
        <f>HYPERLINK("http://www.lingerieopt.ru/images/original/119400b5-5355-49ca-a195-d452f19fc496.jpg","Фото")</f>
      </c>
    </row>
    <row r="7006">
      <c r="A7006" s="7">
        <f>HYPERLINK("http://www.lingerieopt.ru/item/7844-chernje-trusiki-s-dostupom-i-nezhnoi-yubochkoi/","7844")</f>
      </c>
      <c r="B7006" s="8" t="s">
        <v>6747</v>
      </c>
      <c r="C7006" s="9">
        <v>389</v>
      </c>
      <c r="D7006" s="0">
        <v>6</v>
      </c>
      <c r="E7006" s="10">
        <f>HYPERLINK("http://www.lingerieopt.ru/images/original/f4f5bed3-3a15-4815-a058-587e7e184442.jpg","Фото")</f>
      </c>
    </row>
    <row r="7007">
      <c r="A7007" s="7">
        <f>HYPERLINK("http://www.lingerieopt.ru/item/7844-chernje-trusiki-s-dostupom-i-nezhnoi-yubochkoi/","7844")</f>
      </c>
      <c r="B7007" s="8" t="s">
        <v>6748</v>
      </c>
      <c r="C7007" s="9">
        <v>389</v>
      </c>
      <c r="D7007" s="0">
        <v>1</v>
      </c>
      <c r="E7007" s="10">
        <f>HYPERLINK("http://www.lingerieopt.ru/images/original/f4f5bed3-3a15-4815-a058-587e7e184442.jpg","Фото")</f>
      </c>
    </row>
    <row r="7008">
      <c r="A7008" s="7">
        <f>HYPERLINK("http://www.lingerieopt.ru/item/7845-pikantnje-trusiki-s-dostupom-i-cvetochnjm-kruzhevom/","7845")</f>
      </c>
      <c r="B7008" s="8" t="s">
        <v>6749</v>
      </c>
      <c r="C7008" s="9">
        <v>354</v>
      </c>
      <c r="D7008" s="0">
        <v>14</v>
      </c>
      <c r="E7008" s="10">
        <f>HYPERLINK("http://www.lingerieopt.ru/images/original/7e6147e9-b439-478a-bbc8-93da4dc733ec.jpg","Фото")</f>
      </c>
    </row>
    <row r="7009">
      <c r="A7009" s="7">
        <f>HYPERLINK("http://www.lingerieopt.ru/item/7845-pikantnje-trusiki-s-dostupom-i-cvetochnjm-kruzhevom/","7845")</f>
      </c>
      <c r="B7009" s="8" t="s">
        <v>6750</v>
      </c>
      <c r="C7009" s="9">
        <v>354</v>
      </c>
      <c r="D7009" s="0">
        <v>3</v>
      </c>
      <c r="E7009" s="10">
        <f>HYPERLINK("http://www.lingerieopt.ru/images/original/7e6147e9-b439-478a-bbc8-93da4dc733ec.jpg","Фото")</f>
      </c>
    </row>
    <row r="7010">
      <c r="A7010" s="7">
        <f>HYPERLINK("http://www.lingerieopt.ru/item/7846-originalnje-trusiki-s-dostupom-i-metallicheskim-dekorom/","7846")</f>
      </c>
      <c r="B7010" s="8" t="s">
        <v>6751</v>
      </c>
      <c r="C7010" s="9">
        <v>450</v>
      </c>
      <c r="D7010" s="0">
        <v>20</v>
      </c>
      <c r="E7010" s="10">
        <f>HYPERLINK("http://www.lingerieopt.ru/images/original/a1d56f60-fe48-42a0-8cbc-12c7e126d830.jpg","Фото")</f>
      </c>
    </row>
    <row r="7011">
      <c r="A7011" s="7">
        <f>HYPERLINK("http://www.lingerieopt.ru/item/7846-originalnje-trusiki-s-dostupom-i-metallicheskim-dekorom/","7846")</f>
      </c>
      <c r="B7011" s="8" t="s">
        <v>6752</v>
      </c>
      <c r="C7011" s="9">
        <v>450</v>
      </c>
      <c r="D7011" s="0">
        <v>4</v>
      </c>
      <c r="E7011" s="10">
        <f>HYPERLINK("http://www.lingerieopt.ru/images/original/a1d56f60-fe48-42a0-8cbc-12c7e126d830.jpg","Фото")</f>
      </c>
    </row>
    <row r="7012">
      <c r="A7012" s="7">
        <f>HYPERLINK("http://www.lingerieopt.ru/item/7847-effektnje-trusiki-s-perforaciei-na-tkani/","7847")</f>
      </c>
      <c r="B7012" s="8" t="s">
        <v>6753</v>
      </c>
      <c r="C7012" s="9">
        <v>606</v>
      </c>
      <c r="D7012" s="0">
        <v>8</v>
      </c>
      <c r="E7012" s="10">
        <f>HYPERLINK("http://www.lingerieopt.ru/images/original/c12397d3-f213-424c-a6b0-71264d7ab5e6.jpg","Фото")</f>
      </c>
    </row>
    <row r="7013">
      <c r="A7013" s="7">
        <f>HYPERLINK("http://www.lingerieopt.ru/item/7847-effektnje-trusiki-s-perforaciei-na-tkani/","7847")</f>
      </c>
      <c r="B7013" s="8" t="s">
        <v>6754</v>
      </c>
      <c r="C7013" s="9">
        <v>606</v>
      </c>
      <c r="D7013" s="0">
        <v>9</v>
      </c>
      <c r="E7013" s="10">
        <f>HYPERLINK("http://www.lingerieopt.ru/images/original/c12397d3-f213-424c-a6b0-71264d7ab5e6.jpg","Фото")</f>
      </c>
    </row>
    <row r="7014">
      <c r="A7014" s="7">
        <f>HYPERLINK("http://www.lingerieopt.ru/item/7848-soblaznitelnje-trusiki-s-dostupom-i-treugolnikom-szadi/","7848")</f>
      </c>
      <c r="B7014" s="8" t="s">
        <v>6755</v>
      </c>
      <c r="C7014" s="9">
        <v>253</v>
      </c>
      <c r="D7014" s="0">
        <v>5</v>
      </c>
      <c r="E7014" s="10">
        <f>HYPERLINK("http://www.lingerieopt.ru/images/original/0f84f9b1-14d6-42d2-a288-3bef5cf67a2e.jpg","Фото")</f>
      </c>
    </row>
    <row r="7015">
      <c r="A7015" s="7">
        <f>HYPERLINK("http://www.lingerieopt.ru/item/7848-soblaznitelnje-trusiki-s-dostupom-i-treugolnikom-szadi/","7848")</f>
      </c>
      <c r="B7015" s="8" t="s">
        <v>6756</v>
      </c>
      <c r="C7015" s="9">
        <v>253</v>
      </c>
      <c r="D7015" s="0">
        <v>20</v>
      </c>
      <c r="E7015" s="10">
        <f>HYPERLINK("http://www.lingerieopt.ru/images/original/0f84f9b1-14d6-42d2-a288-3bef5cf67a2e.jpg","Фото")</f>
      </c>
    </row>
    <row r="7016">
      <c r="A7016" s="7">
        <f>HYPERLINK("http://www.lingerieopt.ru/item/7849-trusiki-iz-myagkoi-setki-s-dostupom-i-kistochkoi/","7849")</f>
      </c>
      <c r="B7016" s="8" t="s">
        <v>6757</v>
      </c>
      <c r="C7016" s="9">
        <v>342</v>
      </c>
      <c r="D7016" s="0">
        <v>12</v>
      </c>
      <c r="E7016" s="10">
        <f>HYPERLINK("http://www.lingerieopt.ru/images/original/0b87c882-ddff-4c58-9bf6-1bfdecec057b.jpg","Фото")</f>
      </c>
    </row>
    <row r="7017">
      <c r="A7017" s="7">
        <f>HYPERLINK("http://www.lingerieopt.ru/item/7849-trusiki-iz-myagkoi-setki-s-dostupom-i-kistochkoi/","7849")</f>
      </c>
      <c r="B7017" s="8" t="s">
        <v>6758</v>
      </c>
      <c r="C7017" s="9">
        <v>342</v>
      </c>
      <c r="D7017" s="0">
        <v>3</v>
      </c>
      <c r="E7017" s="10">
        <f>HYPERLINK("http://www.lingerieopt.ru/images/original/0b87c882-ddff-4c58-9bf6-1bfdecec057b.jpg","Фото")</f>
      </c>
    </row>
    <row r="7018">
      <c r="A7018" s="7">
        <f>HYPERLINK("http://www.lingerieopt.ru/item/7850-utonchennje-belje-trusiki-s-dostupom-i-nezhnoi-yubochkoi/","7850")</f>
      </c>
      <c r="B7018" s="8" t="s">
        <v>6759</v>
      </c>
      <c r="C7018" s="9">
        <v>331</v>
      </c>
      <c r="D7018" s="0">
        <v>9</v>
      </c>
      <c r="E7018" s="10">
        <f>HYPERLINK("http://www.lingerieopt.ru/images/original/0c13af68-dc82-46f2-b19c-d435952b66cd.jpg","Фото")</f>
      </c>
    </row>
    <row r="7019">
      <c r="A7019" s="7">
        <f>HYPERLINK("http://www.lingerieopt.ru/item/7850-utonchennje-belje-trusiki-s-dostupom-i-nezhnoi-yubochkoi/","7850")</f>
      </c>
      <c r="B7019" s="8" t="s">
        <v>6760</v>
      </c>
      <c r="C7019" s="9">
        <v>331</v>
      </c>
      <c r="D7019" s="0">
        <v>7</v>
      </c>
      <c r="E7019" s="10">
        <f>HYPERLINK("http://www.lingerieopt.ru/images/original/0c13af68-dc82-46f2-b19c-d435952b66cd.jpg","Фото")</f>
      </c>
    </row>
    <row r="7020">
      <c r="A7020" s="7">
        <f>HYPERLINK("http://www.lingerieopt.ru/item/7851-igrivje-chernje-trusiki-s-dostupom-i-nezhnoi-yubochkoi/","7851")</f>
      </c>
      <c r="B7020" s="8" t="s">
        <v>6761</v>
      </c>
      <c r="C7020" s="9">
        <v>331</v>
      </c>
      <c r="D7020" s="0">
        <v>13</v>
      </c>
      <c r="E7020" s="10">
        <f>HYPERLINK("http://www.lingerieopt.ru/images/original/84c6cdd4-8f34-438d-b81a-95d7c822c99b.jpg","Фото")</f>
      </c>
    </row>
    <row r="7021">
      <c r="A7021" s="7">
        <f>HYPERLINK("http://www.lingerieopt.ru/item/7851-igrivje-chernje-trusiki-s-dostupom-i-nezhnoi-yubochkoi/","7851")</f>
      </c>
      <c r="B7021" s="8" t="s">
        <v>6762</v>
      </c>
      <c r="C7021" s="9">
        <v>331</v>
      </c>
      <c r="D7021" s="0">
        <v>6</v>
      </c>
      <c r="E7021" s="10">
        <f>HYPERLINK("http://www.lingerieopt.ru/images/original/84c6cdd4-8f34-438d-b81a-95d7c822c99b.jpg","Фото")</f>
      </c>
    </row>
    <row r="7022">
      <c r="A7022" s="7">
        <f>HYPERLINK("http://www.lingerieopt.ru/item/7852-trusiki-s-dostupom-i-myagkim-kruzhevom/","7852")</f>
      </c>
      <c r="B7022" s="8" t="s">
        <v>6763</v>
      </c>
      <c r="C7022" s="9">
        <v>551</v>
      </c>
      <c r="D7022" s="0">
        <v>4</v>
      </c>
      <c r="E7022" s="10">
        <f>HYPERLINK("http://www.lingerieopt.ru/images/original/f965885e-7853-4e89-8625-f5c32e9955e6.jpg","Фото")</f>
      </c>
    </row>
    <row r="7023">
      <c r="A7023" s="7">
        <f>HYPERLINK("http://www.lingerieopt.ru/item/7852-trusiki-s-dostupom-i-myagkim-kruzhevom/","7852")</f>
      </c>
      <c r="B7023" s="8" t="s">
        <v>6764</v>
      </c>
      <c r="C7023" s="9">
        <v>551</v>
      </c>
      <c r="D7023" s="0">
        <v>13</v>
      </c>
      <c r="E7023" s="10">
        <f>HYPERLINK("http://www.lingerieopt.ru/images/original/f965885e-7853-4e89-8625-f5c32e9955e6.jpg","Фото")</f>
      </c>
    </row>
    <row r="7024">
      <c r="A7024" s="7">
        <f>HYPERLINK("http://www.lingerieopt.ru/item/7853-effektnje-trusiki-s-dostupom-i-kistochkoi-szadi/","7853")</f>
      </c>
      <c r="B7024" s="8" t="s">
        <v>6765</v>
      </c>
      <c r="C7024" s="9">
        <v>601</v>
      </c>
      <c r="D7024" s="0">
        <v>20</v>
      </c>
      <c r="E7024" s="10">
        <f>HYPERLINK("http://www.lingerieopt.ru/images/original/c9b58fab-6cf4-4067-9629-26928b8a73d4.jpg","Фото")</f>
      </c>
    </row>
    <row r="7025">
      <c r="A7025" s="7">
        <f>HYPERLINK("http://www.lingerieopt.ru/item/7853-effektnje-trusiki-s-dostupom-i-kistochkoi-szadi/","7853")</f>
      </c>
      <c r="B7025" s="8" t="s">
        <v>6766</v>
      </c>
      <c r="C7025" s="9">
        <v>601</v>
      </c>
      <c r="D7025" s="0">
        <v>20</v>
      </c>
      <c r="E7025" s="10">
        <f>HYPERLINK("http://www.lingerieopt.ru/images/original/c9b58fab-6cf4-4067-9629-26928b8a73d4.jpg","Фото")</f>
      </c>
    </row>
    <row r="7026">
      <c r="A7026" s="7">
        <f>HYPERLINK("http://www.lingerieopt.ru/item/7854-intriguyuschie-krasno-chernje-trusiki-s-dostupom/","7854")</f>
      </c>
      <c r="B7026" s="8" t="s">
        <v>6767</v>
      </c>
      <c r="C7026" s="9">
        <v>467</v>
      </c>
      <c r="D7026" s="0">
        <v>4</v>
      </c>
      <c r="E7026" s="10">
        <f>HYPERLINK("http://www.lingerieopt.ru/images/original/7c6e1e32-86b1-4bcb-b5a4-366b7a4e9d36.jpg","Фото")</f>
      </c>
    </row>
    <row r="7027">
      <c r="A7027" s="7">
        <f>HYPERLINK("http://www.lingerieopt.ru/item/7854-intriguyuschie-krasno-chernje-trusiki-s-dostupom/","7854")</f>
      </c>
      <c r="B7027" s="8" t="s">
        <v>6768</v>
      </c>
      <c r="C7027" s="9">
        <v>467</v>
      </c>
      <c r="D7027" s="0">
        <v>21</v>
      </c>
      <c r="E7027" s="10">
        <f>HYPERLINK("http://www.lingerieopt.ru/images/original/7c6e1e32-86b1-4bcb-b5a4-366b7a4e9d36.jpg","Фото")</f>
      </c>
    </row>
    <row r="7028">
      <c r="A7028" s="7">
        <f>HYPERLINK("http://www.lingerieopt.ru/item/7855-intriguyuschie-chernje-trusiki-s-dostupom/","7855")</f>
      </c>
      <c r="B7028" s="8" t="s">
        <v>6769</v>
      </c>
      <c r="C7028" s="9">
        <v>525</v>
      </c>
      <c r="D7028" s="0">
        <v>5</v>
      </c>
      <c r="E7028" s="10">
        <f>HYPERLINK("http://www.lingerieopt.ru/images/original/4ce2502c-a070-4f84-994b-ac9e8cea0c72.jpg","Фото")</f>
      </c>
    </row>
    <row r="7029">
      <c r="A7029" s="7">
        <f>HYPERLINK("http://www.lingerieopt.ru/item/7855-intriguyuschie-chernje-trusiki-s-dostupom/","7855")</f>
      </c>
      <c r="B7029" s="8" t="s">
        <v>6770</v>
      </c>
      <c r="C7029" s="9">
        <v>525</v>
      </c>
      <c r="D7029" s="0">
        <v>8</v>
      </c>
      <c r="E7029" s="10">
        <f>HYPERLINK("http://www.lingerieopt.ru/images/original/4ce2502c-a070-4f84-994b-ac9e8cea0c72.jpg","Фото")</f>
      </c>
    </row>
    <row r="7030">
      <c r="A7030" s="7">
        <f>HYPERLINK("http://www.lingerieopt.ru/item/7856-shortiki-s-dostupom-i-shnurovkoi-speredi/","7856")</f>
      </c>
      <c r="B7030" s="8" t="s">
        <v>6771</v>
      </c>
      <c r="C7030" s="9">
        <v>626</v>
      </c>
      <c r="D7030" s="0">
        <v>1</v>
      </c>
      <c r="E7030" s="10">
        <f>HYPERLINK("http://www.lingerieopt.ru/images/original/8a1e8fcd-1049-4642-acaa-989ae8d9dd1e.jpg","Фото")</f>
      </c>
    </row>
    <row r="7031">
      <c r="A7031" s="7">
        <f>HYPERLINK("http://www.lingerieopt.ru/item/7856-shortiki-s-dostupom-i-shnurovkoi-speredi/","7856")</f>
      </c>
      <c r="B7031" s="8" t="s">
        <v>6772</v>
      </c>
      <c r="C7031" s="9">
        <v>626</v>
      </c>
      <c r="D7031" s="0">
        <v>8</v>
      </c>
      <c r="E7031" s="10">
        <f>HYPERLINK("http://www.lingerieopt.ru/images/original/8a1e8fcd-1049-4642-acaa-989ae8d9dd1e.jpg","Фото")</f>
      </c>
    </row>
    <row r="7032">
      <c r="A7032" s="7">
        <f>HYPERLINK("http://www.lingerieopt.ru/item/7857-koketlivje-kruzhevnje-trusiki-s-dostupom-i-zavjshennoi-taliei/","7857")</f>
      </c>
      <c r="B7032" s="8" t="s">
        <v>6773</v>
      </c>
      <c r="C7032" s="9">
        <v>554</v>
      </c>
      <c r="D7032" s="0">
        <v>7</v>
      </c>
      <c r="E7032" s="10">
        <f>HYPERLINK("http://www.lingerieopt.ru/images/original/9e1ef1b1-4154-4ecf-94db-ab8db884213e.jpg","Фото")</f>
      </c>
    </row>
    <row r="7033">
      <c r="A7033" s="7">
        <f>HYPERLINK("http://www.lingerieopt.ru/item/7857-koketlivje-kruzhevnje-trusiki-s-dostupom-i-zavjshennoi-taliei/","7857")</f>
      </c>
      <c r="B7033" s="8" t="s">
        <v>6774</v>
      </c>
      <c r="C7033" s="9">
        <v>554</v>
      </c>
      <c r="D7033" s="0">
        <v>6</v>
      </c>
      <c r="E7033" s="10">
        <f>HYPERLINK("http://www.lingerieopt.ru/images/original/9e1ef1b1-4154-4ecf-94db-ab8db884213e.jpg","Фото")</f>
      </c>
    </row>
    <row r="7034">
      <c r="A7034" s="7">
        <f>HYPERLINK("http://www.lingerieopt.ru/item/7858-chernje-vjsokie-trusiki-stringi-s-dostupom-i-nezhnjm-kruzhevom/","7858")</f>
      </c>
      <c r="B7034" s="8" t="s">
        <v>6775</v>
      </c>
      <c r="C7034" s="9">
        <v>577</v>
      </c>
      <c r="D7034" s="0">
        <v>10</v>
      </c>
      <c r="E7034" s="10">
        <f>HYPERLINK("http://www.lingerieopt.ru/images/original/a37ba7cc-1366-485c-8b92-0fb9e0411917.jpg","Фото")</f>
      </c>
    </row>
    <row r="7035">
      <c r="A7035" s="7">
        <f>HYPERLINK("http://www.lingerieopt.ru/item/7858-chernje-vjsokie-trusiki-stringi-s-dostupom-i-nezhnjm-kruzhevom/","7858")</f>
      </c>
      <c r="B7035" s="8" t="s">
        <v>6776</v>
      </c>
      <c r="C7035" s="9">
        <v>577</v>
      </c>
      <c r="D7035" s="0">
        <v>6</v>
      </c>
      <c r="E7035" s="10">
        <f>HYPERLINK("http://www.lingerieopt.ru/images/original/a37ba7cc-1366-485c-8b92-0fb9e0411917.jpg","Фото")</f>
      </c>
    </row>
    <row r="7036">
      <c r="A7036" s="7">
        <f>HYPERLINK("http://www.lingerieopt.ru/item/7859-koketlivje-trusiki-s-dostupom-i-krasnjmi-bantikami/","7859")</f>
      </c>
      <c r="B7036" s="8" t="s">
        <v>6777</v>
      </c>
      <c r="C7036" s="9">
        <v>273</v>
      </c>
      <c r="D7036" s="0">
        <v>1</v>
      </c>
      <c r="E7036" s="10">
        <f>HYPERLINK("http://www.lingerieopt.ru/images/original/0304174a-15e7-42aa-bbcb-15256f5dda7f.jpg","Фото")</f>
      </c>
    </row>
    <row r="7037">
      <c r="A7037" s="7">
        <f>HYPERLINK("http://www.lingerieopt.ru/item/7859-koketlivje-trusiki-s-dostupom-i-krasnjmi-bantikami/","7859")</f>
      </c>
      <c r="B7037" s="8" t="s">
        <v>6778</v>
      </c>
      <c r="C7037" s="9">
        <v>273</v>
      </c>
      <c r="D7037" s="0">
        <v>10</v>
      </c>
      <c r="E7037" s="10">
        <f>HYPERLINK("http://www.lingerieopt.ru/images/original/0304174a-15e7-42aa-bbcb-15256f5dda7f.jpg","Фото")</f>
      </c>
    </row>
    <row r="7038">
      <c r="A7038" s="7">
        <f>HYPERLINK("http://www.lingerieopt.ru/item/7860-potryasayuschie-trusiki-s-dostupom-i-perepleteniem-bretelei/","7860")</f>
      </c>
      <c r="B7038" s="8" t="s">
        <v>6779</v>
      </c>
      <c r="C7038" s="9">
        <v>513</v>
      </c>
      <c r="D7038" s="0">
        <v>20</v>
      </c>
      <c r="E7038" s="10">
        <f>HYPERLINK("http://www.lingerieopt.ru/images/original/02c71991-75b0-45d5-a7fe-e2e249279f94.jpg","Фото")</f>
      </c>
    </row>
    <row r="7039">
      <c r="A7039" s="7">
        <f>HYPERLINK("http://www.lingerieopt.ru/item/7860-potryasayuschie-trusiki-s-dostupom-i-perepleteniem-bretelei/","7860")</f>
      </c>
      <c r="B7039" s="8" t="s">
        <v>6780</v>
      </c>
      <c r="C7039" s="9">
        <v>513</v>
      </c>
      <c r="D7039" s="0">
        <v>10</v>
      </c>
      <c r="E7039" s="10">
        <f>HYPERLINK("http://www.lingerieopt.ru/images/original/02c71991-75b0-45d5-a7fe-e2e249279f94.jpg","Фото")</f>
      </c>
    </row>
    <row r="7040">
      <c r="A7040" s="7">
        <f>HYPERLINK("http://www.lingerieopt.ru/item/7861-trusiki-s-dostupom-i-kruzhevnjmi-vstavkami/","7861")</f>
      </c>
      <c r="B7040" s="8" t="s">
        <v>6781</v>
      </c>
      <c r="C7040" s="9">
        <v>542</v>
      </c>
      <c r="D7040" s="0">
        <v>20</v>
      </c>
      <c r="E7040" s="10">
        <f>HYPERLINK("http://www.lingerieopt.ru/images/original/fdd99b49-a142-4b39-87f8-96abbc0f7ad5.jpg","Фото")</f>
      </c>
    </row>
    <row r="7041">
      <c r="A7041" s="7">
        <f>HYPERLINK("http://www.lingerieopt.ru/item/7861-trusiki-s-dostupom-i-kruzhevnjmi-vstavkami/","7861")</f>
      </c>
      <c r="B7041" s="8" t="s">
        <v>6782</v>
      </c>
      <c r="C7041" s="9">
        <v>542</v>
      </c>
      <c r="D7041" s="0">
        <v>20</v>
      </c>
      <c r="E7041" s="10">
        <f>HYPERLINK("http://www.lingerieopt.ru/images/original/fdd99b49-a142-4b39-87f8-96abbc0f7ad5.jpg","Фото")</f>
      </c>
    </row>
    <row r="7042">
      <c r="A7042" s="7">
        <f>HYPERLINK("http://www.lingerieopt.ru/item/7862-krasivje-trusiki-s-dostupom-i-akkuratnjmi-bantikami/","7862")</f>
      </c>
      <c r="B7042" s="8" t="s">
        <v>6783</v>
      </c>
      <c r="C7042" s="9">
        <v>589</v>
      </c>
      <c r="D7042" s="0">
        <v>20</v>
      </c>
      <c r="E7042" s="10">
        <f>HYPERLINK("http://www.lingerieopt.ru/images/original/c5a6a622-3310-4aae-91ee-819a8e096789.jpg","Фото")</f>
      </c>
    </row>
    <row r="7043">
      <c r="A7043" s="7">
        <f>HYPERLINK("http://www.lingerieopt.ru/item/7862-krasivje-trusiki-s-dostupom-i-akkuratnjmi-bantikami/","7862")</f>
      </c>
      <c r="B7043" s="8" t="s">
        <v>6784</v>
      </c>
      <c r="C7043" s="9">
        <v>589</v>
      </c>
      <c r="D7043" s="0">
        <v>5</v>
      </c>
      <c r="E7043" s="10">
        <f>HYPERLINK("http://www.lingerieopt.ru/images/original/c5a6a622-3310-4aae-91ee-819a8e096789.jpg","Фото")</f>
      </c>
    </row>
    <row r="7044">
      <c r="A7044" s="7">
        <f>HYPERLINK("http://www.lingerieopt.ru/item/7863-soblaznitelnje-trusiki-s-dostupom-i-krasnjm-kruzhevom/","7863")</f>
      </c>
      <c r="B7044" s="8" t="s">
        <v>6785</v>
      </c>
      <c r="C7044" s="9">
        <v>334</v>
      </c>
      <c r="D7044" s="0">
        <v>9</v>
      </c>
      <c r="E7044" s="10">
        <f>HYPERLINK("http://www.lingerieopt.ru/images/original/41ec20a6-8107-44d9-8de1-15100addc5e5.jpg","Фото")</f>
      </c>
    </row>
    <row r="7045">
      <c r="A7045" s="7">
        <f>HYPERLINK("http://www.lingerieopt.ru/item/7863-soblaznitelnje-trusiki-s-dostupom-i-krasnjm-kruzhevom/","7863")</f>
      </c>
      <c r="B7045" s="8" t="s">
        <v>6786</v>
      </c>
      <c r="C7045" s="9">
        <v>334</v>
      </c>
      <c r="D7045" s="0">
        <v>9</v>
      </c>
      <c r="E7045" s="10">
        <f>HYPERLINK("http://www.lingerieopt.ru/images/original/41ec20a6-8107-44d9-8de1-15100addc5e5.jpg","Фото")</f>
      </c>
    </row>
    <row r="7046">
      <c r="A7046" s="7">
        <f>HYPERLINK("http://www.lingerieopt.ru/item/7864-frivolnje-trusiki-s-dostupom-i-chernjm-kruzhevom/","7864")</f>
      </c>
      <c r="B7046" s="8" t="s">
        <v>6787</v>
      </c>
      <c r="C7046" s="9">
        <v>349</v>
      </c>
      <c r="D7046" s="0">
        <v>6</v>
      </c>
      <c r="E7046" s="10">
        <f>HYPERLINK("http://www.lingerieopt.ru/images/original/c0651421-5986-434d-a1e3-9e20472b5063.jpg","Фото")</f>
      </c>
    </row>
    <row r="7047">
      <c r="A7047" s="7">
        <f>HYPERLINK("http://www.lingerieopt.ru/item/7864-frivolnje-trusiki-s-dostupom-i-chernjm-kruzhevom/","7864")</f>
      </c>
      <c r="B7047" s="8" t="s">
        <v>6788</v>
      </c>
      <c r="C7047" s="9">
        <v>349</v>
      </c>
      <c r="D7047" s="0">
        <v>20</v>
      </c>
      <c r="E7047" s="10">
        <f>HYPERLINK("http://www.lingerieopt.ru/images/original/c0651421-5986-434d-a1e3-9e20472b5063.jpg","Фото")</f>
      </c>
    </row>
    <row r="7048">
      <c r="A7048" s="7">
        <f>HYPERLINK("http://www.lingerieopt.ru/item/7865-ekstravagantnje-chernje-trusiki-s-dostupom-i-soedineniem-bretelei-szadi/","7865")</f>
      </c>
      <c r="B7048" s="8" t="s">
        <v>6789</v>
      </c>
      <c r="C7048" s="9">
        <v>517</v>
      </c>
      <c r="D7048" s="0">
        <v>20</v>
      </c>
      <c r="E7048" s="10">
        <f>HYPERLINK("http://www.lingerieopt.ru/images/original/41e4a91b-aedc-4492-81aa-6df5fb15a7ac.jpg","Фото")</f>
      </c>
    </row>
    <row r="7049">
      <c r="A7049" s="7">
        <f>HYPERLINK("http://www.lingerieopt.ru/item/7865-ekstravagantnje-chernje-trusiki-s-dostupom-i-soedineniem-bretelei-szadi/","7865")</f>
      </c>
      <c r="B7049" s="8" t="s">
        <v>6790</v>
      </c>
      <c r="C7049" s="9">
        <v>517</v>
      </c>
      <c r="D7049" s="0">
        <v>20</v>
      </c>
      <c r="E7049" s="10">
        <f>HYPERLINK("http://www.lingerieopt.ru/images/original/41e4a91b-aedc-4492-81aa-6df5fb15a7ac.jpg","Фото")</f>
      </c>
    </row>
    <row r="7050">
      <c r="A7050" s="7">
        <f>HYPERLINK("http://www.lingerieopt.ru/item/7875-belje-vjsokie-trusiki-s-dostupom-i-nezhnjm-kruzhevom/","7875")</f>
      </c>
      <c r="B7050" s="8" t="s">
        <v>6791</v>
      </c>
      <c r="C7050" s="9">
        <v>605</v>
      </c>
      <c r="D7050" s="0">
        <v>20</v>
      </c>
      <c r="E7050" s="10">
        <f>HYPERLINK("http://www.lingerieopt.ru/images/original/2e3f706c-479b-49c1-a6fe-7dd39cb84ad9.jpg","Фото")</f>
      </c>
    </row>
    <row r="7051">
      <c r="A7051" s="7">
        <f>HYPERLINK("http://www.lingerieopt.ru/item/7875-belje-vjsokie-trusiki-s-dostupom-i-nezhnjm-kruzhevom/","7875")</f>
      </c>
      <c r="B7051" s="8" t="s">
        <v>6792</v>
      </c>
      <c r="C7051" s="9">
        <v>605</v>
      </c>
      <c r="D7051" s="0">
        <v>8</v>
      </c>
      <c r="E7051" s="10">
        <f>HYPERLINK("http://www.lingerieopt.ru/images/original/2e3f706c-479b-49c1-a6fe-7dd39cb84ad9.jpg","Фото")</f>
      </c>
    </row>
    <row r="7052">
      <c r="A7052" s="7">
        <f>HYPERLINK("http://www.lingerieopt.ru/item/7876-originalnje-konturnje-trusiki-s-dostupom-i-nityu-bus/","7876")</f>
      </c>
      <c r="B7052" s="8" t="s">
        <v>6793</v>
      </c>
      <c r="C7052" s="9">
        <v>351</v>
      </c>
      <c r="D7052" s="0">
        <v>2</v>
      </c>
      <c r="E7052" s="10">
        <f>HYPERLINK("http://www.lingerieopt.ru/images/original/51c7f178-58ca-443a-adef-a13e6b6b9ae5.jpg","Фото")</f>
      </c>
    </row>
    <row r="7053">
      <c r="A7053" s="7">
        <f>HYPERLINK("http://www.lingerieopt.ru/item/7876-originalnje-konturnje-trusiki-s-dostupom-i-nityu-bus/","7876")</f>
      </c>
      <c r="B7053" s="8" t="s">
        <v>6794</v>
      </c>
      <c r="C7053" s="9">
        <v>351</v>
      </c>
      <c r="D7053" s="0">
        <v>3</v>
      </c>
      <c r="E7053" s="10">
        <f>HYPERLINK("http://www.lingerieopt.ru/images/original/51c7f178-58ca-443a-adef-a13e6b6b9ae5.jpg","Фото")</f>
      </c>
    </row>
    <row r="7054">
      <c r="A7054" s="7">
        <f>HYPERLINK("http://www.lingerieopt.ru/item/7877-plenitelnje-vjsokie-trusiki-s-dostupom/","7877")</f>
      </c>
      <c r="B7054" s="8" t="s">
        <v>6795</v>
      </c>
      <c r="C7054" s="9">
        <v>439</v>
      </c>
      <c r="D7054" s="0">
        <v>20</v>
      </c>
      <c r="E7054" s="10">
        <f>HYPERLINK("http://www.lingerieopt.ru/images/original/7bb447e6-2d0e-4079-8391-bc670ec92c11.jpg","Фото")</f>
      </c>
    </row>
    <row r="7055">
      <c r="A7055" s="7">
        <f>HYPERLINK("http://www.lingerieopt.ru/item/7877-plenitelnje-vjsokie-trusiki-s-dostupom/","7877")</f>
      </c>
      <c r="B7055" s="8" t="s">
        <v>6796</v>
      </c>
      <c r="C7055" s="9">
        <v>439</v>
      </c>
      <c r="D7055" s="0">
        <v>20</v>
      </c>
      <c r="E7055" s="10">
        <f>HYPERLINK("http://www.lingerieopt.ru/images/original/7bb447e6-2d0e-4079-8391-bc670ec92c11.jpg","Фото")</f>
      </c>
    </row>
    <row r="7056">
      <c r="A7056" s="7">
        <f>HYPERLINK("http://www.lingerieopt.ru/item/7878-charuyuschie-trusiki-s-dostupom-ryushami-i-zhemchuzhnoi-nityu/","7878")</f>
      </c>
      <c r="B7056" s="8" t="s">
        <v>6797</v>
      </c>
      <c r="C7056" s="9">
        <v>375</v>
      </c>
      <c r="D7056" s="0">
        <v>18</v>
      </c>
      <c r="E7056" s="10">
        <f>HYPERLINK("http://www.lingerieopt.ru/images/original/cafb6f51-88de-4786-b501-003315f65363.jpg","Фото")</f>
      </c>
    </row>
    <row r="7057">
      <c r="A7057" s="7">
        <f>HYPERLINK("http://www.lingerieopt.ru/item/7878-charuyuschie-trusiki-s-dostupom-ryushami-i-zhemchuzhnoi-nityu/","7878")</f>
      </c>
      <c r="B7057" s="8" t="s">
        <v>6798</v>
      </c>
      <c r="C7057" s="9">
        <v>375</v>
      </c>
      <c r="D7057" s="0">
        <v>21</v>
      </c>
      <c r="E7057" s="10">
        <f>HYPERLINK("http://www.lingerieopt.ru/images/original/cafb6f51-88de-4786-b501-003315f65363.jpg","Фото")</f>
      </c>
    </row>
    <row r="7058">
      <c r="A7058" s="7">
        <f>HYPERLINK("http://www.lingerieopt.ru/item/7879-ekstravagantnje-belje-trusiki-s-dostupom-i-perepleteniem-bretelei/","7879")</f>
      </c>
      <c r="B7058" s="8" t="s">
        <v>6799</v>
      </c>
      <c r="C7058" s="9">
        <v>495</v>
      </c>
      <c r="D7058" s="0">
        <v>1</v>
      </c>
      <c r="E7058" s="10">
        <f>HYPERLINK("http://www.lingerieopt.ru/images/original/3fbe7a8d-bec6-4bdf-84a5-a58490c4feb7.jpg","Фото")</f>
      </c>
    </row>
    <row r="7059">
      <c r="A7059" s="7">
        <f>HYPERLINK("http://www.lingerieopt.ru/item/7879-ekstravagantnje-belje-trusiki-s-dostupom-i-perepleteniem-bretelei/","7879")</f>
      </c>
      <c r="B7059" s="8" t="s">
        <v>6800</v>
      </c>
      <c r="C7059" s="9">
        <v>495</v>
      </c>
      <c r="D7059" s="0">
        <v>9</v>
      </c>
      <c r="E7059" s="10">
        <f>HYPERLINK("http://www.lingerieopt.ru/images/original/3fbe7a8d-bec6-4bdf-84a5-a58490c4feb7.jpg","Фото")</f>
      </c>
    </row>
    <row r="7060">
      <c r="A7060" s="7">
        <f>HYPERLINK("http://www.lingerieopt.ru/item/8183-komplekt-iz-poyasa-s-trusikami-stringami-s-dostupom/","8183")</f>
      </c>
      <c r="B7060" s="8" t="s">
        <v>6801</v>
      </c>
      <c r="C7060" s="9">
        <v>938</v>
      </c>
      <c r="D7060" s="0">
        <v>3</v>
      </c>
      <c r="E7060" s="10">
        <f>HYPERLINK("http://www.lingerieopt.ru/images/original/85ac4c36-3f24-4c77-9e81-1e0310026c18.jpg","Фото")</f>
      </c>
    </row>
    <row r="7061">
      <c r="A7061" s="7">
        <f>HYPERLINK("http://www.lingerieopt.ru/item/8183-komplekt-iz-poyasa-s-trusikami-stringami-s-dostupom/","8183")</f>
      </c>
      <c r="B7061" s="8" t="s">
        <v>6802</v>
      </c>
      <c r="C7061" s="9">
        <v>938</v>
      </c>
      <c r="D7061" s="0">
        <v>5</v>
      </c>
      <c r="E7061" s="10">
        <f>HYPERLINK("http://www.lingerieopt.ru/images/original/85ac4c36-3f24-4c77-9e81-1e0310026c18.jpg","Фото")</f>
      </c>
    </row>
    <row r="7062">
      <c r="A7062" s="7">
        <f>HYPERLINK("http://www.lingerieopt.ru/item/8185-belji-kruzhevnoi-poyas-s-trusikami/","8185")</f>
      </c>
      <c r="B7062" s="8" t="s">
        <v>6803</v>
      </c>
      <c r="C7062" s="9">
        <v>793</v>
      </c>
      <c r="D7062" s="0">
        <v>5</v>
      </c>
      <c r="E7062" s="10">
        <f>HYPERLINK("http://www.lingerieopt.ru/images/original/6d5ad921-eeed-4a85-96e2-ff4031b92c01.jpg","Фото")</f>
      </c>
    </row>
    <row r="7063">
      <c r="A7063" s="7">
        <f>HYPERLINK("http://www.lingerieopt.ru/item/8185-belji-kruzhevnoi-poyas-s-trusikami/","8185")</f>
      </c>
      <c r="B7063" s="8" t="s">
        <v>6804</v>
      </c>
      <c r="C7063" s="9">
        <v>793</v>
      </c>
      <c r="D7063" s="0">
        <v>5</v>
      </c>
      <c r="E7063" s="10">
        <f>HYPERLINK("http://www.lingerieopt.ru/images/original/6d5ad921-eeed-4a85-96e2-ff4031b92c01.jpg","Фото")</f>
      </c>
    </row>
    <row r="7064">
      <c r="A7064" s="7">
        <f>HYPERLINK("http://www.lingerieopt.ru/item/8186-shirokii-kruzhevnoi-poyas-s-pazhami-dlya-chulok-i-trusiki-stringi/","8186")</f>
      </c>
      <c r="B7064" s="8" t="s">
        <v>6805</v>
      </c>
      <c r="C7064" s="9">
        <v>907</v>
      </c>
      <c r="D7064" s="0">
        <v>4</v>
      </c>
      <c r="E7064" s="10">
        <f>HYPERLINK("http://www.lingerieopt.ru/images/original/bf560d5c-194e-459f-9e4d-3a0f6a2e17a7.jpg","Фото")</f>
      </c>
    </row>
    <row r="7065">
      <c r="A7065" s="7">
        <f>HYPERLINK("http://www.lingerieopt.ru/item/8186-shirokii-kruzhevnoi-poyas-s-pazhami-dlya-chulok-i-trusiki-stringi/","8186")</f>
      </c>
      <c r="B7065" s="8" t="s">
        <v>6806</v>
      </c>
      <c r="C7065" s="9">
        <v>907</v>
      </c>
      <c r="D7065" s="0">
        <v>0</v>
      </c>
      <c r="E7065" s="10">
        <f>HYPERLINK("http://www.lingerieopt.ru/images/original/bf560d5c-194e-459f-9e4d-3a0f6a2e17a7.jpg","Фото")</f>
      </c>
    </row>
    <row r="7066">
      <c r="A7066" s="7">
        <f>HYPERLINK("http://www.lingerieopt.ru/item/8188-komplekt-iz-kruzhevnogo-poyasa-dlya-chulok-i-trusikov/","8188")</f>
      </c>
      <c r="B7066" s="8" t="s">
        <v>6807</v>
      </c>
      <c r="C7066" s="9">
        <v>751</v>
      </c>
      <c r="D7066" s="0">
        <v>1</v>
      </c>
      <c r="E7066" s="10">
        <f>HYPERLINK("http://www.lingerieopt.ru/images/original/0e563914-4a16-4b85-bf02-403bb2a0475c.jpg","Фото")</f>
      </c>
    </row>
    <row r="7067">
      <c r="A7067" s="7">
        <f>HYPERLINK("http://www.lingerieopt.ru/item/8188-komplekt-iz-kruzhevnogo-poyasa-dlya-chulok-i-trusikov/","8188")</f>
      </c>
      <c r="B7067" s="8" t="s">
        <v>6808</v>
      </c>
      <c r="C7067" s="9">
        <v>751</v>
      </c>
      <c r="D7067" s="0">
        <v>0</v>
      </c>
      <c r="E7067" s="10">
        <f>HYPERLINK("http://www.lingerieopt.ru/images/original/0e563914-4a16-4b85-bf02-403bb2a0475c.jpg","Фото")</f>
      </c>
    </row>
    <row r="7068">
      <c r="A7068" s="7">
        <f>HYPERLINK("http://www.lingerieopt.ru/item/8190-shirokii-poyas-iz-nezhnogo-kruzheva-i-trusiki-stringi/","8190")</f>
      </c>
      <c r="B7068" s="8" t="s">
        <v>6809</v>
      </c>
      <c r="C7068" s="9">
        <v>938</v>
      </c>
      <c r="D7068" s="0">
        <v>2</v>
      </c>
      <c r="E7068" s="10">
        <f>HYPERLINK("http://www.lingerieopt.ru/images/original/ad08b02f-53c7-4ba0-81b0-5d5315537028.jpg","Фото")</f>
      </c>
    </row>
    <row r="7069">
      <c r="A7069" s="7">
        <f>HYPERLINK("http://www.lingerieopt.ru/item/8190-shirokii-poyas-iz-nezhnogo-kruzheva-i-trusiki-stringi/","8190")</f>
      </c>
      <c r="B7069" s="8" t="s">
        <v>6810</v>
      </c>
      <c r="C7069" s="9">
        <v>938</v>
      </c>
      <c r="D7069" s="0">
        <v>8</v>
      </c>
      <c r="E7069" s="10">
        <f>HYPERLINK("http://www.lingerieopt.ru/images/original/ad08b02f-53c7-4ba0-81b0-5d5315537028.jpg","Фото")</f>
      </c>
    </row>
    <row r="7070">
      <c r="A7070" s="7">
        <f>HYPERLINK("http://www.lingerieopt.ru/item/8216-cherno-belji-poyas-s-kruzhevom-i-trusikami-string-v-komplekte/","8216")</f>
      </c>
      <c r="B7070" s="8" t="s">
        <v>6811</v>
      </c>
      <c r="C7070" s="9">
        <v>865</v>
      </c>
      <c r="D7070" s="0">
        <v>0</v>
      </c>
      <c r="E7070" s="10">
        <f>HYPERLINK("http://www.lingerieopt.ru/images/original/8d7a6ea0-902a-4338-bb78-c340534d66aa.jpg","Фото")</f>
      </c>
    </row>
    <row r="7071">
      <c r="A7071" s="7">
        <f>HYPERLINK("http://www.lingerieopt.ru/item/8216-cherno-belji-poyas-s-kruzhevom-i-trusikami-string-v-komplekte/","8216")</f>
      </c>
      <c r="B7071" s="8" t="s">
        <v>6812</v>
      </c>
      <c r="C7071" s="9">
        <v>865</v>
      </c>
      <c r="D7071" s="0">
        <v>1</v>
      </c>
      <c r="E7071" s="10">
        <f>HYPERLINK("http://www.lingerieopt.ru/images/original/8d7a6ea0-902a-4338-bb78-c340534d66aa.jpg","Фото")</f>
      </c>
    </row>
    <row r="7072">
      <c r="A7072" s="7">
        <f>HYPERLINK("http://www.lingerieopt.ru/item/8300-poyas-dlya-chulok-moketta-s-kruzhevnoi-oborkoi-i-trusikami/","8300")</f>
      </c>
      <c r="B7072" s="8" t="s">
        <v>6813</v>
      </c>
      <c r="C7072" s="9">
        <v>946</v>
      </c>
      <c r="D7072" s="0">
        <v>2</v>
      </c>
      <c r="E7072" s="10">
        <f>HYPERLINK("http://www.lingerieopt.ru/images/original/6bad3c06-ec5b-4c12-9ebb-9f7931c907f3.jpg","Фото")</f>
      </c>
    </row>
    <row r="7073">
      <c r="A7073" s="7">
        <f>HYPERLINK("http://www.lingerieopt.ru/item/8300-poyas-dlya-chulok-moketta-s-kruzhevnoi-oborkoi-i-trusikami/","8300")</f>
      </c>
      <c r="B7073" s="8" t="s">
        <v>6814</v>
      </c>
      <c r="C7073" s="9">
        <v>946</v>
      </c>
      <c r="D7073" s="0">
        <v>4</v>
      </c>
      <c r="E7073" s="10">
        <f>HYPERLINK("http://www.lingerieopt.ru/images/original/6bad3c06-ec5b-4c12-9ebb-9f7931c907f3.jpg","Фото")</f>
      </c>
    </row>
    <row r="7074">
      <c r="A7074" s="7">
        <f>HYPERLINK("http://www.lingerieopt.ru/item/8328-azhurnje-trusiki-slipj-s-dostupom/","8328")</f>
      </c>
      <c r="B7074" s="8" t="s">
        <v>6815</v>
      </c>
      <c r="C7074" s="9">
        <v>433</v>
      </c>
      <c r="D7074" s="0">
        <v>3</v>
      </c>
      <c r="E7074" s="10">
        <f>HYPERLINK("http://www.lingerieopt.ru/images/original/bfcc5265-362d-4fa8-b4cd-4aa2003f410e.jpg","Фото")</f>
      </c>
    </row>
    <row r="7075">
      <c r="A7075" s="7">
        <f>HYPERLINK("http://www.lingerieopt.ru/item/8328-azhurnje-trusiki-slipj-s-dostupom/","8328")</f>
      </c>
      <c r="B7075" s="8" t="s">
        <v>6816</v>
      </c>
      <c r="C7075" s="9">
        <v>433</v>
      </c>
      <c r="D7075" s="0">
        <v>0</v>
      </c>
      <c r="E7075" s="10">
        <f>HYPERLINK("http://www.lingerieopt.ru/images/original/bfcc5265-362d-4fa8-b4cd-4aa2003f410e.jpg","Фото")</f>
      </c>
    </row>
    <row r="7076">
      <c r="A7076" s="7">
        <f>HYPERLINK("http://www.lingerieopt.ru/item/8328-azhurnje-trusiki-slipj-s-dostupom/","8328")</f>
      </c>
      <c r="B7076" s="8" t="s">
        <v>6817</v>
      </c>
      <c r="C7076" s="9">
        <v>433</v>
      </c>
      <c r="D7076" s="0">
        <v>0</v>
      </c>
      <c r="E7076" s="10">
        <f>HYPERLINK("http://www.lingerieopt.ru/images/original/bfcc5265-362d-4fa8-b4cd-4aa2003f410e.jpg","Фото")</f>
      </c>
    </row>
    <row r="7077">
      <c r="A7077" s="7">
        <f>HYPERLINK("http://www.lingerieopt.ru/item/8328-azhurnje-trusiki-slipj-s-dostupom/","8328")</f>
      </c>
      <c r="B7077" s="8" t="s">
        <v>6818</v>
      </c>
      <c r="C7077" s="9">
        <v>433</v>
      </c>
      <c r="D7077" s="0">
        <v>0</v>
      </c>
      <c r="E7077" s="10">
        <f>HYPERLINK("http://www.lingerieopt.ru/images/original/bfcc5265-362d-4fa8-b4cd-4aa2003f410e.jpg","Фото")</f>
      </c>
    </row>
    <row r="7078">
      <c r="A7078" s="7">
        <f>HYPERLINK("http://www.lingerieopt.ru/item/8331-shirokii-kruzhevnoi-poyas-i-kontaktnje-trusiki-stringi-s-cvetochnjm-uzorom/","8331")</f>
      </c>
      <c r="B7078" s="8" t="s">
        <v>6819</v>
      </c>
      <c r="C7078" s="9">
        <v>744</v>
      </c>
      <c r="D7078" s="0">
        <v>2</v>
      </c>
      <c r="E7078" s="10">
        <f>HYPERLINK("http://www.lingerieopt.ru/images/original/b8a7f78c-f2f9-466f-9a1f-ab0129d7ea30.jpg","Фото")</f>
      </c>
    </row>
    <row r="7079">
      <c r="A7079" s="7">
        <f>HYPERLINK("http://www.lingerieopt.ru/item/8331-shirokii-kruzhevnoi-poyas-i-kontaktnje-trusiki-stringi-s-cvetochnjm-uzorom/","8331")</f>
      </c>
      <c r="B7079" s="8" t="s">
        <v>6820</v>
      </c>
      <c r="C7079" s="9">
        <v>744</v>
      </c>
      <c r="D7079" s="0">
        <v>2</v>
      </c>
      <c r="E7079" s="10">
        <f>HYPERLINK("http://www.lingerieopt.ru/images/original/b8a7f78c-f2f9-466f-9a1f-ab0129d7ea30.jpg","Фото")</f>
      </c>
    </row>
    <row r="7080">
      <c r="A7080" s="7">
        <f>HYPERLINK("http://www.lingerieopt.ru/item/8331-shirokii-kruzhevnoi-poyas-i-kontaktnje-trusiki-stringi-s-cvetochnjm-uzorom/","8331")</f>
      </c>
      <c r="B7080" s="8" t="s">
        <v>6821</v>
      </c>
      <c r="C7080" s="9">
        <v>744</v>
      </c>
      <c r="D7080" s="0">
        <v>2</v>
      </c>
      <c r="E7080" s="10">
        <f>HYPERLINK("http://www.lingerieopt.ru/images/original/b8a7f78c-f2f9-466f-9a1f-ab0129d7ea30.jpg","Фото")</f>
      </c>
    </row>
    <row r="7081">
      <c r="A7081" s="7">
        <f>HYPERLINK("http://www.lingerieopt.ru/item/8331-shirokii-kruzhevnoi-poyas-i-kontaktnje-trusiki-stringi-s-cvetochnjm-uzorom/","8331")</f>
      </c>
      <c r="B7081" s="8" t="s">
        <v>6822</v>
      </c>
      <c r="C7081" s="9">
        <v>744</v>
      </c>
      <c r="D7081" s="0">
        <v>2</v>
      </c>
      <c r="E7081" s="10">
        <f>HYPERLINK("http://www.lingerieopt.ru/images/original/b8a7f78c-f2f9-466f-9a1f-ab0129d7ea30.jpg","Фото")</f>
      </c>
    </row>
    <row r="7082">
      <c r="A7082" s="7">
        <f>HYPERLINK("http://www.lingerieopt.ru/item/8336-poyas-s-kruzhevom-szadi-i-kontaktnje-trusiki-stringi-s-cvetochnjm-uzorom/","8336")</f>
      </c>
      <c r="B7082" s="8" t="s">
        <v>6823</v>
      </c>
      <c r="C7082" s="9">
        <v>977</v>
      </c>
      <c r="D7082" s="0">
        <v>0</v>
      </c>
      <c r="E7082" s="10">
        <f>HYPERLINK("http://www.lingerieopt.ru/images/original/86ad79b0-dda2-456d-928a-56a88136216a.jpg","Фото")</f>
      </c>
    </row>
    <row r="7083">
      <c r="A7083" s="7">
        <f>HYPERLINK("http://www.lingerieopt.ru/item/8336-poyas-s-kruzhevom-szadi-i-kontaktnje-trusiki-stringi-s-cvetochnjm-uzorom/","8336")</f>
      </c>
      <c r="B7083" s="8" t="s">
        <v>6824</v>
      </c>
      <c r="C7083" s="9">
        <v>977</v>
      </c>
      <c r="D7083" s="0">
        <v>2</v>
      </c>
      <c r="E7083" s="10">
        <f>HYPERLINK("http://www.lingerieopt.ru/images/original/86ad79b0-dda2-456d-928a-56a88136216a.jpg","Фото")</f>
      </c>
    </row>
    <row r="7084">
      <c r="A7084" s="7">
        <f>HYPERLINK("http://www.lingerieopt.ru/item/8338-krasivji-kruzhevnoi-poyas-v-komplekte-s-kontaktnjmi-trusikami-string/","8338")</f>
      </c>
      <c r="B7084" s="8" t="s">
        <v>6825</v>
      </c>
      <c r="C7084" s="9">
        <v>1015</v>
      </c>
      <c r="D7084" s="0">
        <v>5</v>
      </c>
      <c r="E7084" s="10">
        <f>HYPERLINK("http://www.lingerieopt.ru/images/original/a4ba18d2-0a5c-4299-8c1e-15d668230764.jpg","Фото")</f>
      </c>
    </row>
    <row r="7085">
      <c r="A7085" s="7">
        <f>HYPERLINK("http://www.lingerieopt.ru/item/8338-krasivji-kruzhevnoi-poyas-v-komplekte-s-kontaktnjmi-trusikami-string/","8338")</f>
      </c>
      <c r="B7085" s="8" t="s">
        <v>6826</v>
      </c>
      <c r="C7085" s="9">
        <v>1015</v>
      </c>
      <c r="D7085" s="0">
        <v>5</v>
      </c>
      <c r="E7085" s="10">
        <f>HYPERLINK("http://www.lingerieopt.ru/images/original/a4ba18d2-0a5c-4299-8c1e-15d668230764.jpg","Фото")</f>
      </c>
    </row>
    <row r="7086">
      <c r="A7086" s="7">
        <f>HYPERLINK("http://www.lingerieopt.ru/item/8403-azhurnje-trusiki-s-dostupom-i-soblaznitelnjmi-zavyazkami/","8403")</f>
      </c>
      <c r="B7086" s="8" t="s">
        <v>6827</v>
      </c>
      <c r="C7086" s="9">
        <v>422</v>
      </c>
      <c r="D7086" s="0">
        <v>20</v>
      </c>
      <c r="E7086" s="10">
        <f>HYPERLINK("http://www.lingerieopt.ru/images/original/66a44af3-b50b-48f1-ac95-2456e08d0356.jpg","Фото")</f>
      </c>
    </row>
    <row r="7087">
      <c r="A7087" s="7">
        <f>HYPERLINK("http://www.lingerieopt.ru/item/8429-trusiki-stringi-charmea-s-kruzhevnjm-poyaskom/","8429")</f>
      </c>
      <c r="B7087" s="8" t="s">
        <v>6828</v>
      </c>
      <c r="C7087" s="9">
        <v>684</v>
      </c>
      <c r="D7087" s="0">
        <v>7</v>
      </c>
      <c r="E7087" s="10">
        <f>HYPERLINK("http://www.lingerieopt.ru/images/original/81594d4c-8e51-4b72-ac9c-be0d11c6afe1.jpg","Фото")</f>
      </c>
    </row>
    <row r="7088">
      <c r="A7088" s="7">
        <f>HYPERLINK("http://www.lingerieopt.ru/item/8429-trusiki-stringi-charmea-s-kruzhevnjm-poyaskom/","8429")</f>
      </c>
      <c r="B7088" s="8" t="s">
        <v>6829</v>
      </c>
      <c r="C7088" s="9">
        <v>684</v>
      </c>
      <c r="D7088" s="0">
        <v>11</v>
      </c>
      <c r="E7088" s="10">
        <f>HYPERLINK("http://www.lingerieopt.ru/images/original/81594d4c-8e51-4b72-ac9c-be0d11c6afe1.jpg","Фото")</f>
      </c>
    </row>
    <row r="7089">
      <c r="A7089" s="7">
        <f>HYPERLINK("http://www.lingerieopt.ru/item/8430-trusiki-stringi-julitta-s-legkoi-oborkoi/","8430")</f>
      </c>
      <c r="B7089" s="8" t="s">
        <v>6830</v>
      </c>
      <c r="C7089" s="9">
        <v>642</v>
      </c>
      <c r="D7089" s="0">
        <v>4</v>
      </c>
      <c r="E7089" s="10">
        <f>HYPERLINK("http://www.lingerieopt.ru/images/original/f8431115-e894-4a80-8137-4b2e88da4be5.jpg","Фото")</f>
      </c>
    </row>
    <row r="7090">
      <c r="A7090" s="7">
        <f>HYPERLINK("http://www.lingerieopt.ru/item/8430-trusiki-stringi-julitta-s-legkoi-oborkoi/","8430")</f>
      </c>
      <c r="B7090" s="8" t="s">
        <v>6831</v>
      </c>
      <c r="C7090" s="9">
        <v>642</v>
      </c>
      <c r="D7090" s="0">
        <v>0</v>
      </c>
      <c r="E7090" s="10">
        <f>HYPERLINK("http://www.lingerieopt.ru/images/original/f8431115-e894-4a80-8137-4b2e88da4be5.jpg","Фото")</f>
      </c>
    </row>
    <row r="7091">
      <c r="A7091" s="7">
        <f>HYPERLINK("http://www.lingerieopt.ru/item/8488-zhenskie-trusiki-iz-kruzheva-s-atlasnjmi-bantikami/","8488")</f>
      </c>
      <c r="B7091" s="8" t="s">
        <v>6832</v>
      </c>
      <c r="C7091" s="9">
        <v>386</v>
      </c>
      <c r="D7091" s="0">
        <v>6</v>
      </c>
      <c r="E7091" s="10">
        <f>HYPERLINK("http://www.lingerieopt.ru/images/original/e7697dea-6f41-4cc4-8819-0e68b4a20975.jpg","Фото")</f>
      </c>
    </row>
    <row r="7092">
      <c r="A7092" s="7">
        <f>HYPERLINK("http://www.lingerieopt.ru/item/8488-zhenskie-trusiki-iz-kruzheva-s-atlasnjmi-bantikami/","8488")</f>
      </c>
      <c r="B7092" s="8" t="s">
        <v>6833</v>
      </c>
      <c r="C7092" s="9">
        <v>386</v>
      </c>
      <c r="D7092" s="0">
        <v>20</v>
      </c>
      <c r="E7092" s="10">
        <f>HYPERLINK("http://www.lingerieopt.ru/images/original/e7697dea-6f41-4cc4-8819-0e68b4a20975.jpg","Фото")</f>
      </c>
    </row>
    <row r="7093">
      <c r="A7093" s="7">
        <f>HYPERLINK("http://www.lingerieopt.ru/item/8488-zhenskie-trusiki-iz-kruzheva-s-atlasnjmi-bantikami/","8488")</f>
      </c>
      <c r="B7093" s="8" t="s">
        <v>6834</v>
      </c>
      <c r="C7093" s="9">
        <v>386</v>
      </c>
      <c r="D7093" s="0">
        <v>16</v>
      </c>
      <c r="E7093" s="10">
        <f>HYPERLINK("http://www.lingerieopt.ru/images/original/e7697dea-6f41-4cc4-8819-0e68b4a20975.jpg","Фото")</f>
      </c>
    </row>
    <row r="7094">
      <c r="A7094" s="7">
        <f>HYPERLINK("http://www.lingerieopt.ru/item/8488-zhenskie-trusiki-iz-kruzheva-s-atlasnjmi-bantikami/","8488")</f>
      </c>
      <c r="B7094" s="8" t="s">
        <v>6835</v>
      </c>
      <c r="C7094" s="9">
        <v>386</v>
      </c>
      <c r="D7094" s="0">
        <v>11</v>
      </c>
      <c r="E7094" s="10">
        <f>HYPERLINK("http://www.lingerieopt.ru/images/original/e7697dea-6f41-4cc4-8819-0e68b4a20975.jpg","Фото")</f>
      </c>
    </row>
    <row r="7095">
      <c r="A7095" s="7">
        <f>HYPERLINK("http://www.lingerieopt.ru/item/8488-zhenskie-trusiki-iz-kruzheva-s-atlasnjmi-bantikami/","8488")</f>
      </c>
      <c r="B7095" s="8" t="s">
        <v>6836</v>
      </c>
      <c r="C7095" s="9">
        <v>386</v>
      </c>
      <c r="D7095" s="0">
        <v>0</v>
      </c>
      <c r="E7095" s="10">
        <f>HYPERLINK("http://www.lingerieopt.ru/images/original/e7697dea-6f41-4cc4-8819-0e68b4a20975.jpg","Фото")</f>
      </c>
    </row>
    <row r="7096">
      <c r="A7096" s="7">
        <f>HYPERLINK("http://www.lingerieopt.ru/item/8488-zhenskie-trusiki-iz-kruzheva-s-atlasnjmi-bantikami/","8488")</f>
      </c>
      <c r="B7096" s="8" t="s">
        <v>6837</v>
      </c>
      <c r="C7096" s="9">
        <v>386</v>
      </c>
      <c r="D7096" s="0">
        <v>0</v>
      </c>
      <c r="E7096" s="10">
        <f>HYPERLINK("http://www.lingerieopt.ru/images/original/e7697dea-6f41-4cc4-8819-0e68b4a20975.jpg","Фото")</f>
      </c>
    </row>
    <row r="7097">
      <c r="A7097" s="7">
        <f>HYPERLINK("http://www.lingerieopt.ru/item/8489-vjsokie-trusiki-s-azhurnjmi-vjrezami/","8489")</f>
      </c>
      <c r="B7097" s="8" t="s">
        <v>6838</v>
      </c>
      <c r="C7097" s="9">
        <v>513</v>
      </c>
      <c r="D7097" s="0">
        <v>3</v>
      </c>
      <c r="E7097" s="10">
        <f>HYPERLINK("http://www.lingerieopt.ru/images/original/a876e815-ca53-458c-bea7-6c3ea8c29f13.jpg","Фото")</f>
      </c>
    </row>
    <row r="7098">
      <c r="A7098" s="7">
        <f>HYPERLINK("http://www.lingerieopt.ru/item/8489-vjsokie-trusiki-s-azhurnjmi-vjrezami/","8489")</f>
      </c>
      <c r="B7098" s="8" t="s">
        <v>6839</v>
      </c>
      <c r="C7098" s="9">
        <v>513</v>
      </c>
      <c r="D7098" s="0">
        <v>3</v>
      </c>
      <c r="E7098" s="10">
        <f>HYPERLINK("http://www.lingerieopt.ru/images/original/a876e815-ca53-458c-bea7-6c3ea8c29f13.jpg","Фото")</f>
      </c>
    </row>
    <row r="7099">
      <c r="A7099" s="7">
        <f>HYPERLINK("http://www.lingerieopt.ru/item/8489-vjsokie-trusiki-s-azhurnjmi-vjrezami/","8489")</f>
      </c>
      <c r="B7099" s="8" t="s">
        <v>6840</v>
      </c>
      <c r="C7099" s="9">
        <v>513</v>
      </c>
      <c r="D7099" s="0">
        <v>10</v>
      </c>
      <c r="E7099" s="10">
        <f>HYPERLINK("http://www.lingerieopt.ru/images/original/a876e815-ca53-458c-bea7-6c3ea8c29f13.jpg","Фото")</f>
      </c>
    </row>
    <row r="7100">
      <c r="A7100" s="7">
        <f>HYPERLINK("http://www.lingerieopt.ru/item/8489-vjsokie-trusiki-s-azhurnjmi-vjrezami/","8489")</f>
      </c>
      <c r="B7100" s="8" t="s">
        <v>6841</v>
      </c>
      <c r="C7100" s="9">
        <v>513</v>
      </c>
      <c r="D7100" s="0">
        <v>10</v>
      </c>
      <c r="E7100" s="10">
        <f>HYPERLINK("http://www.lingerieopt.ru/images/original/a876e815-ca53-458c-bea7-6c3ea8c29f13.jpg","Фото")</f>
      </c>
    </row>
    <row r="7101">
      <c r="A7101" s="7">
        <f>HYPERLINK("http://www.lingerieopt.ru/item/8489-vjsokie-trusiki-s-azhurnjmi-vjrezami/","8489")</f>
      </c>
      <c r="B7101" s="8" t="s">
        <v>6842</v>
      </c>
      <c r="C7101" s="9">
        <v>513</v>
      </c>
      <c r="D7101" s="0">
        <v>3</v>
      </c>
      <c r="E7101" s="10">
        <f>HYPERLINK("http://www.lingerieopt.ru/images/original/a876e815-ca53-458c-bea7-6c3ea8c29f13.jpg","Фото")</f>
      </c>
    </row>
    <row r="7102">
      <c r="A7102" s="7">
        <f>HYPERLINK("http://www.lingerieopt.ru/item/8489-vjsokie-trusiki-s-azhurnjmi-vjrezami/","8489")</f>
      </c>
      <c r="B7102" s="8" t="s">
        <v>6843</v>
      </c>
      <c r="C7102" s="9">
        <v>513</v>
      </c>
      <c r="D7102" s="0">
        <v>0</v>
      </c>
      <c r="E7102" s="10">
        <f>HYPERLINK("http://www.lingerieopt.ru/images/original/a876e815-ca53-458c-bea7-6c3ea8c29f13.jpg","Фото")</f>
      </c>
    </row>
    <row r="7103">
      <c r="A7103" s="7">
        <f>HYPERLINK("http://www.lingerieopt.ru/item/8490-soblaznitelnje-trusiki-s-vjsokoi-posadkoi-i-perekrestnjmi-kruzhevnjmi-polosami/","8490")</f>
      </c>
      <c r="B7103" s="8" t="s">
        <v>6844</v>
      </c>
      <c r="C7103" s="9">
        <v>509</v>
      </c>
      <c r="D7103" s="0">
        <v>12</v>
      </c>
      <c r="E7103" s="10">
        <f>HYPERLINK("http://www.lingerieopt.ru/images/original/02f8351b-3ec6-4243-bb8d-3f255e2041b3.jpg","Фото")</f>
      </c>
    </row>
    <row r="7104">
      <c r="A7104" s="7">
        <f>HYPERLINK("http://www.lingerieopt.ru/item/8490-soblaznitelnje-trusiki-s-vjsokoi-posadkoi-i-perekrestnjmi-kruzhevnjmi-polosami/","8490")</f>
      </c>
      <c r="B7104" s="8" t="s">
        <v>6845</v>
      </c>
      <c r="C7104" s="9">
        <v>509</v>
      </c>
      <c r="D7104" s="0">
        <v>9</v>
      </c>
      <c r="E7104" s="10">
        <f>HYPERLINK("http://www.lingerieopt.ru/images/original/02f8351b-3ec6-4243-bb8d-3f255e2041b3.jpg","Фото")</f>
      </c>
    </row>
    <row r="7105">
      <c r="A7105" s="7">
        <f>HYPERLINK("http://www.lingerieopt.ru/item/8490-soblaznitelnje-trusiki-s-vjsokoi-posadkoi-i-perekrestnjmi-kruzhevnjmi-polosami/","8490")</f>
      </c>
      <c r="B7105" s="8" t="s">
        <v>6846</v>
      </c>
      <c r="C7105" s="9">
        <v>509</v>
      </c>
      <c r="D7105" s="0">
        <v>38</v>
      </c>
      <c r="E7105" s="10">
        <f>HYPERLINK("http://www.lingerieopt.ru/images/original/02f8351b-3ec6-4243-bb8d-3f255e2041b3.jpg","Фото")</f>
      </c>
    </row>
    <row r="7106">
      <c r="A7106" s="7">
        <f>HYPERLINK("http://www.lingerieopt.ru/item/8490-soblaznitelnje-trusiki-s-vjsokoi-posadkoi-i-perekrestnjmi-kruzhevnjmi-polosami/","8490")</f>
      </c>
      <c r="B7106" s="8" t="s">
        <v>6847</v>
      </c>
      <c r="C7106" s="9">
        <v>509</v>
      </c>
      <c r="D7106" s="0">
        <v>15</v>
      </c>
      <c r="E7106" s="10">
        <f>HYPERLINK("http://www.lingerieopt.ru/images/original/02f8351b-3ec6-4243-bb8d-3f255e2041b3.jpg","Фото")</f>
      </c>
    </row>
    <row r="7107">
      <c r="A7107" s="7">
        <f>HYPERLINK("http://www.lingerieopt.ru/item/8490-soblaznitelnje-trusiki-s-vjsokoi-posadkoi-i-perekrestnjmi-kruzhevnjmi-polosami/","8490")</f>
      </c>
      <c r="B7107" s="8" t="s">
        <v>6848</v>
      </c>
      <c r="C7107" s="9">
        <v>509</v>
      </c>
      <c r="D7107" s="0">
        <v>0</v>
      </c>
      <c r="E7107" s="10">
        <f>HYPERLINK("http://www.lingerieopt.ru/images/original/02f8351b-3ec6-4243-bb8d-3f255e2041b3.jpg","Фото")</f>
      </c>
    </row>
    <row r="7108">
      <c r="A7108" s="7">
        <f>HYPERLINK("http://www.lingerieopt.ru/item/8490-soblaznitelnje-trusiki-s-vjsokoi-posadkoi-i-perekrestnjmi-kruzhevnjmi-polosami/","8490")</f>
      </c>
      <c r="B7108" s="8" t="s">
        <v>6849</v>
      </c>
      <c r="C7108" s="9">
        <v>509</v>
      </c>
      <c r="D7108" s="0">
        <v>23</v>
      </c>
      <c r="E7108" s="10">
        <f>HYPERLINK("http://www.lingerieopt.ru/images/original/02f8351b-3ec6-4243-bb8d-3f255e2041b3.jpg","Фото")</f>
      </c>
    </row>
    <row r="7109">
      <c r="A7109" s="7">
        <f>HYPERLINK("http://www.lingerieopt.ru/item/8491-kruzhevnje-trusiki-s-dekorativnjm-vjrezom-szadi/","8491")</f>
      </c>
      <c r="B7109" s="8" t="s">
        <v>6850</v>
      </c>
      <c r="C7109" s="9">
        <v>476</v>
      </c>
      <c r="D7109" s="0">
        <v>0</v>
      </c>
      <c r="E7109" s="10">
        <f>HYPERLINK("http://www.lingerieopt.ru/images/original/9e144cab-2a0d-4687-9e1f-c6667d2bf61e.jpg","Фото")</f>
      </c>
    </row>
    <row r="7110">
      <c r="A7110" s="7">
        <f>HYPERLINK("http://www.lingerieopt.ru/item/8491-kruzhevnje-trusiki-s-dekorativnjm-vjrezom-szadi/","8491")</f>
      </c>
      <c r="B7110" s="8" t="s">
        <v>6851</v>
      </c>
      <c r="C7110" s="9">
        <v>476</v>
      </c>
      <c r="D7110" s="0">
        <v>3</v>
      </c>
      <c r="E7110" s="10">
        <f>HYPERLINK("http://www.lingerieopt.ru/images/original/9e144cab-2a0d-4687-9e1f-c6667d2bf61e.jpg","Фото")</f>
      </c>
    </row>
    <row r="7111">
      <c r="A7111" s="7">
        <f>HYPERLINK("http://www.lingerieopt.ru/item/8491-kruzhevnje-trusiki-s-dekorativnjm-vjrezom-szadi/","8491")</f>
      </c>
      <c r="B7111" s="8" t="s">
        <v>6852</v>
      </c>
      <c r="C7111" s="9">
        <v>476</v>
      </c>
      <c r="D7111" s="0">
        <v>0</v>
      </c>
      <c r="E7111" s="10">
        <f>HYPERLINK("http://www.lingerieopt.ru/images/original/9e144cab-2a0d-4687-9e1f-c6667d2bf61e.jpg","Фото")</f>
      </c>
    </row>
    <row r="7112">
      <c r="A7112" s="7">
        <f>HYPERLINK("http://www.lingerieopt.ru/item/8491-kruzhevnje-trusiki-s-dekorativnjm-vjrezom-szadi/","8491")</f>
      </c>
      <c r="B7112" s="8" t="s">
        <v>6853</v>
      </c>
      <c r="C7112" s="9">
        <v>476</v>
      </c>
      <c r="D7112" s="0">
        <v>4</v>
      </c>
      <c r="E7112" s="10">
        <f>HYPERLINK("http://www.lingerieopt.ru/images/original/9e144cab-2a0d-4687-9e1f-c6667d2bf61e.jpg","Фото")</f>
      </c>
    </row>
    <row r="7113">
      <c r="A7113" s="7">
        <f>HYPERLINK("http://www.lingerieopt.ru/item/8491-kruzhevnje-trusiki-s-dekorativnjm-vjrezom-szadi/","8491")</f>
      </c>
      <c r="B7113" s="8" t="s">
        <v>6854</v>
      </c>
      <c r="C7113" s="9">
        <v>476</v>
      </c>
      <c r="D7113" s="0">
        <v>34</v>
      </c>
      <c r="E7113" s="10">
        <f>HYPERLINK("http://www.lingerieopt.ru/images/original/9e144cab-2a0d-4687-9e1f-c6667d2bf61e.jpg","Фото")</f>
      </c>
    </row>
    <row r="7114">
      <c r="A7114" s="7">
        <f>HYPERLINK("http://www.lingerieopt.ru/item/8491-kruzhevnje-trusiki-s-dekorativnjm-vjrezom-szadi/","8491")</f>
      </c>
      <c r="B7114" s="8" t="s">
        <v>6855</v>
      </c>
      <c r="C7114" s="9">
        <v>476</v>
      </c>
      <c r="D7114" s="0">
        <v>2</v>
      </c>
      <c r="E7114" s="10">
        <f>HYPERLINK("http://www.lingerieopt.ru/images/original/9e144cab-2a0d-4687-9e1f-c6667d2bf61e.jpg","Фото")</f>
      </c>
    </row>
    <row r="7115">
      <c r="A7115" s="7">
        <f>HYPERLINK("http://www.lingerieopt.ru/item/8492-trusiki-poyas-c-vjsokoi-posadkoi/","8492")</f>
      </c>
      <c r="B7115" s="8" t="s">
        <v>6856</v>
      </c>
      <c r="C7115" s="9">
        <v>625</v>
      </c>
      <c r="D7115" s="0">
        <v>8</v>
      </c>
      <c r="E7115" s="10">
        <f>HYPERLINK("http://www.lingerieopt.ru/images/original/f1a9de98-2926-46b0-90d0-180e46a9d08c.jpg","Фото")</f>
      </c>
    </row>
    <row r="7116">
      <c r="A7116" s="7">
        <f>HYPERLINK("http://www.lingerieopt.ru/item/8492-trusiki-poyas-c-vjsokoi-posadkoi/","8492")</f>
      </c>
      <c r="B7116" s="8" t="s">
        <v>6857</v>
      </c>
      <c r="C7116" s="9">
        <v>625</v>
      </c>
      <c r="D7116" s="0">
        <v>0</v>
      </c>
      <c r="E7116" s="10">
        <f>HYPERLINK("http://www.lingerieopt.ru/images/original/f1a9de98-2926-46b0-90d0-180e46a9d08c.jpg","Фото")</f>
      </c>
    </row>
    <row r="7117">
      <c r="A7117" s="7">
        <f>HYPERLINK("http://www.lingerieopt.ru/item/8492-trusiki-poyas-c-vjsokoi-posadkoi/","8492")</f>
      </c>
      <c r="B7117" s="8" t="s">
        <v>6858</v>
      </c>
      <c r="C7117" s="9">
        <v>625</v>
      </c>
      <c r="D7117" s="0">
        <v>0</v>
      </c>
      <c r="E7117" s="10">
        <f>HYPERLINK("http://www.lingerieopt.ru/images/original/f1a9de98-2926-46b0-90d0-180e46a9d08c.jpg","Фото")</f>
      </c>
    </row>
    <row r="7118">
      <c r="A7118" s="7">
        <f>HYPERLINK("http://www.lingerieopt.ru/item/8493-kruzhevnje-trusiki-poyas-c-vjsokoi-posadkoi/","8493")</f>
      </c>
      <c r="B7118" s="8" t="s">
        <v>6859</v>
      </c>
      <c r="C7118" s="9">
        <v>608</v>
      </c>
      <c r="D7118" s="0">
        <v>8</v>
      </c>
      <c r="E7118" s="10">
        <f>HYPERLINK("http://www.lingerieopt.ru/images/original/3c2c6421-4fc3-48db-aa43-8538f4e9f42d.jpg","Фото")</f>
      </c>
    </row>
    <row r="7119">
      <c r="A7119" s="7">
        <f>HYPERLINK("http://www.lingerieopt.ru/item/8493-kruzhevnje-trusiki-poyas-c-vjsokoi-posadkoi/","8493")</f>
      </c>
      <c r="B7119" s="8" t="s">
        <v>6860</v>
      </c>
      <c r="C7119" s="9">
        <v>608</v>
      </c>
      <c r="D7119" s="0">
        <v>11</v>
      </c>
      <c r="E7119" s="10">
        <f>HYPERLINK("http://www.lingerieopt.ru/images/original/3c2c6421-4fc3-48db-aa43-8538f4e9f42d.jpg","Фото")</f>
      </c>
    </row>
    <row r="7120">
      <c r="A7120" s="7">
        <f>HYPERLINK("http://www.lingerieopt.ru/item/8493-kruzhevnje-trusiki-poyas-c-vjsokoi-posadkoi/","8493")</f>
      </c>
      <c r="B7120" s="8" t="s">
        <v>6861</v>
      </c>
      <c r="C7120" s="9">
        <v>608</v>
      </c>
      <c r="D7120" s="0">
        <v>8</v>
      </c>
      <c r="E7120" s="10">
        <f>HYPERLINK("http://www.lingerieopt.ru/images/original/3c2c6421-4fc3-48db-aa43-8538f4e9f42d.jpg","Фото")</f>
      </c>
    </row>
    <row r="7121">
      <c r="A7121" s="7">
        <f>HYPERLINK("http://www.lingerieopt.ru/item/8493-kruzhevnje-trusiki-poyas-c-vjsokoi-posadkoi/","8493")</f>
      </c>
      <c r="B7121" s="8" t="s">
        <v>6862</v>
      </c>
      <c r="C7121" s="9">
        <v>608</v>
      </c>
      <c r="D7121" s="0">
        <v>28</v>
      </c>
      <c r="E7121" s="10">
        <f>HYPERLINK("http://www.lingerieopt.ru/images/original/3c2c6421-4fc3-48db-aa43-8538f4e9f42d.jpg","Фото")</f>
      </c>
    </row>
    <row r="7122">
      <c r="A7122" s="7">
        <f>HYPERLINK("http://www.lingerieopt.ru/item/8493-kruzhevnje-trusiki-poyas-c-vjsokoi-posadkoi/","8493")</f>
      </c>
      <c r="B7122" s="8" t="s">
        <v>6863</v>
      </c>
      <c r="C7122" s="9">
        <v>608</v>
      </c>
      <c r="D7122" s="0">
        <v>12</v>
      </c>
      <c r="E7122" s="10">
        <f>HYPERLINK("http://www.lingerieopt.ru/images/original/3c2c6421-4fc3-48db-aa43-8538f4e9f42d.jpg","Фото")</f>
      </c>
    </row>
    <row r="7123">
      <c r="A7123" s="7">
        <f>HYPERLINK("http://www.lingerieopt.ru/item/8493-kruzhevnje-trusiki-poyas-c-vjsokoi-posadkoi/","8493")</f>
      </c>
      <c r="B7123" s="8" t="s">
        <v>6864</v>
      </c>
      <c r="C7123" s="9">
        <v>608</v>
      </c>
      <c r="D7123" s="0">
        <v>39</v>
      </c>
      <c r="E7123" s="10">
        <f>HYPERLINK("http://www.lingerieopt.ru/images/original/3c2c6421-4fc3-48db-aa43-8538f4e9f42d.jpg","Фото")</f>
      </c>
    </row>
    <row r="7124">
      <c r="A7124" s="7">
        <f>HYPERLINK("http://www.lingerieopt.ru/item/8521-kruzhevnje-trusiki-s-intimnjm-dostupom/","8521")</f>
      </c>
      <c r="B7124" s="8" t="s">
        <v>6865</v>
      </c>
      <c r="C7124" s="9">
        <v>526</v>
      </c>
      <c r="D7124" s="0">
        <v>84</v>
      </c>
      <c r="E7124" s="10">
        <f>HYPERLINK("http://www.lingerieopt.ru/images/original/7442f7b1-bd89-43b6-bd2d-637432516272.jpg","Фото")</f>
      </c>
    </row>
    <row r="7125">
      <c r="A7125" s="7">
        <f>HYPERLINK("http://www.lingerieopt.ru/item/8521-kruzhevnje-trusiki-s-intimnjm-dostupom/","8521")</f>
      </c>
      <c r="B7125" s="8" t="s">
        <v>6866</v>
      </c>
      <c r="C7125" s="9">
        <v>526</v>
      </c>
      <c r="D7125" s="0">
        <v>2</v>
      </c>
      <c r="E7125" s="10">
        <f>HYPERLINK("http://www.lingerieopt.ru/images/original/7442f7b1-bd89-43b6-bd2d-637432516272.jpg","Фото")</f>
      </c>
    </row>
    <row r="7126">
      <c r="A7126" s="7">
        <f>HYPERLINK("http://www.lingerieopt.ru/item/8521-kruzhevnje-trusiki-s-intimnjm-dostupom/","8521")</f>
      </c>
      <c r="B7126" s="8" t="s">
        <v>6867</v>
      </c>
      <c r="C7126" s="9">
        <v>526</v>
      </c>
      <c r="D7126" s="0">
        <v>9</v>
      </c>
      <c r="E7126" s="10">
        <f>HYPERLINK("http://www.lingerieopt.ru/images/original/7442f7b1-bd89-43b6-bd2d-637432516272.jpg","Фото")</f>
      </c>
    </row>
    <row r="7127">
      <c r="A7127" s="7">
        <f>HYPERLINK("http://www.lingerieopt.ru/item/8521-kruzhevnje-trusiki-s-intimnjm-dostupom/","8521")</f>
      </c>
      <c r="B7127" s="8" t="s">
        <v>6868</v>
      </c>
      <c r="C7127" s="9">
        <v>526</v>
      </c>
      <c r="D7127" s="0">
        <v>4</v>
      </c>
      <c r="E7127" s="10">
        <f>HYPERLINK("http://www.lingerieopt.ru/images/original/7442f7b1-bd89-43b6-bd2d-637432516272.jpg","Фото")</f>
      </c>
    </row>
    <row r="7128">
      <c r="A7128" s="7">
        <f>HYPERLINK("http://www.lingerieopt.ru/item/8521-kruzhevnje-trusiki-s-intimnjm-dostupom/","8521")</f>
      </c>
      <c r="B7128" s="8" t="s">
        <v>6869</v>
      </c>
      <c r="C7128" s="9">
        <v>526</v>
      </c>
      <c r="D7128" s="0">
        <v>9</v>
      </c>
      <c r="E7128" s="10">
        <f>HYPERLINK("http://www.lingerieopt.ru/images/original/7442f7b1-bd89-43b6-bd2d-637432516272.jpg","Фото")</f>
      </c>
    </row>
    <row r="7129">
      <c r="A7129" s="7">
        <f>HYPERLINK("http://www.lingerieopt.ru/item/8521-kruzhevnje-trusiki-s-intimnjm-dostupom/","8521")</f>
      </c>
      <c r="B7129" s="8" t="s">
        <v>6870</v>
      </c>
      <c r="C7129" s="9">
        <v>526</v>
      </c>
      <c r="D7129" s="0">
        <v>24</v>
      </c>
      <c r="E7129" s="10">
        <f>HYPERLINK("http://www.lingerieopt.ru/images/original/7442f7b1-bd89-43b6-bd2d-637432516272.jpg","Фото")</f>
      </c>
    </row>
    <row r="7130">
      <c r="A7130" s="7">
        <f>HYPERLINK("http://www.lingerieopt.ru/item/8522-kruzhevnje-trusiki-s-dostupom/","8522")</f>
      </c>
      <c r="B7130" s="8" t="s">
        <v>6871</v>
      </c>
      <c r="C7130" s="9">
        <v>521</v>
      </c>
      <c r="D7130" s="0">
        <v>1</v>
      </c>
      <c r="E7130" s="10">
        <f>HYPERLINK("http://www.lingerieopt.ru/images/original/66ea9de1-5eeb-40fb-a39a-c4168d679f39.jpg","Фото")</f>
      </c>
    </row>
    <row r="7131">
      <c r="A7131" s="7">
        <f>HYPERLINK("http://www.lingerieopt.ru/item/8522-kruzhevnje-trusiki-s-dostupom/","8522")</f>
      </c>
      <c r="B7131" s="8" t="s">
        <v>6872</v>
      </c>
      <c r="C7131" s="9">
        <v>521</v>
      </c>
      <c r="D7131" s="0">
        <v>10</v>
      </c>
      <c r="E7131" s="10">
        <f>HYPERLINK("http://www.lingerieopt.ru/images/original/66ea9de1-5eeb-40fb-a39a-c4168d679f39.jpg","Фото")</f>
      </c>
    </row>
    <row r="7132">
      <c r="A7132" s="7">
        <f>HYPERLINK("http://www.lingerieopt.ru/item/8522-kruzhevnje-trusiki-s-dostupom/","8522")</f>
      </c>
      <c r="B7132" s="8" t="s">
        <v>6873</v>
      </c>
      <c r="C7132" s="9">
        <v>521</v>
      </c>
      <c r="D7132" s="0">
        <v>12</v>
      </c>
      <c r="E7132" s="10">
        <f>HYPERLINK("http://www.lingerieopt.ru/images/original/66ea9de1-5eeb-40fb-a39a-c4168d679f39.jpg","Фото")</f>
      </c>
    </row>
    <row r="7133">
      <c r="A7133" s="7">
        <f>HYPERLINK("http://www.lingerieopt.ru/item/8522-kruzhevnje-trusiki-s-dostupom/","8522")</f>
      </c>
      <c r="B7133" s="8" t="s">
        <v>6874</v>
      </c>
      <c r="C7133" s="9">
        <v>521</v>
      </c>
      <c r="D7133" s="0">
        <v>12</v>
      </c>
      <c r="E7133" s="10">
        <f>HYPERLINK("http://www.lingerieopt.ru/images/original/66ea9de1-5eeb-40fb-a39a-c4168d679f39.jpg","Фото")</f>
      </c>
    </row>
    <row r="7134">
      <c r="A7134" s="7">
        <f>HYPERLINK("http://www.lingerieopt.ru/item/8522-kruzhevnje-trusiki-s-dostupom/","8522")</f>
      </c>
      <c r="B7134" s="8" t="s">
        <v>6875</v>
      </c>
      <c r="C7134" s="9">
        <v>521</v>
      </c>
      <c r="D7134" s="0">
        <v>10</v>
      </c>
      <c r="E7134" s="10">
        <f>HYPERLINK("http://www.lingerieopt.ru/images/original/66ea9de1-5eeb-40fb-a39a-c4168d679f39.jpg","Фото")</f>
      </c>
    </row>
    <row r="7135">
      <c r="A7135" s="7">
        <f>HYPERLINK("http://www.lingerieopt.ru/item/8522-kruzhevnje-trusiki-s-dostupom/","8522")</f>
      </c>
      <c r="B7135" s="8" t="s">
        <v>6876</v>
      </c>
      <c r="C7135" s="9">
        <v>521</v>
      </c>
      <c r="D7135" s="0">
        <v>22</v>
      </c>
      <c r="E7135" s="10">
        <f>HYPERLINK("http://www.lingerieopt.ru/images/original/66ea9de1-5eeb-40fb-a39a-c4168d679f39.jpg","Фото")</f>
      </c>
    </row>
    <row r="7136">
      <c r="A7136" s="7">
        <f>HYPERLINK("http://www.lingerieopt.ru/item/8523-kruzhevnje-trusiki-s-pikantnjm-vjrezom/","8523")</f>
      </c>
      <c r="B7136" s="8" t="s">
        <v>6877</v>
      </c>
      <c r="C7136" s="9">
        <v>348</v>
      </c>
      <c r="D7136" s="0">
        <v>14</v>
      </c>
      <c r="E7136" s="10">
        <f>HYPERLINK("http://www.lingerieopt.ru/images/original/e6aa7acf-0577-40a2-a96d-369eb12abec4.jpg","Фото")</f>
      </c>
    </row>
    <row r="7137">
      <c r="A7137" s="7">
        <f>HYPERLINK("http://www.lingerieopt.ru/item/8523-kruzhevnje-trusiki-s-pikantnjm-vjrezom/","8523")</f>
      </c>
      <c r="B7137" s="8" t="s">
        <v>6878</v>
      </c>
      <c r="C7137" s="9">
        <v>348</v>
      </c>
      <c r="D7137" s="0">
        <v>12</v>
      </c>
      <c r="E7137" s="10">
        <f>HYPERLINK("http://www.lingerieopt.ru/images/original/e6aa7acf-0577-40a2-a96d-369eb12abec4.jpg","Фото")</f>
      </c>
    </row>
    <row r="7138">
      <c r="A7138" s="7">
        <f>HYPERLINK("http://www.lingerieopt.ru/item/8523-kruzhevnje-trusiki-s-pikantnjm-vjrezom/","8523")</f>
      </c>
      <c r="B7138" s="8" t="s">
        <v>6879</v>
      </c>
      <c r="C7138" s="9">
        <v>348</v>
      </c>
      <c r="D7138" s="0">
        <v>21</v>
      </c>
      <c r="E7138" s="10">
        <f>HYPERLINK("http://www.lingerieopt.ru/images/original/e6aa7acf-0577-40a2-a96d-369eb12abec4.jpg","Фото")</f>
      </c>
    </row>
    <row r="7139">
      <c r="A7139" s="7">
        <f>HYPERLINK("http://www.lingerieopt.ru/item/8523-kruzhevnje-trusiki-s-pikantnjm-vjrezom/","8523")</f>
      </c>
      <c r="B7139" s="8" t="s">
        <v>6880</v>
      </c>
      <c r="C7139" s="9">
        <v>348</v>
      </c>
      <c r="D7139" s="0">
        <v>7</v>
      </c>
      <c r="E7139" s="10">
        <f>HYPERLINK("http://www.lingerieopt.ru/images/original/e6aa7acf-0577-40a2-a96d-369eb12abec4.jpg","Фото")</f>
      </c>
    </row>
    <row r="7140">
      <c r="A7140" s="7">
        <f>HYPERLINK("http://www.lingerieopt.ru/item/8523-kruzhevnje-trusiki-s-pikantnjm-vjrezom/","8523")</f>
      </c>
      <c r="B7140" s="8" t="s">
        <v>6881</v>
      </c>
      <c r="C7140" s="9">
        <v>348</v>
      </c>
      <c r="D7140" s="0">
        <v>32</v>
      </c>
      <c r="E7140" s="10">
        <f>HYPERLINK("http://www.lingerieopt.ru/images/original/e6aa7acf-0577-40a2-a96d-369eb12abec4.jpg","Фото")</f>
      </c>
    </row>
    <row r="7141">
      <c r="A7141" s="7">
        <f>HYPERLINK("http://www.lingerieopt.ru/item/8523-kruzhevnje-trusiki-s-pikantnjm-vjrezom/","8523")</f>
      </c>
      <c r="B7141" s="8" t="s">
        <v>6882</v>
      </c>
      <c r="C7141" s="9">
        <v>348</v>
      </c>
      <c r="D7141" s="0">
        <v>5</v>
      </c>
      <c r="E7141" s="10">
        <f>HYPERLINK("http://www.lingerieopt.ru/images/original/e6aa7acf-0577-40a2-a96d-369eb12abec4.jpg","Фото")</f>
      </c>
    </row>
    <row r="7142">
      <c r="A7142" s="7">
        <f>HYPERLINK("http://www.lingerieopt.ru/item/8523-kruzhevnje-trusiki-s-pikantnjm-vjrezom/","8523")</f>
      </c>
      <c r="B7142" s="8" t="s">
        <v>6883</v>
      </c>
      <c r="C7142" s="9">
        <v>348</v>
      </c>
      <c r="D7142" s="0">
        <v>4</v>
      </c>
      <c r="E7142" s="10">
        <f>HYPERLINK("http://www.lingerieopt.ru/images/original/e6aa7acf-0577-40a2-a96d-369eb12abec4.jpg","Фото")</f>
      </c>
    </row>
    <row r="7143">
      <c r="A7143" s="7">
        <f>HYPERLINK("http://www.lingerieopt.ru/item/8523-kruzhevnje-trusiki-s-pikantnjm-vjrezom/","8523")</f>
      </c>
      <c r="B7143" s="8" t="s">
        <v>6884</v>
      </c>
      <c r="C7143" s="9">
        <v>348</v>
      </c>
      <c r="D7143" s="0">
        <v>52</v>
      </c>
      <c r="E7143" s="10">
        <f>HYPERLINK("http://www.lingerieopt.ru/images/original/e6aa7acf-0577-40a2-a96d-369eb12abec4.jpg","Фото")</f>
      </c>
    </row>
    <row r="7144">
      <c r="A7144" s="7">
        <f>HYPERLINK("http://www.lingerieopt.ru/item/8523-kruzhevnje-trusiki-s-pikantnjm-vjrezom/","8523")</f>
      </c>
      <c r="B7144" s="8" t="s">
        <v>6885</v>
      </c>
      <c r="C7144" s="9">
        <v>348</v>
      </c>
      <c r="D7144" s="0">
        <v>0</v>
      </c>
      <c r="E7144" s="10">
        <f>HYPERLINK("http://www.lingerieopt.ru/images/original/e6aa7acf-0577-40a2-a96d-369eb12abec4.jpg","Фото")</f>
      </c>
    </row>
    <row r="7145">
      <c r="A7145" s="7">
        <f>HYPERLINK("http://www.lingerieopt.ru/item/8524-trusiki-stringi-s-otkrjtoi-zonoi-bikini/","8524")</f>
      </c>
      <c r="B7145" s="8" t="s">
        <v>6886</v>
      </c>
      <c r="C7145" s="9">
        <v>320</v>
      </c>
      <c r="D7145" s="0">
        <v>0</v>
      </c>
      <c r="E7145" s="10">
        <f>HYPERLINK("http://www.lingerieopt.ru/images/original/b86a2c17-a053-4cca-b079-4bf2105a3fe7.jpg","Фото")</f>
      </c>
    </row>
    <row r="7146">
      <c r="A7146" s="7">
        <f>HYPERLINK("http://www.lingerieopt.ru/item/8524-trusiki-stringi-s-otkrjtoi-zonoi-bikini/","8524")</f>
      </c>
      <c r="B7146" s="8" t="s">
        <v>6887</v>
      </c>
      <c r="C7146" s="9">
        <v>320</v>
      </c>
      <c r="D7146" s="0">
        <v>10</v>
      </c>
      <c r="E7146" s="10">
        <f>HYPERLINK("http://www.lingerieopt.ru/images/original/b86a2c17-a053-4cca-b079-4bf2105a3fe7.jpg","Фото")</f>
      </c>
    </row>
    <row r="7147">
      <c r="A7147" s="7">
        <f>HYPERLINK("http://www.lingerieopt.ru/item/8524-trusiki-stringi-s-otkrjtoi-zonoi-bikini/","8524")</f>
      </c>
      <c r="B7147" s="8" t="s">
        <v>6888</v>
      </c>
      <c r="C7147" s="9">
        <v>320</v>
      </c>
      <c r="D7147" s="0">
        <v>0</v>
      </c>
      <c r="E7147" s="10">
        <f>HYPERLINK("http://www.lingerieopt.ru/images/original/b86a2c17-a053-4cca-b079-4bf2105a3fe7.jpg","Фото")</f>
      </c>
    </row>
    <row r="7148">
      <c r="A7148" s="7">
        <f>HYPERLINK("http://www.lingerieopt.ru/item/8524-trusiki-stringi-s-otkrjtoi-zonoi-bikini/","8524")</f>
      </c>
      <c r="B7148" s="8" t="s">
        <v>6889</v>
      </c>
      <c r="C7148" s="9">
        <v>320</v>
      </c>
      <c r="D7148" s="0">
        <v>10</v>
      </c>
      <c r="E7148" s="10">
        <f>HYPERLINK("http://www.lingerieopt.ru/images/original/b86a2c17-a053-4cca-b079-4bf2105a3fe7.jpg","Фото")</f>
      </c>
    </row>
    <row r="7149">
      <c r="A7149" s="7">
        <f>HYPERLINK("http://www.lingerieopt.ru/item/8524-trusiki-stringi-s-otkrjtoi-zonoi-bikini/","8524")</f>
      </c>
      <c r="B7149" s="8" t="s">
        <v>6890</v>
      </c>
      <c r="C7149" s="9">
        <v>320</v>
      </c>
      <c r="D7149" s="0">
        <v>1</v>
      </c>
      <c r="E7149" s="10">
        <f>HYPERLINK("http://www.lingerieopt.ru/images/original/b86a2c17-a053-4cca-b079-4bf2105a3fe7.jpg","Фото")</f>
      </c>
    </row>
    <row r="7150">
      <c r="A7150" s="7">
        <f>HYPERLINK("http://www.lingerieopt.ru/item/8524-trusiki-stringi-s-otkrjtoi-zonoi-bikini/","8524")</f>
      </c>
      <c r="B7150" s="8" t="s">
        <v>6891</v>
      </c>
      <c r="C7150" s="9">
        <v>320</v>
      </c>
      <c r="D7150" s="0">
        <v>4</v>
      </c>
      <c r="E7150" s="10">
        <f>HYPERLINK("http://www.lingerieopt.ru/images/original/b86a2c17-a053-4cca-b079-4bf2105a3fe7.jpg","Фото")</f>
      </c>
    </row>
    <row r="7151">
      <c r="A7151" s="7">
        <f>HYPERLINK("http://www.lingerieopt.ru/item/8544-trusiki-open-croatch-avril-plus-size-s-tonkimi-bokovjmi-tesemkami/","8544")</f>
      </c>
      <c r="B7151" s="8" t="s">
        <v>6892</v>
      </c>
      <c r="C7151" s="9">
        <v>462</v>
      </c>
      <c r="D7151" s="0">
        <v>3</v>
      </c>
      <c r="E7151" s="10">
        <f>HYPERLINK("http://www.lingerieopt.ru/images/original/f2ace0a6-fce7-4de6-89ee-b2693f17bac5.jpg","Фото")</f>
      </c>
    </row>
    <row r="7152">
      <c r="A7152" s="7">
        <f>HYPERLINK("http://www.lingerieopt.ru/item/8544-trusiki-open-croatch-avril-plus-size-s-tonkimi-bokovjmi-tesemkami/","8544")</f>
      </c>
      <c r="B7152" s="8" t="s">
        <v>6893</v>
      </c>
      <c r="C7152" s="9">
        <v>462</v>
      </c>
      <c r="D7152" s="0">
        <v>2</v>
      </c>
      <c r="E7152" s="10">
        <f>HYPERLINK("http://www.lingerieopt.ru/images/original/f2ace0a6-fce7-4de6-89ee-b2693f17bac5.jpg","Фото")</f>
      </c>
    </row>
    <row r="7153">
      <c r="A7153" s="7">
        <f>HYPERLINK("http://www.lingerieopt.ru/item/8545-trusiki-tess-s-kistochkoi-na-pope-i-intimnjm-dostupom/","8545")</f>
      </c>
      <c r="B7153" s="8" t="s">
        <v>6894</v>
      </c>
      <c r="C7153" s="9">
        <v>450</v>
      </c>
      <c r="D7153" s="0">
        <v>7</v>
      </c>
      <c r="E7153" s="10">
        <f>HYPERLINK("http://www.lingerieopt.ru/images/original/a16c6983-77ca-4a4f-b987-71b33e5944f6.jpg","Фото")</f>
      </c>
    </row>
    <row r="7154">
      <c r="A7154" s="7">
        <f>HYPERLINK("http://www.lingerieopt.ru/item/8545-trusiki-tess-s-kistochkoi-na-pope-i-intimnjm-dostupom/","8545")</f>
      </c>
      <c r="B7154" s="8" t="s">
        <v>6895</v>
      </c>
      <c r="C7154" s="9">
        <v>450</v>
      </c>
      <c r="D7154" s="0">
        <v>5</v>
      </c>
      <c r="E7154" s="10">
        <f>HYPERLINK("http://www.lingerieopt.ru/images/original/a16c6983-77ca-4a4f-b987-71b33e5944f6.jpg","Фото")</f>
      </c>
    </row>
    <row r="7155">
      <c r="A7155" s="7">
        <f>HYPERLINK("http://www.lingerieopt.ru/item/8545-trusiki-tess-s-kistochkoi-na-pope-i-intimnjm-dostupom/","8545")</f>
      </c>
      <c r="B7155" s="8" t="s">
        <v>6896</v>
      </c>
      <c r="C7155" s="9">
        <v>450</v>
      </c>
      <c r="D7155" s="0">
        <v>1</v>
      </c>
      <c r="E7155" s="10">
        <f>HYPERLINK("http://www.lingerieopt.ru/images/original/a16c6983-77ca-4a4f-b987-71b33e5944f6.jpg","Фото")</f>
      </c>
    </row>
    <row r="7156">
      <c r="A7156" s="7">
        <f>HYPERLINK("http://www.lingerieopt.ru/item/8545-trusiki-tess-s-kistochkoi-na-pope-i-intimnjm-dostupom/","8545")</f>
      </c>
      <c r="B7156" s="8" t="s">
        <v>6897</v>
      </c>
      <c r="C7156" s="9">
        <v>450</v>
      </c>
      <c r="D7156" s="0">
        <v>3</v>
      </c>
      <c r="E7156" s="10">
        <f>HYPERLINK("http://www.lingerieopt.ru/images/original/a16c6983-77ca-4a4f-b987-71b33e5944f6.jpg","Фото")</f>
      </c>
    </row>
    <row r="7157">
      <c r="A7157" s="7">
        <f>HYPERLINK("http://www.lingerieopt.ru/item/8546-kruzhevnje-trusiki-abbigail-plus-size/","8546")</f>
      </c>
      <c r="B7157" s="8" t="s">
        <v>6898</v>
      </c>
      <c r="C7157" s="9">
        <v>744</v>
      </c>
      <c r="D7157" s="0">
        <v>3</v>
      </c>
      <c r="E7157" s="10">
        <f>HYPERLINK("http://www.lingerieopt.ru/images/original/306c0aca-d96d-4c04-9658-93211f7e03d1.jpg","Фото")</f>
      </c>
    </row>
    <row r="7158">
      <c r="A7158" s="7">
        <f>HYPERLINK("http://www.lingerieopt.ru/item/8546-kruzhevnje-trusiki-abbigail-plus-size/","8546")</f>
      </c>
      <c r="B7158" s="8" t="s">
        <v>6899</v>
      </c>
      <c r="C7158" s="9">
        <v>744</v>
      </c>
      <c r="D7158" s="0">
        <v>3</v>
      </c>
      <c r="E7158" s="10">
        <f>HYPERLINK("http://www.lingerieopt.ru/images/original/306c0aca-d96d-4c04-9658-93211f7e03d1.jpg","Фото")</f>
      </c>
    </row>
    <row r="7159">
      <c r="A7159" s="7">
        <f>HYPERLINK("http://www.lingerieopt.ru/item/8547-trusiki-touch-me-plus-size-s-atlasnjm-bantikom/","8547")</f>
      </c>
      <c r="B7159" s="8" t="s">
        <v>6900</v>
      </c>
      <c r="C7159" s="9">
        <v>512</v>
      </c>
      <c r="D7159" s="0">
        <v>1</v>
      </c>
      <c r="E7159" s="10">
        <f>HYPERLINK("http://www.lingerieopt.ru/images/original/2e016d9c-a8c5-4cc1-88ea-bb0c07dd21e9.jpg","Фото")</f>
      </c>
    </row>
    <row r="7160">
      <c r="A7160" s="7">
        <f>HYPERLINK("http://www.lingerieopt.ru/item/8547-trusiki-touch-me-plus-size-s-atlasnjm-bantikom/","8547")</f>
      </c>
      <c r="B7160" s="8" t="s">
        <v>6901</v>
      </c>
      <c r="C7160" s="9">
        <v>512</v>
      </c>
      <c r="D7160" s="0">
        <v>2</v>
      </c>
      <c r="E7160" s="10">
        <f>HYPERLINK("http://www.lingerieopt.ru/images/original/2e016d9c-a8c5-4cc1-88ea-bb0c07dd21e9.jpg","Фото")</f>
      </c>
    </row>
    <row r="7161">
      <c r="A7161" s="7">
        <f>HYPERLINK("http://www.lingerieopt.ru/item/8547-trusiki-touch-me-plus-size-s-atlasnjm-bantikom/","8547")</f>
      </c>
      <c r="B7161" s="8" t="s">
        <v>6902</v>
      </c>
      <c r="C7161" s="9">
        <v>512</v>
      </c>
      <c r="D7161" s="0">
        <v>2</v>
      </c>
      <c r="E7161" s="10">
        <f>HYPERLINK("http://www.lingerieopt.ru/images/original/2e016d9c-a8c5-4cc1-88ea-bb0c07dd21e9.jpg","Фото")</f>
      </c>
    </row>
    <row r="7162">
      <c r="A7162" s="7">
        <f>HYPERLINK("http://www.lingerieopt.ru/item/8547-trusiki-touch-me-plus-size-s-atlasnjm-bantikom/","8547")</f>
      </c>
      <c r="B7162" s="8" t="s">
        <v>6903</v>
      </c>
      <c r="C7162" s="9">
        <v>512</v>
      </c>
      <c r="D7162" s="0">
        <v>2</v>
      </c>
      <c r="E7162" s="10">
        <f>HYPERLINK("http://www.lingerieopt.ru/images/original/2e016d9c-a8c5-4cc1-88ea-bb0c07dd21e9.jpg","Фото")</f>
      </c>
    </row>
    <row r="7163">
      <c r="A7163" s="7">
        <f>HYPERLINK("http://www.lingerieopt.ru/item/8555-soblaznitelnje-trusiki-stringi-igazi-s-podveskoi/","8555")</f>
      </c>
      <c r="B7163" s="8" t="s">
        <v>6904</v>
      </c>
      <c r="C7163" s="9">
        <v>827</v>
      </c>
      <c r="D7163" s="0">
        <v>3</v>
      </c>
      <c r="E7163" s="10">
        <f>HYPERLINK("http://www.lingerieopt.ru/images/original/d34aa5ef-1340-436e-8aab-f2da44eb2435.jpg","Фото")</f>
      </c>
    </row>
    <row r="7164">
      <c r="A7164" s="7">
        <f>HYPERLINK("http://www.lingerieopt.ru/item/8555-soblaznitelnje-trusiki-stringi-igazi-s-podveskoi/","8555")</f>
      </c>
      <c r="B7164" s="8" t="s">
        <v>6905</v>
      </c>
      <c r="C7164" s="9">
        <v>827</v>
      </c>
      <c r="D7164" s="0">
        <v>5</v>
      </c>
      <c r="E7164" s="10">
        <f>HYPERLINK("http://www.lingerieopt.ru/images/original/d34aa5ef-1340-436e-8aab-f2da44eb2435.jpg","Фото")</f>
      </c>
    </row>
    <row r="7165">
      <c r="A7165" s="7">
        <f>HYPERLINK("http://www.lingerieopt.ru/item/8555-soblaznitelnje-trusiki-stringi-igazi-s-podveskoi/","8555")</f>
      </c>
      <c r="B7165" s="8" t="s">
        <v>6906</v>
      </c>
      <c r="C7165" s="9">
        <v>827</v>
      </c>
      <c r="D7165" s="0">
        <v>2</v>
      </c>
      <c r="E7165" s="10">
        <f>HYPERLINK("http://www.lingerieopt.ru/images/original/d34aa5ef-1340-436e-8aab-f2da44eb2435.jpg","Фото")</f>
      </c>
    </row>
    <row r="7166">
      <c r="A7166" s="7">
        <f>HYPERLINK("http://www.lingerieopt.ru/item/8555-soblaznitelnje-trusiki-stringi-igazi-s-podveskoi/","8555")</f>
      </c>
      <c r="B7166" s="8" t="s">
        <v>6907</v>
      </c>
      <c r="C7166" s="9">
        <v>827</v>
      </c>
      <c r="D7166" s="0">
        <v>4</v>
      </c>
      <c r="E7166" s="10">
        <f>HYPERLINK("http://www.lingerieopt.ru/images/original/d34aa5ef-1340-436e-8aab-f2da44eb2435.jpg","Фото")</f>
      </c>
    </row>
    <row r="7167">
      <c r="A7167" s="7">
        <f>HYPERLINK("http://www.lingerieopt.ru/item/8555-soblaznitelnje-trusiki-stringi-igazi-s-podveskoi/","8555")</f>
      </c>
      <c r="B7167" s="8" t="s">
        <v>6908</v>
      </c>
      <c r="C7167" s="9">
        <v>827</v>
      </c>
      <c r="D7167" s="0">
        <v>2</v>
      </c>
      <c r="E7167" s="10">
        <f>HYPERLINK("http://www.lingerieopt.ru/images/original/d34aa5ef-1340-436e-8aab-f2da44eb2435.jpg","Фото")</f>
      </c>
    </row>
    <row r="7168">
      <c r="A7168" s="7">
        <f>HYPERLINK("http://www.lingerieopt.ru/item/8555-soblaznitelnje-trusiki-stringi-igazi-s-podveskoi/","8555")</f>
      </c>
      <c r="B7168" s="8" t="s">
        <v>6909</v>
      </c>
      <c r="C7168" s="9">
        <v>827</v>
      </c>
      <c r="D7168" s="0">
        <v>2</v>
      </c>
      <c r="E7168" s="10">
        <f>HYPERLINK("http://www.lingerieopt.ru/images/original/d34aa5ef-1340-436e-8aab-f2da44eb2435.jpg","Фото")</f>
      </c>
    </row>
    <row r="7169">
      <c r="A7169" s="7">
        <f>HYPERLINK("http://www.lingerieopt.ru/item/8555-soblaznitelnje-trusiki-stringi-igazi-s-podveskoi/","8555")</f>
      </c>
      <c r="B7169" s="8" t="s">
        <v>6910</v>
      </c>
      <c r="C7169" s="9">
        <v>827</v>
      </c>
      <c r="D7169" s="0">
        <v>2</v>
      </c>
      <c r="E7169" s="10">
        <f>HYPERLINK("http://www.lingerieopt.ru/images/original/d34aa5ef-1340-436e-8aab-f2da44eb2435.jpg","Фото")</f>
      </c>
    </row>
    <row r="7170">
      <c r="A7170" s="7">
        <f>HYPERLINK("http://www.lingerieopt.ru/item/8555-soblaznitelnje-trusiki-stringi-igazi-s-podveskoi/","8555")</f>
      </c>
      <c r="B7170" s="8" t="s">
        <v>6911</v>
      </c>
      <c r="C7170" s="9">
        <v>827</v>
      </c>
      <c r="D7170" s="0">
        <v>4</v>
      </c>
      <c r="E7170" s="10">
        <f>HYPERLINK("http://www.lingerieopt.ru/images/original/d34aa5ef-1340-436e-8aab-f2da44eb2435.jpg","Фото")</f>
      </c>
    </row>
    <row r="7171">
      <c r="A7171" s="7">
        <f>HYPERLINK("http://www.lingerieopt.ru/item/8555-soblaznitelnje-trusiki-stringi-igazi-s-podveskoi/","8555")</f>
      </c>
      <c r="B7171" s="8" t="s">
        <v>6912</v>
      </c>
      <c r="C7171" s="9">
        <v>827</v>
      </c>
      <c r="D7171" s="0">
        <v>4</v>
      </c>
      <c r="E7171" s="10">
        <f>HYPERLINK("http://www.lingerieopt.ru/images/original/d34aa5ef-1340-436e-8aab-f2da44eb2435.jpg","Фото")</f>
      </c>
    </row>
    <row r="7172">
      <c r="A7172" s="7">
        <f>HYPERLINK("http://www.lingerieopt.ru/item/8555-soblaznitelnje-trusiki-stringi-igazi-s-podveskoi/","8555")</f>
      </c>
      <c r="B7172" s="8" t="s">
        <v>6913</v>
      </c>
      <c r="C7172" s="9">
        <v>827</v>
      </c>
      <c r="D7172" s="0">
        <v>5</v>
      </c>
      <c r="E7172" s="10">
        <f>HYPERLINK("http://www.lingerieopt.ru/images/original/d34aa5ef-1340-436e-8aab-f2da44eb2435.jpg","Фото")</f>
      </c>
    </row>
    <row r="7173">
      <c r="A7173" s="7">
        <f>HYPERLINK("http://www.lingerieopt.ru/item/8555-soblaznitelnje-trusiki-stringi-igazi-s-podveskoi/","8555")</f>
      </c>
      <c r="B7173" s="8" t="s">
        <v>6914</v>
      </c>
      <c r="C7173" s="9">
        <v>827</v>
      </c>
      <c r="D7173" s="0">
        <v>4</v>
      </c>
      <c r="E7173" s="10">
        <f>HYPERLINK("http://www.lingerieopt.ru/images/original/d34aa5ef-1340-436e-8aab-f2da44eb2435.jpg","Фото")</f>
      </c>
    </row>
    <row r="7174">
      <c r="A7174" s="7">
        <f>HYPERLINK("http://www.lingerieopt.ru/item/8555-soblaznitelnje-trusiki-stringi-igazi-s-podveskoi/","8555")</f>
      </c>
      <c r="B7174" s="8" t="s">
        <v>6915</v>
      </c>
      <c r="C7174" s="9">
        <v>827</v>
      </c>
      <c r="D7174" s="0">
        <v>2</v>
      </c>
      <c r="E7174" s="10">
        <f>HYPERLINK("http://www.lingerieopt.ru/images/original/d34aa5ef-1340-436e-8aab-f2da44eb2435.jpg","Фото")</f>
      </c>
    </row>
    <row r="7175">
      <c r="A7175" s="7">
        <f>HYPERLINK("http://www.lingerieopt.ru/item/8556-pikantnje-trusiki-stringi-igazi-plus-size-s-podveskoi/","8556")</f>
      </c>
      <c r="B7175" s="8" t="s">
        <v>6916</v>
      </c>
      <c r="C7175" s="9">
        <v>827</v>
      </c>
      <c r="D7175" s="0">
        <v>3</v>
      </c>
      <c r="E7175" s="10">
        <f>HYPERLINK("http://www.lingerieopt.ru/images/original/aac41482-1c59-4d45-a446-c90066a4b509.jpg","Фото")</f>
      </c>
    </row>
    <row r="7176">
      <c r="A7176" s="7">
        <f>HYPERLINK("http://www.lingerieopt.ru/item/8556-pikantnje-trusiki-stringi-igazi-plus-size-s-podveskoi/","8556")</f>
      </c>
      <c r="B7176" s="8" t="s">
        <v>6917</v>
      </c>
      <c r="C7176" s="9">
        <v>827</v>
      </c>
      <c r="D7176" s="0">
        <v>0</v>
      </c>
      <c r="E7176" s="10">
        <f>HYPERLINK("http://www.lingerieopt.ru/images/original/aac41482-1c59-4d45-a446-c90066a4b509.jpg","Фото")</f>
      </c>
    </row>
    <row r="7177">
      <c r="A7177" s="7">
        <f>HYPERLINK("http://www.lingerieopt.ru/item/8556-pikantnje-trusiki-stringi-igazi-plus-size-s-podveskoi/","8556")</f>
      </c>
      <c r="B7177" s="8" t="s">
        <v>6918</v>
      </c>
      <c r="C7177" s="9">
        <v>827</v>
      </c>
      <c r="D7177" s="0">
        <v>0</v>
      </c>
      <c r="E7177" s="10">
        <f>HYPERLINK("http://www.lingerieopt.ru/images/original/aac41482-1c59-4d45-a446-c90066a4b509.jpg","Фото")</f>
      </c>
    </row>
    <row r="7178">
      <c r="A7178" s="7">
        <f>HYPERLINK("http://www.lingerieopt.ru/item/8556-pikantnje-trusiki-stringi-igazi-plus-size-s-podveskoi/","8556")</f>
      </c>
      <c r="B7178" s="8" t="s">
        <v>6919</v>
      </c>
      <c r="C7178" s="9">
        <v>827</v>
      </c>
      <c r="D7178" s="0">
        <v>0</v>
      </c>
      <c r="E7178" s="10">
        <f>HYPERLINK("http://www.lingerieopt.ru/images/original/aac41482-1c59-4d45-a446-c90066a4b509.jpg","Фото")</f>
      </c>
    </row>
    <row r="7179">
      <c r="A7179" s="7">
        <f>HYPERLINK("http://www.lingerieopt.ru/item/8556-pikantnje-trusiki-stringi-igazi-plus-size-s-podveskoi/","8556")</f>
      </c>
      <c r="B7179" s="8" t="s">
        <v>6920</v>
      </c>
      <c r="C7179" s="9">
        <v>827</v>
      </c>
      <c r="D7179" s="0">
        <v>1</v>
      </c>
      <c r="E7179" s="10">
        <f>HYPERLINK("http://www.lingerieopt.ru/images/original/aac41482-1c59-4d45-a446-c90066a4b509.jpg","Фото")</f>
      </c>
    </row>
    <row r="7180">
      <c r="A7180" s="7">
        <f>HYPERLINK("http://www.lingerieopt.ru/item/8556-pikantnje-trusiki-stringi-igazi-plus-size-s-podveskoi/","8556")</f>
      </c>
      <c r="B7180" s="8" t="s">
        <v>6921</v>
      </c>
      <c r="C7180" s="9">
        <v>827</v>
      </c>
      <c r="D7180" s="0">
        <v>0</v>
      </c>
      <c r="E7180" s="10">
        <f>HYPERLINK("http://www.lingerieopt.ru/images/original/aac41482-1c59-4d45-a446-c90066a4b509.jpg","Фото")</f>
      </c>
    </row>
    <row r="7181">
      <c r="A7181" s="7">
        <f>HYPERLINK("http://www.lingerieopt.ru/item/8560-trusiki-stringi-tessili-s-pikantnjmi-vjrezami/","8560")</f>
      </c>
      <c r="B7181" s="8" t="s">
        <v>6922</v>
      </c>
      <c r="C7181" s="9">
        <v>325</v>
      </c>
      <c r="D7181" s="0">
        <v>0</v>
      </c>
      <c r="E7181" s="10">
        <f>HYPERLINK("http://www.lingerieopt.ru/images/original/8b05e541-ce53-4cd1-8570-f6628bbedf7a.jpg","Фото")</f>
      </c>
    </row>
    <row r="7182">
      <c r="A7182" s="7">
        <f>HYPERLINK("http://www.lingerieopt.ru/item/8560-trusiki-stringi-tessili-s-pikantnjmi-vjrezami/","8560")</f>
      </c>
      <c r="B7182" s="8" t="s">
        <v>6923</v>
      </c>
      <c r="C7182" s="9">
        <v>325</v>
      </c>
      <c r="D7182" s="0">
        <v>3</v>
      </c>
      <c r="E7182" s="10">
        <f>HYPERLINK("http://www.lingerieopt.ru/images/original/8b05e541-ce53-4cd1-8570-f6628bbedf7a.jpg","Фото")</f>
      </c>
    </row>
    <row r="7183">
      <c r="A7183" s="7">
        <f>HYPERLINK("http://www.lingerieopt.ru/item/8560-trusiki-stringi-tessili-s-pikantnjmi-vjrezami/","8560")</f>
      </c>
      <c r="B7183" s="8" t="s">
        <v>6924</v>
      </c>
      <c r="C7183" s="9">
        <v>325</v>
      </c>
      <c r="D7183" s="0">
        <v>4</v>
      </c>
      <c r="E7183" s="10">
        <f>HYPERLINK("http://www.lingerieopt.ru/images/original/8b05e541-ce53-4cd1-8570-f6628bbedf7a.jpg","Фото")</f>
      </c>
    </row>
    <row r="7184">
      <c r="A7184" s="7">
        <f>HYPERLINK("http://www.lingerieopt.ru/item/8560-trusiki-stringi-tessili-s-pikantnjmi-vjrezami/","8560")</f>
      </c>
      <c r="B7184" s="8" t="s">
        <v>6925</v>
      </c>
      <c r="C7184" s="9">
        <v>325</v>
      </c>
      <c r="D7184" s="0">
        <v>1</v>
      </c>
      <c r="E7184" s="10">
        <f>HYPERLINK("http://www.lingerieopt.ru/images/original/8b05e541-ce53-4cd1-8570-f6628bbedf7a.jpg","Фото")</f>
      </c>
    </row>
    <row r="7185">
      <c r="A7185" s="7">
        <f>HYPERLINK("http://www.lingerieopt.ru/item/8565-otkrjtje-trusiki-stringi-alabastra-plus-size/","8565")</f>
      </c>
      <c r="B7185" s="8" t="s">
        <v>6926</v>
      </c>
      <c r="C7185" s="9">
        <v>612</v>
      </c>
      <c r="D7185" s="0">
        <v>1</v>
      </c>
      <c r="E7185" s="10">
        <f>HYPERLINK("http://www.lingerieopt.ru/images/original/2961bc2a-b377-43af-9fd6-5c73bc9bda9f.jpg","Фото")</f>
      </c>
    </row>
    <row r="7186">
      <c r="A7186" s="7">
        <f>HYPERLINK("http://www.lingerieopt.ru/item/8578-originalnje-trusiki-stringi-lazy-girl-plus-size-s-vjshivkoi/","8578")</f>
      </c>
      <c r="B7186" s="8" t="s">
        <v>6927</v>
      </c>
      <c r="C7186" s="9">
        <v>375</v>
      </c>
      <c r="D7186" s="0">
        <v>2</v>
      </c>
      <c r="E7186" s="10">
        <f>HYPERLINK("http://www.lingerieopt.ru/images/original/22889fa1-9c63-4512-ac99-03aa0077cc08.jpg","Фото")</f>
      </c>
    </row>
    <row r="7187">
      <c r="A7187" s="7">
        <f>HYPERLINK("http://www.lingerieopt.ru/item/8578-originalnje-trusiki-stringi-lazy-girl-plus-size-s-vjshivkoi/","8578")</f>
      </c>
      <c r="B7187" s="8" t="s">
        <v>6928</v>
      </c>
      <c r="C7187" s="9">
        <v>375</v>
      </c>
      <c r="D7187" s="0">
        <v>0</v>
      </c>
      <c r="E7187" s="10">
        <f>HYPERLINK("http://www.lingerieopt.ru/images/original/22889fa1-9c63-4512-ac99-03aa0077cc08.jpg","Фото")</f>
      </c>
    </row>
    <row r="7188">
      <c r="A7188" s="7">
        <f>HYPERLINK("http://www.lingerieopt.ru/item/8580-trusiki-stringi-alabastra-v-setku/","8580")</f>
      </c>
      <c r="B7188" s="8" t="s">
        <v>6929</v>
      </c>
      <c r="C7188" s="9">
        <v>455</v>
      </c>
      <c r="D7188" s="0">
        <v>2</v>
      </c>
      <c r="E7188" s="10">
        <f>HYPERLINK("http://www.lingerieopt.ru/images/original/3bafc80b-eee8-4474-ba64-b6b853e9edd8.jpg","Фото")</f>
      </c>
    </row>
    <row r="7189">
      <c r="A7189" s="7">
        <f>HYPERLINK("http://www.lingerieopt.ru/item/8580-trusiki-stringi-alabastra-v-setku/","8580")</f>
      </c>
      <c r="B7189" s="8" t="s">
        <v>6930</v>
      </c>
      <c r="C7189" s="9">
        <v>455</v>
      </c>
      <c r="D7189" s="0">
        <v>0</v>
      </c>
      <c r="E7189" s="10">
        <f>HYPERLINK("http://www.lingerieopt.ru/images/original/3bafc80b-eee8-4474-ba64-b6b853e9edd8.jpg","Фото")</f>
      </c>
    </row>
    <row r="7190">
      <c r="A7190" s="7">
        <f>HYPERLINK("http://www.lingerieopt.ru/item/8583-trusiki-oda-s-cvetochnjm-ornamentom-szadi/","8583")</f>
      </c>
      <c r="B7190" s="8" t="s">
        <v>6931</v>
      </c>
      <c r="C7190" s="9">
        <v>1134</v>
      </c>
      <c r="D7190" s="0">
        <v>1</v>
      </c>
      <c r="E7190" s="10">
        <f>HYPERLINK("http://www.lingerieopt.ru/images/original/642115e5-3ece-4180-a2ee-df0b34e253c9.jpg","Фото")</f>
      </c>
    </row>
    <row r="7191">
      <c r="A7191" s="7">
        <f>HYPERLINK("http://www.lingerieopt.ru/item/8583-trusiki-oda-s-cvetochnjm-ornamentom-szadi/","8583")</f>
      </c>
      <c r="B7191" s="8" t="s">
        <v>6932</v>
      </c>
      <c r="C7191" s="9">
        <v>1134</v>
      </c>
      <c r="D7191" s="0">
        <v>8</v>
      </c>
      <c r="E7191" s="10">
        <f>HYPERLINK("http://www.lingerieopt.ru/images/original/642115e5-3ece-4180-a2ee-df0b34e253c9.jpg","Фото")</f>
      </c>
    </row>
    <row r="7192">
      <c r="A7192" s="7">
        <f>HYPERLINK("http://www.lingerieopt.ru/item/8583-trusiki-oda-s-cvetochnjm-ornamentom-szadi/","8583")</f>
      </c>
      <c r="B7192" s="8" t="s">
        <v>6933</v>
      </c>
      <c r="C7192" s="9">
        <v>1134</v>
      </c>
      <c r="D7192" s="0">
        <v>0</v>
      </c>
      <c r="E7192" s="10">
        <f>HYPERLINK("http://www.lingerieopt.ru/images/original/642115e5-3ece-4180-a2ee-df0b34e253c9.jpg","Фото")</f>
      </c>
    </row>
    <row r="7193">
      <c r="A7193" s="7">
        <f>HYPERLINK("http://www.lingerieopt.ru/item/8583-trusiki-oda-s-cvetochnjm-ornamentom-szadi/","8583")</f>
      </c>
      <c r="B7193" s="8" t="s">
        <v>6934</v>
      </c>
      <c r="C7193" s="9">
        <v>1134</v>
      </c>
      <c r="D7193" s="0">
        <v>1</v>
      </c>
      <c r="E7193" s="10">
        <f>HYPERLINK("http://www.lingerieopt.ru/images/original/642115e5-3ece-4180-a2ee-df0b34e253c9.jpg","Фото")</f>
      </c>
    </row>
    <row r="7194">
      <c r="A7194" s="7">
        <f>HYPERLINK("http://www.lingerieopt.ru/item/8588-prozrachnje-trusiki-iva-s-krasnjm-bantom-na-pope/","8588")</f>
      </c>
      <c r="B7194" s="8" t="s">
        <v>6935</v>
      </c>
      <c r="C7194" s="9">
        <v>525</v>
      </c>
      <c r="D7194" s="0">
        <v>4</v>
      </c>
      <c r="E7194" s="10">
        <f>HYPERLINK("http://www.lingerieopt.ru/images/original/0a415e81-a715-4d59-8870-dc82b97896de.jpg","Фото")</f>
      </c>
    </row>
    <row r="7195">
      <c r="A7195" s="7">
        <f>HYPERLINK("http://www.lingerieopt.ru/item/8588-prozrachnje-trusiki-iva-s-krasnjm-bantom-na-pope/","8588")</f>
      </c>
      <c r="B7195" s="8" t="s">
        <v>6936</v>
      </c>
      <c r="C7195" s="9">
        <v>525</v>
      </c>
      <c r="D7195" s="0">
        <v>3</v>
      </c>
      <c r="E7195" s="10">
        <f>HYPERLINK("http://www.lingerieopt.ru/images/original/0a415e81-a715-4d59-8870-dc82b97896de.jpg","Фото")</f>
      </c>
    </row>
    <row r="7196">
      <c r="A7196" s="7">
        <f>HYPERLINK("http://www.lingerieopt.ru/item/8588-prozrachnje-trusiki-iva-s-krasnjm-bantom-na-pope/","8588")</f>
      </c>
      <c r="B7196" s="8" t="s">
        <v>6937</v>
      </c>
      <c r="C7196" s="9">
        <v>525</v>
      </c>
      <c r="D7196" s="0">
        <v>5</v>
      </c>
      <c r="E7196" s="10">
        <f>HYPERLINK("http://www.lingerieopt.ru/images/original/0a415e81-a715-4d59-8870-dc82b97896de.jpg","Фото")</f>
      </c>
    </row>
    <row r="7197">
      <c r="A7197" s="7">
        <f>HYPERLINK("http://www.lingerieopt.ru/item/8588-prozrachnje-trusiki-iva-s-krasnjm-bantom-na-pope/","8588")</f>
      </c>
      <c r="B7197" s="8" t="s">
        <v>6938</v>
      </c>
      <c r="C7197" s="9">
        <v>525</v>
      </c>
      <c r="D7197" s="0">
        <v>4</v>
      </c>
      <c r="E7197" s="10">
        <f>HYPERLINK("http://www.lingerieopt.ru/images/original/0a415e81-a715-4d59-8870-dc82b97896de.jpg","Фото")</f>
      </c>
    </row>
    <row r="7198">
      <c r="A7198" s="7">
        <f>HYPERLINK("http://www.lingerieopt.ru/item/8589-trusiki-iva-plus-size-s-krasnjm-bantom-na-popke/","8589")</f>
      </c>
      <c r="B7198" s="8" t="s">
        <v>6939</v>
      </c>
      <c r="C7198" s="9">
        <v>525</v>
      </c>
      <c r="D7198" s="0">
        <v>1</v>
      </c>
      <c r="E7198" s="10">
        <f>HYPERLINK("http://www.lingerieopt.ru/images/original/8e235be1-7cf0-4980-8dd4-257cbc29784d.jpg","Фото")</f>
      </c>
    </row>
    <row r="7199">
      <c r="A7199" s="7">
        <f>HYPERLINK("http://www.lingerieopt.ru/item/8589-trusiki-iva-plus-size-s-krasnjm-bantom-na-popke/","8589")</f>
      </c>
      <c r="B7199" s="8" t="s">
        <v>6940</v>
      </c>
      <c r="C7199" s="9">
        <v>525</v>
      </c>
      <c r="D7199" s="0">
        <v>0</v>
      </c>
      <c r="E7199" s="10">
        <f>HYPERLINK("http://www.lingerieopt.ru/images/original/8e235be1-7cf0-4980-8dd4-257cbc29784d.jpg","Фото")</f>
      </c>
    </row>
    <row r="7200">
      <c r="A7200" s="7">
        <f>HYPERLINK("http://www.lingerieopt.ru/item/8612-otkrjtje-trusiki-jill-plus-size-iz-nezhnogo-kruzheva/","8612")</f>
      </c>
      <c r="B7200" s="8" t="s">
        <v>6941</v>
      </c>
      <c r="C7200" s="9">
        <v>512</v>
      </c>
      <c r="D7200" s="0">
        <v>5</v>
      </c>
      <c r="E7200" s="10">
        <f>HYPERLINK("http://www.lingerieopt.ru/images/original/96ab0446-476c-48c5-b41d-ec1743cee217.jpg","Фото")</f>
      </c>
    </row>
    <row r="7201">
      <c r="A7201" s="7">
        <f>HYPERLINK("http://www.lingerieopt.ru/item/8612-otkrjtje-trusiki-jill-plus-size-iz-nezhnogo-kruzheva/","8612")</f>
      </c>
      <c r="B7201" s="8" t="s">
        <v>6942</v>
      </c>
      <c r="C7201" s="9">
        <v>512</v>
      </c>
      <c r="D7201" s="0">
        <v>4</v>
      </c>
      <c r="E7201" s="10">
        <f>HYPERLINK("http://www.lingerieopt.ru/images/original/96ab0446-476c-48c5-b41d-ec1743cee217.jpg","Фото")</f>
      </c>
    </row>
    <row r="7202">
      <c r="A7202" s="7">
        <f>HYPERLINK("http://www.lingerieopt.ru/item/8623-trusiki-stringi-s-ryushami-lillove/","8623")</f>
      </c>
      <c r="B7202" s="8" t="s">
        <v>6943</v>
      </c>
      <c r="C7202" s="9">
        <v>635</v>
      </c>
      <c r="D7202" s="0">
        <v>5</v>
      </c>
      <c r="E7202" s="10">
        <f>HYPERLINK("http://www.lingerieopt.ru/images/original/c89284f9-b960-4ea7-87ba-77d1e5c3e58c.jpg","Фото")</f>
      </c>
    </row>
    <row r="7203">
      <c r="A7203" s="7">
        <f>HYPERLINK("http://www.lingerieopt.ru/item/8623-trusiki-stringi-s-ryushami-lillove/","8623")</f>
      </c>
      <c r="B7203" s="8" t="s">
        <v>6944</v>
      </c>
      <c r="C7203" s="9">
        <v>635</v>
      </c>
      <c r="D7203" s="0">
        <v>5</v>
      </c>
      <c r="E7203" s="10">
        <f>HYPERLINK("http://www.lingerieopt.ru/images/original/c89284f9-b960-4ea7-87ba-77d1e5c3e58c.jpg","Фото")</f>
      </c>
    </row>
    <row r="7204">
      <c r="A7204" s="7">
        <f>HYPERLINK("http://www.lingerieopt.ru/item/8624-originalnje-trusiki-stringi-gloria/","8624")</f>
      </c>
      <c r="B7204" s="8" t="s">
        <v>6945</v>
      </c>
      <c r="C7204" s="9">
        <v>212</v>
      </c>
      <c r="D7204" s="0">
        <v>5</v>
      </c>
      <c r="E7204" s="10">
        <f>HYPERLINK("http://www.lingerieopt.ru/images/original/3c438a88-c4a3-45f9-ba94-740011097d56.jpg","Фото")</f>
      </c>
    </row>
    <row r="7205">
      <c r="A7205" s="7">
        <f>HYPERLINK("http://www.lingerieopt.ru/item/8624-originalnje-trusiki-stringi-gloria/","8624")</f>
      </c>
      <c r="B7205" s="8" t="s">
        <v>6946</v>
      </c>
      <c r="C7205" s="9">
        <v>212</v>
      </c>
      <c r="D7205" s="0">
        <v>5</v>
      </c>
      <c r="E7205" s="10">
        <f>HYPERLINK("http://www.lingerieopt.ru/images/original/3c438a88-c4a3-45f9-ba94-740011097d56.jpg","Фото")</f>
      </c>
    </row>
    <row r="7206">
      <c r="A7206" s="7">
        <f>HYPERLINK("http://www.lingerieopt.ru/item/8624-originalnje-trusiki-stringi-gloria/","8624")</f>
      </c>
      <c r="B7206" s="8" t="s">
        <v>6947</v>
      </c>
      <c r="C7206" s="9">
        <v>212</v>
      </c>
      <c r="D7206" s="0">
        <v>1</v>
      </c>
      <c r="E7206" s="10">
        <f>HYPERLINK("http://www.lingerieopt.ru/images/original/3c438a88-c4a3-45f9-ba94-740011097d56.jpg","Фото")</f>
      </c>
    </row>
    <row r="7207">
      <c r="A7207" s="7">
        <f>HYPERLINK("http://www.lingerieopt.ru/item/8624-originalnje-trusiki-stringi-gloria/","8624")</f>
      </c>
      <c r="B7207" s="8" t="s">
        <v>6948</v>
      </c>
      <c r="C7207" s="9">
        <v>212</v>
      </c>
      <c r="D7207" s="0">
        <v>2</v>
      </c>
      <c r="E7207" s="10">
        <f>HYPERLINK("http://www.lingerieopt.ru/images/original/3c438a88-c4a3-45f9-ba94-740011097d56.jpg","Фото")</f>
      </c>
    </row>
    <row r="7208">
      <c r="A7208" s="7">
        <f>HYPERLINK("http://www.lingerieopt.ru/item/8627-trusiki-stringi-medea-s-okoshkom-i-podveskoi/","8627")</f>
      </c>
      <c r="B7208" s="8" t="s">
        <v>6949</v>
      </c>
      <c r="C7208" s="9">
        <v>512</v>
      </c>
      <c r="D7208" s="0">
        <v>0</v>
      </c>
      <c r="E7208" s="10">
        <f>HYPERLINK("http://www.lingerieopt.ru/images/original/87abf3c0-7fb0-4eef-ad49-fe09a8d0755d.jpg","Фото")</f>
      </c>
    </row>
    <row r="7209">
      <c r="A7209" s="7">
        <f>HYPERLINK("http://www.lingerieopt.ru/item/8627-trusiki-stringi-medea-s-okoshkom-i-podveskoi/","8627")</f>
      </c>
      <c r="B7209" s="8" t="s">
        <v>6950</v>
      </c>
      <c r="C7209" s="9">
        <v>512</v>
      </c>
      <c r="D7209" s="0">
        <v>1</v>
      </c>
      <c r="E7209" s="10">
        <f>HYPERLINK("http://www.lingerieopt.ru/images/original/87abf3c0-7fb0-4eef-ad49-fe09a8d0755d.jpg","Фото")</f>
      </c>
    </row>
    <row r="7210">
      <c r="A7210" s="7">
        <f>HYPERLINK("http://www.lingerieopt.ru/item/8627-trusiki-stringi-medea-s-okoshkom-i-podveskoi/","8627")</f>
      </c>
      <c r="B7210" s="8" t="s">
        <v>6951</v>
      </c>
      <c r="C7210" s="9">
        <v>512</v>
      </c>
      <c r="D7210" s="0">
        <v>0</v>
      </c>
      <c r="E7210" s="10">
        <f>HYPERLINK("http://www.lingerieopt.ru/images/original/87abf3c0-7fb0-4eef-ad49-fe09a8d0755d.jpg","Фото")</f>
      </c>
    </row>
    <row r="7211">
      <c r="A7211" s="7">
        <f>HYPERLINK("http://www.lingerieopt.ru/item/8627-trusiki-stringi-medea-s-okoshkom-i-podveskoi/","8627")</f>
      </c>
      <c r="B7211" s="8" t="s">
        <v>6952</v>
      </c>
      <c r="C7211" s="9">
        <v>512</v>
      </c>
      <c r="D7211" s="0">
        <v>0</v>
      </c>
      <c r="E7211" s="10">
        <f>HYPERLINK("http://www.lingerieopt.ru/images/original/87abf3c0-7fb0-4eef-ad49-fe09a8d0755d.jpg","Фото")</f>
      </c>
    </row>
    <row r="7212">
      <c r="A7212" s="7">
        <f>HYPERLINK("http://www.lingerieopt.ru/item/8644-shortiki-abby-s-bantom-i-oborkami/","8644")</f>
      </c>
      <c r="B7212" s="8" t="s">
        <v>6953</v>
      </c>
      <c r="C7212" s="9">
        <v>512</v>
      </c>
      <c r="D7212" s="0">
        <v>5</v>
      </c>
      <c r="E7212" s="10">
        <f>HYPERLINK("http://www.lingerieopt.ru/images/original/65a32cbf-f890-4c05-95e0-ff7821440631.jpg","Фото")</f>
      </c>
    </row>
    <row r="7213">
      <c r="A7213" s="7">
        <f>HYPERLINK("http://www.lingerieopt.ru/item/8644-shortiki-abby-s-bantom-i-oborkami/","8644")</f>
      </c>
      <c r="B7213" s="8" t="s">
        <v>6954</v>
      </c>
      <c r="C7213" s="9">
        <v>512</v>
      </c>
      <c r="D7213" s="0">
        <v>6</v>
      </c>
      <c r="E7213" s="10">
        <f>HYPERLINK("http://www.lingerieopt.ru/images/original/65a32cbf-f890-4c05-95e0-ff7821440631.jpg","Фото")</f>
      </c>
    </row>
    <row r="7214">
      <c r="A7214" s="7">
        <f>HYPERLINK("http://www.lingerieopt.ru/item/8644-shortiki-abby-s-bantom-i-oborkami/","8644")</f>
      </c>
      <c r="B7214" s="8" t="s">
        <v>6955</v>
      </c>
      <c r="C7214" s="9">
        <v>512</v>
      </c>
      <c r="D7214" s="0">
        <v>3</v>
      </c>
      <c r="E7214" s="10">
        <f>HYPERLINK("http://www.lingerieopt.ru/images/original/65a32cbf-f890-4c05-95e0-ff7821440631.jpg","Фото")</f>
      </c>
    </row>
    <row r="7215">
      <c r="A7215" s="7">
        <f>HYPERLINK("http://www.lingerieopt.ru/item/8644-shortiki-abby-s-bantom-i-oborkami/","8644")</f>
      </c>
      <c r="B7215" s="8" t="s">
        <v>6956</v>
      </c>
      <c r="C7215" s="9">
        <v>512</v>
      </c>
      <c r="D7215" s="0">
        <v>2</v>
      </c>
      <c r="E7215" s="10">
        <f>HYPERLINK("http://www.lingerieopt.ru/images/original/65a32cbf-f890-4c05-95e0-ff7821440631.jpg","Фото")</f>
      </c>
    </row>
    <row r="7216">
      <c r="A7216" s="7">
        <f>HYPERLINK("http://www.lingerieopt.ru/item/8644-shortiki-abby-s-bantom-i-oborkami/","8644")</f>
      </c>
      <c r="B7216" s="8" t="s">
        <v>6957</v>
      </c>
      <c r="C7216" s="9">
        <v>512</v>
      </c>
      <c r="D7216" s="0">
        <v>1</v>
      </c>
      <c r="E7216" s="10">
        <f>HYPERLINK("http://www.lingerieopt.ru/images/original/65a32cbf-f890-4c05-95e0-ff7821440631.jpg","Фото")</f>
      </c>
    </row>
    <row r="7217">
      <c r="A7217" s="7">
        <f>HYPERLINK("http://www.lingerieopt.ru/item/8644-shortiki-abby-s-bantom-i-oborkami/","8644")</f>
      </c>
      <c r="B7217" s="8" t="s">
        <v>6958</v>
      </c>
      <c r="C7217" s="9">
        <v>512</v>
      </c>
      <c r="D7217" s="0">
        <v>2</v>
      </c>
      <c r="E7217" s="10">
        <f>HYPERLINK("http://www.lingerieopt.ru/images/original/65a32cbf-f890-4c05-95e0-ff7821440631.jpg","Фото")</f>
      </c>
    </row>
    <row r="7218">
      <c r="A7218" s="7">
        <f>HYPERLINK("http://www.lingerieopt.ru/item/8644-shortiki-abby-s-bantom-i-oborkami/","8644")</f>
      </c>
      <c r="B7218" s="8" t="s">
        <v>6959</v>
      </c>
      <c r="C7218" s="9">
        <v>512</v>
      </c>
      <c r="D7218" s="0">
        <v>5</v>
      </c>
      <c r="E7218" s="10">
        <f>HYPERLINK("http://www.lingerieopt.ru/images/original/65a32cbf-f890-4c05-95e0-ff7821440631.jpg","Фото")</f>
      </c>
    </row>
    <row r="7219">
      <c r="A7219" s="7">
        <f>HYPERLINK("http://www.lingerieopt.ru/item/8644-shortiki-abby-s-bantom-i-oborkami/","8644")</f>
      </c>
      <c r="B7219" s="8" t="s">
        <v>6960</v>
      </c>
      <c r="C7219" s="9">
        <v>512</v>
      </c>
      <c r="D7219" s="0">
        <v>1</v>
      </c>
      <c r="E7219" s="10">
        <f>HYPERLINK("http://www.lingerieopt.ru/images/original/65a32cbf-f890-4c05-95e0-ff7821440631.jpg","Фото")</f>
      </c>
    </row>
    <row r="7220">
      <c r="A7220" s="7">
        <f>HYPERLINK("http://www.lingerieopt.ru/item/8644-shortiki-abby-s-bantom-i-oborkami/","8644")</f>
      </c>
      <c r="B7220" s="8" t="s">
        <v>6961</v>
      </c>
      <c r="C7220" s="9">
        <v>512</v>
      </c>
      <c r="D7220" s="0">
        <v>3</v>
      </c>
      <c r="E7220" s="10">
        <f>HYPERLINK("http://www.lingerieopt.ru/images/original/65a32cbf-f890-4c05-95e0-ff7821440631.jpg","Фото")</f>
      </c>
    </row>
    <row r="7221">
      <c r="A7221" s="7">
        <f>HYPERLINK("http://www.lingerieopt.ru/item/8644-shortiki-abby-s-bantom-i-oborkami/","8644")</f>
      </c>
      <c r="B7221" s="8" t="s">
        <v>6962</v>
      </c>
      <c r="C7221" s="9">
        <v>512</v>
      </c>
      <c r="D7221" s="0">
        <v>5</v>
      </c>
      <c r="E7221" s="10">
        <f>HYPERLINK("http://www.lingerieopt.ru/images/original/65a32cbf-f890-4c05-95e0-ff7821440631.jpg","Фото")</f>
      </c>
    </row>
    <row r="7222">
      <c r="A7222" s="7">
        <f>HYPERLINK("http://www.lingerieopt.ru/item/8644-shortiki-abby-s-bantom-i-oborkami/","8644")</f>
      </c>
      <c r="B7222" s="8" t="s">
        <v>6963</v>
      </c>
      <c r="C7222" s="9">
        <v>512</v>
      </c>
      <c r="D7222" s="0">
        <v>4</v>
      </c>
      <c r="E7222" s="10">
        <f>HYPERLINK("http://www.lingerieopt.ru/images/original/65a32cbf-f890-4c05-95e0-ff7821440631.jpg","Фото")</f>
      </c>
    </row>
    <row r="7223">
      <c r="A7223" s="7">
        <f>HYPERLINK("http://www.lingerieopt.ru/item/8644-shortiki-abby-s-bantom-i-oborkami/","8644")</f>
      </c>
      <c r="B7223" s="8" t="s">
        <v>6964</v>
      </c>
      <c r="C7223" s="9">
        <v>512</v>
      </c>
      <c r="D7223" s="0">
        <v>3</v>
      </c>
      <c r="E7223" s="10">
        <f>HYPERLINK("http://www.lingerieopt.ru/images/original/65a32cbf-f890-4c05-95e0-ff7821440631.jpg","Фото")</f>
      </c>
    </row>
    <row r="7224">
      <c r="A7224" s="7">
        <f>HYPERLINK("http://www.lingerieopt.ru/item/8644-shortiki-abby-s-bantom-i-oborkami/","8644")</f>
      </c>
      <c r="B7224" s="8" t="s">
        <v>6965</v>
      </c>
      <c r="C7224" s="9">
        <v>512</v>
      </c>
      <c r="D7224" s="0">
        <v>5</v>
      </c>
      <c r="E7224" s="10">
        <f>HYPERLINK("http://www.lingerieopt.ru/images/original/65a32cbf-f890-4c05-95e0-ff7821440631.jpg","Фото")</f>
      </c>
    </row>
    <row r="7225">
      <c r="A7225" s="7">
        <f>HYPERLINK("http://www.lingerieopt.ru/item/8644-shortiki-abby-s-bantom-i-oborkami/","8644")</f>
      </c>
      <c r="B7225" s="8" t="s">
        <v>6966</v>
      </c>
      <c r="C7225" s="9">
        <v>512</v>
      </c>
      <c r="D7225" s="0">
        <v>6</v>
      </c>
      <c r="E7225" s="10">
        <f>HYPERLINK("http://www.lingerieopt.ru/images/original/65a32cbf-f890-4c05-95e0-ff7821440631.jpg","Фото")</f>
      </c>
    </row>
    <row r="7226">
      <c r="A7226" s="7">
        <f>HYPERLINK("http://www.lingerieopt.ru/item/8644-shortiki-abby-s-bantom-i-oborkami/","8644")</f>
      </c>
      <c r="B7226" s="8" t="s">
        <v>6967</v>
      </c>
      <c r="C7226" s="9">
        <v>512</v>
      </c>
      <c r="D7226" s="0">
        <v>3</v>
      </c>
      <c r="E7226" s="10">
        <f>HYPERLINK("http://www.lingerieopt.ru/images/original/65a32cbf-f890-4c05-95e0-ff7821440631.jpg","Фото")</f>
      </c>
    </row>
    <row r="7227">
      <c r="A7227" s="7">
        <f>HYPERLINK("http://www.lingerieopt.ru/item/8644-shortiki-abby-s-bantom-i-oborkami/","8644")</f>
      </c>
      <c r="B7227" s="8" t="s">
        <v>6968</v>
      </c>
      <c r="C7227" s="9">
        <v>512</v>
      </c>
      <c r="D7227" s="0">
        <v>8</v>
      </c>
      <c r="E7227" s="10">
        <f>HYPERLINK("http://www.lingerieopt.ru/images/original/65a32cbf-f890-4c05-95e0-ff7821440631.jpg","Фото")</f>
      </c>
    </row>
    <row r="7228">
      <c r="A7228" s="7">
        <f>HYPERLINK("http://www.lingerieopt.ru/item/8645-kruzhevnje-shortiki-abby-plus-size/","8645")</f>
      </c>
      <c r="B7228" s="8" t="s">
        <v>6969</v>
      </c>
      <c r="C7228" s="9">
        <v>512</v>
      </c>
      <c r="D7228" s="0">
        <v>0</v>
      </c>
      <c r="E7228" s="10">
        <f>HYPERLINK("http://www.lingerieopt.ru/images/original/8018bd99-6083-44f5-b780-7171508a7d64.jpg","Фото")</f>
      </c>
    </row>
    <row r="7229">
      <c r="A7229" s="7">
        <f>HYPERLINK("http://www.lingerieopt.ru/item/8645-kruzhevnje-shortiki-abby-plus-size/","8645")</f>
      </c>
      <c r="B7229" s="8" t="s">
        <v>6970</v>
      </c>
      <c r="C7229" s="9">
        <v>512</v>
      </c>
      <c r="D7229" s="0">
        <v>0</v>
      </c>
      <c r="E7229" s="10">
        <f>HYPERLINK("http://www.lingerieopt.ru/images/original/8018bd99-6083-44f5-b780-7171508a7d64.jpg","Фото")</f>
      </c>
    </row>
    <row r="7230">
      <c r="A7230" s="7">
        <f>HYPERLINK("http://www.lingerieopt.ru/item/8645-kruzhevnje-shortiki-abby-plus-size/","8645")</f>
      </c>
      <c r="B7230" s="8" t="s">
        <v>6971</v>
      </c>
      <c r="C7230" s="9">
        <v>512</v>
      </c>
      <c r="D7230" s="0">
        <v>0</v>
      </c>
      <c r="E7230" s="10">
        <f>HYPERLINK("http://www.lingerieopt.ru/images/original/8018bd99-6083-44f5-b780-7171508a7d64.jpg","Фото")</f>
      </c>
    </row>
    <row r="7231">
      <c r="A7231" s="7">
        <f>HYPERLINK("http://www.lingerieopt.ru/item/8645-kruzhevnje-shortiki-abby-plus-size/","8645")</f>
      </c>
      <c r="B7231" s="8" t="s">
        <v>6972</v>
      </c>
      <c r="C7231" s="9">
        <v>512</v>
      </c>
      <c r="D7231" s="0">
        <v>0</v>
      </c>
      <c r="E7231" s="10">
        <f>HYPERLINK("http://www.lingerieopt.ru/images/original/8018bd99-6083-44f5-b780-7171508a7d64.jpg","Фото")</f>
      </c>
    </row>
    <row r="7232">
      <c r="A7232" s="7">
        <f>HYPERLINK("http://www.lingerieopt.ru/item/8645-kruzhevnje-shortiki-abby-plus-size/","8645")</f>
      </c>
      <c r="B7232" s="8" t="s">
        <v>6973</v>
      </c>
      <c r="C7232" s="9">
        <v>512</v>
      </c>
      <c r="D7232" s="0">
        <v>0</v>
      </c>
      <c r="E7232" s="10">
        <f>HYPERLINK("http://www.lingerieopt.ru/images/original/8018bd99-6083-44f5-b780-7171508a7d64.jpg","Фото")</f>
      </c>
    </row>
    <row r="7233">
      <c r="A7233" s="7">
        <f>HYPERLINK("http://www.lingerieopt.ru/item/8645-kruzhevnje-shortiki-abby-plus-size/","8645")</f>
      </c>
      <c r="B7233" s="8" t="s">
        <v>6974</v>
      </c>
      <c r="C7233" s="9">
        <v>512</v>
      </c>
      <c r="D7233" s="0">
        <v>1</v>
      </c>
      <c r="E7233" s="10">
        <f>HYPERLINK("http://www.lingerieopt.ru/images/original/8018bd99-6083-44f5-b780-7171508a7d64.jpg","Фото")</f>
      </c>
    </row>
    <row r="7234">
      <c r="A7234" s="7">
        <f>HYPERLINK("http://www.lingerieopt.ru/item/8645-kruzhevnje-shortiki-abby-plus-size/","8645")</f>
      </c>
      <c r="B7234" s="8" t="s">
        <v>6975</v>
      </c>
      <c r="C7234" s="9">
        <v>512</v>
      </c>
      <c r="D7234" s="0">
        <v>0</v>
      </c>
      <c r="E7234" s="10">
        <f>HYPERLINK("http://www.lingerieopt.ru/images/original/8018bd99-6083-44f5-b780-7171508a7d64.jpg","Фото")</f>
      </c>
    </row>
    <row r="7235">
      <c r="A7235" s="7">
        <f>HYPERLINK("http://www.lingerieopt.ru/item/8645-kruzhevnje-shortiki-abby-plus-size/","8645")</f>
      </c>
      <c r="B7235" s="8" t="s">
        <v>6976</v>
      </c>
      <c r="C7235" s="9">
        <v>512</v>
      </c>
      <c r="D7235" s="0">
        <v>0</v>
      </c>
      <c r="E7235" s="10">
        <f>HYPERLINK("http://www.lingerieopt.ru/images/original/8018bd99-6083-44f5-b780-7171508a7d64.jpg","Фото")</f>
      </c>
    </row>
    <row r="7236">
      <c r="A7236" s="7">
        <f>HYPERLINK("http://www.lingerieopt.ru/item/8648-kruzhevnje-trusiki-anche/","8648")</f>
      </c>
      <c r="B7236" s="8" t="s">
        <v>6977</v>
      </c>
      <c r="C7236" s="9">
        <v>673</v>
      </c>
      <c r="D7236" s="0">
        <v>4</v>
      </c>
      <c r="E7236" s="10">
        <f>HYPERLINK("http://www.lingerieopt.ru/images/original/fbf781b1-3260-4eb2-b441-5c3350d9d697.jpg","Фото")</f>
      </c>
    </row>
    <row r="7237">
      <c r="A7237" s="7">
        <f>HYPERLINK("http://www.lingerieopt.ru/item/8648-kruzhevnje-trusiki-anche/","8648")</f>
      </c>
      <c r="B7237" s="8" t="s">
        <v>6978</v>
      </c>
      <c r="C7237" s="9">
        <v>673</v>
      </c>
      <c r="D7237" s="0">
        <v>1</v>
      </c>
      <c r="E7237" s="10">
        <f>HYPERLINK("http://www.lingerieopt.ru/images/original/fbf781b1-3260-4eb2-b441-5c3350d9d697.jpg","Фото")</f>
      </c>
    </row>
    <row r="7238">
      <c r="A7238" s="7">
        <f>HYPERLINK("http://www.lingerieopt.ru/item/8648-kruzhevnje-trusiki-anche/","8648")</f>
      </c>
      <c r="B7238" s="8" t="s">
        <v>6979</v>
      </c>
      <c r="C7238" s="9">
        <v>673</v>
      </c>
      <c r="D7238" s="0">
        <v>2</v>
      </c>
      <c r="E7238" s="10">
        <f>HYPERLINK("http://www.lingerieopt.ru/images/original/fbf781b1-3260-4eb2-b441-5c3350d9d697.jpg","Фото")</f>
      </c>
    </row>
    <row r="7239">
      <c r="A7239" s="7">
        <f>HYPERLINK("http://www.lingerieopt.ru/item/8648-kruzhevnje-trusiki-anche/","8648")</f>
      </c>
      <c r="B7239" s="8" t="s">
        <v>6980</v>
      </c>
      <c r="C7239" s="9">
        <v>673</v>
      </c>
      <c r="D7239" s="0">
        <v>1</v>
      </c>
      <c r="E7239" s="10">
        <f>HYPERLINK("http://www.lingerieopt.ru/images/original/fbf781b1-3260-4eb2-b441-5c3350d9d697.jpg","Фото")</f>
      </c>
    </row>
    <row r="7240">
      <c r="A7240" s="7">
        <f>HYPERLINK("http://www.lingerieopt.ru/item/8652-otkrjtje-trusiki-stringi-s-businkami/","8652")</f>
      </c>
      <c r="B7240" s="8" t="s">
        <v>6981</v>
      </c>
      <c r="C7240" s="9">
        <v>587</v>
      </c>
      <c r="D7240" s="0">
        <v>9</v>
      </c>
      <c r="E7240" s="10">
        <f>HYPERLINK("http://www.lingerieopt.ru/images/original/60c0e574-c830-4e21-a70c-9bd5274938f2.jpg","Фото")</f>
      </c>
    </row>
    <row r="7241">
      <c r="A7241" s="7">
        <f>HYPERLINK("http://www.lingerieopt.ru/item/8652-otkrjtje-trusiki-stringi-s-businkami/","8652")</f>
      </c>
      <c r="B7241" s="8" t="s">
        <v>6982</v>
      </c>
      <c r="C7241" s="9">
        <v>587</v>
      </c>
      <c r="D7241" s="0">
        <v>2</v>
      </c>
      <c r="E7241" s="10">
        <f>HYPERLINK("http://www.lingerieopt.ru/images/original/60c0e574-c830-4e21-a70c-9bd5274938f2.jpg","Фото")</f>
      </c>
    </row>
    <row r="7242">
      <c r="A7242" s="7">
        <f>HYPERLINK("http://www.lingerieopt.ru/item/8655-azhurnje-trusiki-stringi-intensa/","8655")</f>
      </c>
      <c r="B7242" s="8" t="s">
        <v>6983</v>
      </c>
      <c r="C7242" s="9">
        <v>533</v>
      </c>
      <c r="D7242" s="0">
        <v>4</v>
      </c>
      <c r="E7242" s="10">
        <f>HYPERLINK("http://www.lingerieopt.ru/images/original/d1c86361-215f-45c5-aa7a-415f0ab0a022.jpg","Фото")</f>
      </c>
    </row>
    <row r="7243">
      <c r="A7243" s="7">
        <f>HYPERLINK("http://www.lingerieopt.ru/item/8655-azhurnje-trusiki-stringi-intensa/","8655")</f>
      </c>
      <c r="B7243" s="8" t="s">
        <v>6984</v>
      </c>
      <c r="C7243" s="9">
        <v>533</v>
      </c>
      <c r="D7243" s="0">
        <v>0</v>
      </c>
      <c r="E7243" s="10">
        <f>HYPERLINK("http://www.lingerieopt.ru/images/original/d1c86361-215f-45c5-aa7a-415f0ab0a022.jpg","Фото")</f>
      </c>
    </row>
    <row r="7244">
      <c r="A7244" s="7">
        <f>HYPERLINK("http://www.lingerieopt.ru/item/8659-trusiki-connie-plus-size-s-atlasnjmi-bantikami/","8659")</f>
      </c>
      <c r="B7244" s="8" t="s">
        <v>6985</v>
      </c>
      <c r="C7244" s="9">
        <v>525</v>
      </c>
      <c r="D7244" s="0">
        <v>1</v>
      </c>
      <c r="E7244" s="10">
        <f>HYPERLINK("http://www.lingerieopt.ru/images/original/37327425-b69d-4175-a12e-363970ddfafb.jpg","Фото")</f>
      </c>
    </row>
    <row r="7245">
      <c r="A7245" s="7">
        <f>HYPERLINK("http://www.lingerieopt.ru/item/8659-trusiki-connie-plus-size-s-atlasnjmi-bantikami/","8659")</f>
      </c>
      <c r="B7245" s="8" t="s">
        <v>6986</v>
      </c>
      <c r="C7245" s="9">
        <v>525</v>
      </c>
      <c r="D7245" s="0">
        <v>3</v>
      </c>
      <c r="E7245" s="10">
        <f>HYPERLINK("http://www.lingerieopt.ru/images/original/37327425-b69d-4175-a12e-363970ddfafb.jpg","Фото")</f>
      </c>
    </row>
    <row r="7246">
      <c r="A7246" s="7">
        <f>HYPERLINK("http://www.lingerieopt.ru/item/8660-kruzhevnje-trusiki-connie/","8660")</f>
      </c>
      <c r="B7246" s="8" t="s">
        <v>6987</v>
      </c>
      <c r="C7246" s="9">
        <v>525</v>
      </c>
      <c r="D7246" s="0">
        <v>0</v>
      </c>
      <c r="E7246" s="10">
        <f>HYPERLINK("http://www.lingerieopt.ru/images/original/c1344a88-4a77-4db8-8888-fc0ad5036f35.jpg","Фото")</f>
      </c>
    </row>
    <row r="7247">
      <c r="A7247" s="7">
        <f>HYPERLINK("http://www.lingerieopt.ru/item/8660-kruzhevnje-trusiki-connie/","8660")</f>
      </c>
      <c r="B7247" s="8" t="s">
        <v>6988</v>
      </c>
      <c r="C7247" s="9">
        <v>525</v>
      </c>
      <c r="D7247" s="0">
        <v>3</v>
      </c>
      <c r="E7247" s="10">
        <f>HYPERLINK("http://www.lingerieopt.ru/images/original/c1344a88-4a77-4db8-8888-fc0ad5036f35.jpg","Фото")</f>
      </c>
    </row>
    <row r="7248">
      <c r="A7248" s="7">
        <f>HYPERLINK("http://www.lingerieopt.ru/item/8660-kruzhevnje-trusiki-connie/","8660")</f>
      </c>
      <c r="B7248" s="8" t="s">
        <v>6989</v>
      </c>
      <c r="C7248" s="9">
        <v>525</v>
      </c>
      <c r="D7248" s="0">
        <v>2</v>
      </c>
      <c r="E7248" s="10">
        <f>HYPERLINK("http://www.lingerieopt.ru/images/original/c1344a88-4a77-4db8-8888-fc0ad5036f35.jpg","Фото")</f>
      </c>
    </row>
    <row r="7249">
      <c r="A7249" s="7">
        <f>HYPERLINK("http://www.lingerieopt.ru/item/8660-kruzhevnje-trusiki-connie/","8660")</f>
      </c>
      <c r="B7249" s="8" t="s">
        <v>6990</v>
      </c>
      <c r="C7249" s="9">
        <v>525</v>
      </c>
      <c r="D7249" s="0">
        <v>5</v>
      </c>
      <c r="E7249" s="10">
        <f>HYPERLINK("http://www.lingerieopt.ru/images/original/c1344a88-4a77-4db8-8888-fc0ad5036f35.jpg","Фото")</f>
      </c>
    </row>
    <row r="7250">
      <c r="A7250" s="7">
        <f>HYPERLINK("http://www.lingerieopt.ru/item/8686-krasnje-kruzhevnje-trusiki-slipj-aprilla-plus-size/","8686")</f>
      </c>
      <c r="B7250" s="8" t="s">
        <v>6991</v>
      </c>
      <c r="C7250" s="9">
        <v>744</v>
      </c>
      <c r="D7250" s="0">
        <v>0</v>
      </c>
      <c r="E7250" s="10">
        <f>HYPERLINK("http://www.lingerieopt.ru/images/original/fa060735-4bf5-4e47-92fd-3085857cf805.jpg","Фото")</f>
      </c>
    </row>
    <row r="7251">
      <c r="A7251" s="7">
        <f>HYPERLINK("http://www.lingerieopt.ru/item/8686-krasnje-kruzhevnje-trusiki-slipj-aprilla-plus-size/","8686")</f>
      </c>
      <c r="B7251" s="8" t="s">
        <v>6992</v>
      </c>
      <c r="C7251" s="9">
        <v>744</v>
      </c>
      <c r="D7251" s="0">
        <v>1</v>
      </c>
      <c r="E7251" s="10">
        <f>HYPERLINK("http://www.lingerieopt.ru/images/original/fa060735-4bf5-4e47-92fd-3085857cf805.jpg","Фото")</f>
      </c>
    </row>
    <row r="7252">
      <c r="A7252" s="7">
        <f>HYPERLINK("http://www.lingerieopt.ru/item/8702-azhurnje-trusiki-imagine-plus-size/","8702")</f>
      </c>
      <c r="B7252" s="8" t="s">
        <v>6993</v>
      </c>
      <c r="C7252" s="9">
        <v>720</v>
      </c>
      <c r="D7252" s="0">
        <v>2</v>
      </c>
      <c r="E7252" s="10">
        <f>HYPERLINK("http://www.lingerieopt.ru/images/original/b64ae2ff-1722-40dc-8c2d-a3fc8480e3ef.jpg","Фото")</f>
      </c>
    </row>
    <row r="7253">
      <c r="A7253" s="7">
        <f>HYPERLINK("http://www.lingerieopt.ru/item/8702-azhurnje-trusiki-imagine-plus-size/","8702")</f>
      </c>
      <c r="B7253" s="8" t="s">
        <v>6994</v>
      </c>
      <c r="C7253" s="9">
        <v>720</v>
      </c>
      <c r="D7253" s="0">
        <v>2</v>
      </c>
      <c r="E7253" s="10">
        <f>HYPERLINK("http://www.lingerieopt.ru/images/original/b64ae2ff-1722-40dc-8c2d-a3fc8480e3ef.jpg","Фото")</f>
      </c>
    </row>
    <row r="7254">
      <c r="A7254" s="7">
        <f>HYPERLINK("http://www.lingerieopt.ru/item/8705-soblaznitelnje-trusiki-stringi-cayenne/","8705")</f>
      </c>
      <c r="B7254" s="8" t="s">
        <v>6995</v>
      </c>
      <c r="C7254" s="9">
        <v>488</v>
      </c>
      <c r="D7254" s="0">
        <v>5</v>
      </c>
      <c r="E7254" s="10">
        <f>HYPERLINK("http://www.lingerieopt.ru/images/original/02321e62-8b71-44a0-8ca6-dea6be6a9318.jpg","Фото")</f>
      </c>
    </row>
    <row r="7255">
      <c r="A7255" s="7">
        <f>HYPERLINK("http://www.lingerieopt.ru/item/8705-soblaznitelnje-trusiki-stringi-cayenne/","8705")</f>
      </c>
      <c r="B7255" s="8" t="s">
        <v>6996</v>
      </c>
      <c r="C7255" s="9">
        <v>488</v>
      </c>
      <c r="D7255" s="0">
        <v>2</v>
      </c>
      <c r="E7255" s="10">
        <f>HYPERLINK("http://www.lingerieopt.ru/images/original/02321e62-8b71-44a0-8ca6-dea6be6a9318.jpg","Фото")</f>
      </c>
    </row>
    <row r="7256">
      <c r="A7256" s="7">
        <f>HYPERLINK("http://www.lingerieopt.ru/item/8705-soblaznitelnje-trusiki-stringi-cayenne/","8705")</f>
      </c>
      <c r="B7256" s="8" t="s">
        <v>6997</v>
      </c>
      <c r="C7256" s="9">
        <v>488</v>
      </c>
      <c r="D7256" s="0">
        <v>4</v>
      </c>
      <c r="E7256" s="10">
        <f>HYPERLINK("http://www.lingerieopt.ru/images/original/02321e62-8b71-44a0-8ca6-dea6be6a9318.jpg","Фото")</f>
      </c>
    </row>
    <row r="7257">
      <c r="A7257" s="7">
        <f>HYPERLINK("http://www.lingerieopt.ru/item/8705-soblaznitelnje-trusiki-stringi-cayenne/","8705")</f>
      </c>
      <c r="B7257" s="8" t="s">
        <v>6998</v>
      </c>
      <c r="C7257" s="9">
        <v>488</v>
      </c>
      <c r="D7257" s="0">
        <v>2</v>
      </c>
      <c r="E7257" s="10">
        <f>HYPERLINK("http://www.lingerieopt.ru/images/original/02321e62-8b71-44a0-8ca6-dea6be6a9318.jpg","Фото")</f>
      </c>
    </row>
    <row r="7258">
      <c r="A7258" s="7">
        <f>HYPERLINK("http://www.lingerieopt.ru/item/8706-poluprozrachnje-kruzhevnje-trusiki-stringi-kami/","8706")</f>
      </c>
      <c r="B7258" s="8" t="s">
        <v>6999</v>
      </c>
      <c r="C7258" s="9">
        <v>225</v>
      </c>
      <c r="D7258" s="0">
        <v>18</v>
      </c>
      <c r="E7258" s="10">
        <f>HYPERLINK("http://www.lingerieopt.ru/images/original/5fc1e3bf-aa74-4231-8404-df0b726cf143.jpg","Фото")</f>
      </c>
    </row>
    <row r="7259">
      <c r="A7259" s="7">
        <f>HYPERLINK("http://www.lingerieopt.ru/item/8706-poluprozrachnje-kruzhevnje-trusiki-stringi-kami/","8706")</f>
      </c>
      <c r="B7259" s="8" t="s">
        <v>7000</v>
      </c>
      <c r="C7259" s="9">
        <v>225</v>
      </c>
      <c r="D7259" s="0">
        <v>8</v>
      </c>
      <c r="E7259" s="10">
        <f>HYPERLINK("http://www.lingerieopt.ru/images/original/5fc1e3bf-aa74-4231-8404-df0b726cf143.jpg","Фото")</f>
      </c>
    </row>
    <row r="7260">
      <c r="A7260" s="7">
        <f>HYPERLINK("http://www.lingerieopt.ru/item/8706-poluprozrachnje-kruzhevnje-trusiki-stringi-kami/","8706")</f>
      </c>
      <c r="B7260" s="8" t="s">
        <v>7001</v>
      </c>
      <c r="C7260" s="9">
        <v>225</v>
      </c>
      <c r="D7260" s="0">
        <v>8</v>
      </c>
      <c r="E7260" s="10">
        <f>HYPERLINK("http://www.lingerieopt.ru/images/original/5fc1e3bf-aa74-4231-8404-df0b726cf143.jpg","Фото")</f>
      </c>
    </row>
    <row r="7261">
      <c r="A7261" s="7">
        <f>HYPERLINK("http://www.lingerieopt.ru/item/8706-poluprozrachnje-kruzhevnje-trusiki-stringi-kami/","8706")</f>
      </c>
      <c r="B7261" s="8" t="s">
        <v>7002</v>
      </c>
      <c r="C7261" s="9">
        <v>225</v>
      </c>
      <c r="D7261" s="0">
        <v>12</v>
      </c>
      <c r="E7261" s="10">
        <f>HYPERLINK("http://www.lingerieopt.ru/images/original/5fc1e3bf-aa74-4231-8404-df0b726cf143.jpg","Фото")</f>
      </c>
    </row>
    <row r="7262">
      <c r="A7262" s="7">
        <f>HYPERLINK("http://www.lingerieopt.ru/item/8709-elegantnje-belje-trusiki-peach/","8709")</f>
      </c>
      <c r="B7262" s="8" t="s">
        <v>7003</v>
      </c>
      <c r="C7262" s="9">
        <v>225</v>
      </c>
      <c r="D7262" s="0">
        <v>3</v>
      </c>
      <c r="E7262" s="10">
        <f>HYPERLINK("http://www.lingerieopt.ru/images/original/e8abf93c-6d2d-41f9-8385-693b97d938a9.jpg","Фото")</f>
      </c>
    </row>
    <row r="7263">
      <c r="A7263" s="7">
        <f>HYPERLINK("http://www.lingerieopt.ru/item/8709-elegantnje-belje-trusiki-peach/","8709")</f>
      </c>
      <c r="B7263" s="8" t="s">
        <v>7004</v>
      </c>
      <c r="C7263" s="9">
        <v>225</v>
      </c>
      <c r="D7263" s="0">
        <v>4</v>
      </c>
      <c r="E7263" s="10">
        <f>HYPERLINK("http://www.lingerieopt.ru/images/original/e8abf93c-6d2d-41f9-8385-693b97d938a9.jpg","Фото")</f>
      </c>
    </row>
    <row r="7264">
      <c r="A7264" s="7">
        <f>HYPERLINK("http://www.lingerieopt.ru/item/8709-elegantnje-belje-trusiki-peach/","8709")</f>
      </c>
      <c r="B7264" s="8" t="s">
        <v>7005</v>
      </c>
      <c r="C7264" s="9">
        <v>225</v>
      </c>
      <c r="D7264" s="0">
        <v>3</v>
      </c>
      <c r="E7264" s="10">
        <f>HYPERLINK("http://www.lingerieopt.ru/images/original/e8abf93c-6d2d-41f9-8385-693b97d938a9.jpg","Фото")</f>
      </c>
    </row>
    <row r="7265">
      <c r="A7265" s="7">
        <f>HYPERLINK("http://www.lingerieopt.ru/item/8709-elegantnje-belje-trusiki-peach/","8709")</f>
      </c>
      <c r="B7265" s="8" t="s">
        <v>7006</v>
      </c>
      <c r="C7265" s="9">
        <v>225</v>
      </c>
      <c r="D7265" s="0">
        <v>2</v>
      </c>
      <c r="E7265" s="10">
        <f>HYPERLINK("http://www.lingerieopt.ru/images/original/e8abf93c-6d2d-41f9-8385-693b97d938a9.jpg","Фото")</f>
      </c>
    </row>
    <row r="7266">
      <c r="A7266" s="7">
        <f>HYPERLINK("http://www.lingerieopt.ru/item/8860-trusiki-dominika-s-malenkimi-atlasnjmi-bantikami-i-intimnjm-dostupom/","8860")</f>
      </c>
      <c r="B7266" s="8" t="s">
        <v>7007</v>
      </c>
      <c r="C7266" s="9">
        <v>349</v>
      </c>
      <c r="D7266" s="0">
        <v>2</v>
      </c>
      <c r="E7266" s="10">
        <f>HYPERLINK("http://www.lingerieopt.ru/images/original/916e06df-1845-41fe-8a68-3df53a5a88e8.jpg","Фото")</f>
      </c>
    </row>
    <row r="7267">
      <c r="A7267" s="7">
        <f>HYPERLINK("http://www.lingerieopt.ru/item/8860-trusiki-dominika-s-malenkimi-atlasnjmi-bantikami-i-intimnjm-dostupom/","8860")</f>
      </c>
      <c r="B7267" s="8" t="s">
        <v>7008</v>
      </c>
      <c r="C7267" s="9">
        <v>349</v>
      </c>
      <c r="D7267" s="0">
        <v>5</v>
      </c>
      <c r="E7267" s="10">
        <f>HYPERLINK("http://www.lingerieopt.ru/images/original/916e06df-1845-41fe-8a68-3df53a5a88e8.jpg","Фото")</f>
      </c>
    </row>
    <row r="7268">
      <c r="A7268" s="7">
        <f>HYPERLINK("http://www.lingerieopt.ru/item/8860-trusiki-dominika-s-malenkimi-atlasnjmi-bantikami-i-intimnjm-dostupom/","8860")</f>
      </c>
      <c r="B7268" s="8" t="s">
        <v>7009</v>
      </c>
      <c r="C7268" s="9">
        <v>349</v>
      </c>
      <c r="D7268" s="0">
        <v>1</v>
      </c>
      <c r="E7268" s="10">
        <f>HYPERLINK("http://www.lingerieopt.ru/images/original/916e06df-1845-41fe-8a68-3df53a5a88e8.jpg","Фото")</f>
      </c>
    </row>
    <row r="7269">
      <c r="A7269" s="7">
        <f>HYPERLINK("http://www.lingerieopt.ru/item/8888-trusiki-stringi-carmelove-plus-size-s-kruzhevami/","8888")</f>
      </c>
      <c r="B7269" s="8" t="s">
        <v>7010</v>
      </c>
      <c r="C7269" s="9">
        <v>612</v>
      </c>
      <c r="D7269" s="0">
        <v>1</v>
      </c>
      <c r="E7269" s="10">
        <f>HYPERLINK("http://www.lingerieopt.ru/images/original/0201f897-0fe9-493b-ae8f-a3f40ac75cb9.jpg","Фото")</f>
      </c>
    </row>
    <row r="7270">
      <c r="A7270" s="7">
        <f>HYPERLINK("http://www.lingerieopt.ru/item/8953-otkrjtje-trusiki-merossa/","8953")</f>
      </c>
      <c r="B7270" s="8" t="s">
        <v>7011</v>
      </c>
      <c r="C7270" s="9">
        <v>612</v>
      </c>
      <c r="D7270" s="0">
        <v>0</v>
      </c>
      <c r="E7270" s="10">
        <f>HYPERLINK("http://www.lingerieopt.ru/images/original/9f9fa010-2ab7-4c02-be3d-31fd1f9c582c.jpg","Фото")</f>
      </c>
    </row>
    <row r="7271">
      <c r="A7271" s="7">
        <f>HYPERLINK("http://www.lingerieopt.ru/item/8953-otkrjtje-trusiki-merossa/","8953")</f>
      </c>
      <c r="B7271" s="8" t="s">
        <v>7012</v>
      </c>
      <c r="C7271" s="9">
        <v>612</v>
      </c>
      <c r="D7271" s="0">
        <v>6</v>
      </c>
      <c r="E7271" s="10">
        <f>HYPERLINK("http://www.lingerieopt.ru/images/original/9f9fa010-2ab7-4c02-be3d-31fd1f9c582c.jpg","Фото")</f>
      </c>
    </row>
    <row r="7272">
      <c r="A7272" s="7">
        <f>HYPERLINK("http://www.lingerieopt.ru/item/9000-igrivje-belje-trusiki-plus-size-s-dostupom-i-nezhnoi-yubochkoi/","9000")</f>
      </c>
      <c r="B7272" s="8" t="s">
        <v>7013</v>
      </c>
      <c r="C7272" s="9">
        <v>389</v>
      </c>
      <c r="D7272" s="0">
        <v>10</v>
      </c>
      <c r="E7272" s="10">
        <f>HYPERLINK("http://www.lingerieopt.ru/images/original/8145f04f-50fb-426a-9393-d1e19f147ebe.jpg","Фото")</f>
      </c>
    </row>
    <row r="7273">
      <c r="A7273" s="7">
        <f>HYPERLINK("http://www.lingerieopt.ru/item/9002-nezhnje-trusiki-plus-size-s-dostupom-i-cvetochnjm-kruzhevom/","9002")</f>
      </c>
      <c r="B7273" s="8" t="s">
        <v>7014</v>
      </c>
      <c r="C7273" s="9">
        <v>354</v>
      </c>
      <c r="D7273" s="0">
        <v>15</v>
      </c>
      <c r="E7273" s="10">
        <f>HYPERLINK("http://www.lingerieopt.ru/images/original/145f9e59-642b-4e5e-8ef9-bfb2ea95f739.jpg","Фото")</f>
      </c>
    </row>
    <row r="7274">
      <c r="A7274" s="7">
        <f>HYPERLINK("http://www.lingerieopt.ru/item/9003-trusiki-plus-size-iz-myagkoi-setki-s-intimnjm-dostupom-i-manyaschei-kistochkoi/","9003")</f>
      </c>
      <c r="B7274" s="8" t="s">
        <v>7015</v>
      </c>
      <c r="C7274" s="9">
        <v>342</v>
      </c>
      <c r="D7274" s="0">
        <v>8</v>
      </c>
      <c r="E7274" s="10">
        <f>HYPERLINK("http://www.lingerieopt.ru/images/original/7bbb8e0a-2a69-43fe-9231-2f0af5127603.jpg","Фото")</f>
      </c>
    </row>
    <row r="7275">
      <c r="A7275" s="7">
        <f>HYPERLINK("http://www.lingerieopt.ru/item/9004-utonchennje-chernje-trusiki-plus-size-s-dostupom-i-nezhnoi-yubochkoi/","9004")</f>
      </c>
      <c r="B7275" s="8" t="s">
        <v>7016</v>
      </c>
      <c r="C7275" s="9">
        <v>331</v>
      </c>
      <c r="D7275" s="0">
        <v>8</v>
      </c>
      <c r="E7275" s="10">
        <f>HYPERLINK("http://www.lingerieopt.ru/images/original/e8d7be33-fc7a-41a7-aca2-2c7f0e75320b.jpg","Фото")</f>
      </c>
    </row>
    <row r="7276">
      <c r="A7276" s="7">
        <f>HYPERLINK("http://www.lingerieopt.ru/item/9006-klassnje-trusiki-plus-size-s-dostupom-i-akkuratnjmi-bantikami/","9006")</f>
      </c>
      <c r="B7276" s="8" t="s">
        <v>7017</v>
      </c>
      <c r="C7276" s="9">
        <v>563</v>
      </c>
      <c r="D7276" s="0">
        <v>9</v>
      </c>
      <c r="E7276" s="10">
        <f>HYPERLINK("http://www.lingerieopt.ru/images/original/1393b412-2ca8-4b7b-9ddb-c1c09751c4c8.jpg","Фото")</f>
      </c>
    </row>
    <row r="7277">
      <c r="A7277" s="7">
        <f>HYPERLINK("http://www.lingerieopt.ru/item/9015-kruzhevnoi-poyas-dlya-chulok-v-komplekte-s-trusikami-stringami/","9015")</f>
      </c>
      <c r="B7277" s="8" t="s">
        <v>7018</v>
      </c>
      <c r="C7277" s="9">
        <v>776</v>
      </c>
      <c r="D7277" s="0">
        <v>6</v>
      </c>
      <c r="E7277" s="10">
        <f>HYPERLINK("http://www.lingerieopt.ru/images/original/b5537d90-b1ec-4388-ba7b-4d79f0f142f5.jpg","Фото")</f>
      </c>
    </row>
    <row r="7278">
      <c r="A7278" s="7">
        <f>HYPERLINK("http://www.lingerieopt.ru/item/9015-kruzhevnoi-poyas-dlya-chulok-v-komplekte-s-trusikami-stringami/","9015")</f>
      </c>
      <c r="B7278" s="8" t="s">
        <v>7019</v>
      </c>
      <c r="C7278" s="9">
        <v>776</v>
      </c>
      <c r="D7278" s="0">
        <v>0</v>
      </c>
      <c r="E7278" s="10">
        <f>HYPERLINK("http://www.lingerieopt.ru/images/original/b5537d90-b1ec-4388-ba7b-4d79f0f142f5.jpg","Фото")</f>
      </c>
    </row>
    <row r="7279">
      <c r="A7279" s="7">
        <f>HYPERLINK("http://www.lingerieopt.ru/item/9053-trusiki-liberty-s-vjsokoi-posadkoi/","9053")</f>
      </c>
      <c r="B7279" s="8" t="s">
        <v>7020</v>
      </c>
      <c r="C7279" s="9">
        <v>483</v>
      </c>
      <c r="D7279" s="0">
        <v>11</v>
      </c>
      <c r="E7279" s="10">
        <f>HYPERLINK("http://www.lingerieopt.ru/images/original/bc578e23-4a73-4189-a9d7-9ad4c17ac0d1.jpg","Фото")</f>
      </c>
    </row>
    <row r="7280">
      <c r="A7280" s="7">
        <f>HYPERLINK("http://www.lingerieopt.ru/item/9053-trusiki-liberty-s-vjsokoi-posadkoi/","9053")</f>
      </c>
      <c r="B7280" s="8" t="s">
        <v>7021</v>
      </c>
      <c r="C7280" s="9">
        <v>483</v>
      </c>
      <c r="D7280" s="0">
        <v>10</v>
      </c>
      <c r="E7280" s="10">
        <f>HYPERLINK("http://www.lingerieopt.ru/images/original/bc578e23-4a73-4189-a9d7-9ad4c17ac0d1.jpg","Фото")</f>
      </c>
    </row>
    <row r="7281">
      <c r="A7281" s="7">
        <f>HYPERLINK("http://www.lingerieopt.ru/item/9053-trusiki-liberty-s-vjsokoi-posadkoi/","9053")</f>
      </c>
      <c r="B7281" s="8" t="s">
        <v>7022</v>
      </c>
      <c r="C7281" s="9">
        <v>483</v>
      </c>
      <c r="D7281" s="0">
        <v>7</v>
      </c>
      <c r="E7281" s="10">
        <f>HYPERLINK("http://www.lingerieopt.ru/images/original/bc578e23-4a73-4189-a9d7-9ad4c17ac0d1.jpg","Фото")</f>
      </c>
    </row>
    <row r="7282">
      <c r="A7282" s="7">
        <f>HYPERLINK("http://www.lingerieopt.ru/item/9054-trusiki-lust-s-intimnjm-dostupom/","9054")</f>
      </c>
      <c r="B7282" s="8" t="s">
        <v>7023</v>
      </c>
      <c r="C7282" s="9">
        <v>420</v>
      </c>
      <c r="D7282" s="0">
        <v>14</v>
      </c>
      <c r="E7282" s="10">
        <f>HYPERLINK("http://www.lingerieopt.ru/images/original/44c10dd3-d4cc-4a5e-a047-e83c450cfd88.jpg","Фото")</f>
      </c>
    </row>
    <row r="7283">
      <c r="A7283" s="7">
        <f>HYPERLINK("http://www.lingerieopt.ru/item/9054-trusiki-lust-s-intimnjm-dostupom/","9054")</f>
      </c>
      <c r="B7283" s="8" t="s">
        <v>7024</v>
      </c>
      <c r="C7283" s="9">
        <v>420</v>
      </c>
      <c r="D7283" s="0">
        <v>7</v>
      </c>
      <c r="E7283" s="10">
        <f>HYPERLINK("http://www.lingerieopt.ru/images/original/44c10dd3-d4cc-4a5e-a047-e83c450cfd88.jpg","Фото")</f>
      </c>
    </row>
    <row r="7284">
      <c r="A7284" s="7">
        <f>HYPERLINK("http://www.lingerieopt.ru/item/9054-trusiki-lust-s-intimnjm-dostupom/","9054")</f>
      </c>
      <c r="B7284" s="8" t="s">
        <v>7025</v>
      </c>
      <c r="C7284" s="9">
        <v>420</v>
      </c>
      <c r="D7284" s="0">
        <v>6</v>
      </c>
      <c r="E7284" s="10">
        <f>HYPERLINK("http://www.lingerieopt.ru/images/original/44c10dd3-d4cc-4a5e-a047-e83c450cfd88.jpg","Фото")</f>
      </c>
    </row>
    <row r="7285">
      <c r="A7285" s="7">
        <f>HYPERLINK("http://www.lingerieopt.ru/item/9064-trusiki-stringi-iz-lent-elodia/","9064")</f>
      </c>
      <c r="B7285" s="8" t="s">
        <v>7026</v>
      </c>
      <c r="C7285" s="9">
        <v>708</v>
      </c>
      <c r="D7285" s="0">
        <v>5</v>
      </c>
      <c r="E7285" s="10">
        <f>HYPERLINK("http://www.lingerieopt.ru/images/original/3e4095c7-e631-41f6-b283-6b96d7b62965.jpg","Фото")</f>
      </c>
    </row>
    <row r="7286">
      <c r="A7286" s="7">
        <f>HYPERLINK("http://www.lingerieopt.ru/item/9064-trusiki-stringi-iz-lent-elodia/","9064")</f>
      </c>
      <c r="B7286" s="8" t="s">
        <v>7027</v>
      </c>
      <c r="C7286" s="9">
        <v>708</v>
      </c>
      <c r="D7286" s="0">
        <v>2</v>
      </c>
      <c r="E7286" s="10">
        <f>HYPERLINK("http://www.lingerieopt.ru/images/original/3e4095c7-e631-41f6-b283-6b96d7b62965.jpg","Фото")</f>
      </c>
    </row>
    <row r="7287">
      <c r="A7287" s="7">
        <f>HYPERLINK("http://www.lingerieopt.ru/item/9064-trusiki-stringi-iz-lent-elodia/","9064")</f>
      </c>
      <c r="B7287" s="8" t="s">
        <v>7028</v>
      </c>
      <c r="C7287" s="9">
        <v>708</v>
      </c>
      <c r="D7287" s="0">
        <v>14</v>
      </c>
      <c r="E7287" s="10">
        <f>HYPERLINK("http://www.lingerieopt.ru/images/original/3e4095c7-e631-41f6-b283-6b96d7b62965.jpg","Фото")</f>
      </c>
    </row>
    <row r="7288">
      <c r="A7288" s="7">
        <f>HYPERLINK("http://www.lingerieopt.ru/item/9069-stringi-dominica-s-dostupom/","9069")</f>
      </c>
      <c r="B7288" s="8" t="s">
        <v>7029</v>
      </c>
      <c r="C7288" s="9">
        <v>575</v>
      </c>
      <c r="D7288" s="0">
        <v>8</v>
      </c>
      <c r="E7288" s="10">
        <f>HYPERLINK("http://www.lingerieopt.ru/images/original/33c71f5e-a95f-4719-b03d-a23bf2997705.jpg","Фото")</f>
      </c>
    </row>
    <row r="7289">
      <c r="A7289" s="7">
        <f>HYPERLINK("http://www.lingerieopt.ru/item/9073-trusiki-uvertj-ardica-s-vjrezom-szadi/","9073")</f>
      </c>
      <c r="B7289" s="8" t="s">
        <v>7030</v>
      </c>
      <c r="C7289" s="9">
        <v>697</v>
      </c>
      <c r="D7289" s="0">
        <v>6</v>
      </c>
      <c r="E7289" s="10">
        <f>HYPERLINK("http://www.lingerieopt.ru/images/original/a603dadc-348a-4de3-a461-a55f57699161.jpg","Фото")</f>
      </c>
    </row>
    <row r="7290">
      <c r="A7290" s="7">
        <f>HYPERLINK("http://www.lingerieopt.ru/item/9073-trusiki-uvertj-ardica-s-vjrezom-szadi/","9073")</f>
      </c>
      <c r="B7290" s="8" t="s">
        <v>7031</v>
      </c>
      <c r="C7290" s="9">
        <v>697</v>
      </c>
      <c r="D7290" s="0">
        <v>5</v>
      </c>
      <c r="E7290" s="10">
        <f>HYPERLINK("http://www.lingerieopt.ru/images/original/a603dadc-348a-4de3-a461-a55f57699161.jpg","Фото")</f>
      </c>
    </row>
    <row r="7291">
      <c r="A7291" s="7">
        <f>HYPERLINK("http://www.lingerieopt.ru/item/9073-trusiki-uvertj-ardica-s-vjrezom-szadi/","9073")</f>
      </c>
      <c r="B7291" s="8" t="s">
        <v>7032</v>
      </c>
      <c r="C7291" s="9">
        <v>697</v>
      </c>
      <c r="D7291" s="0">
        <v>2</v>
      </c>
      <c r="E7291" s="10">
        <f>HYPERLINK("http://www.lingerieopt.ru/images/original/a603dadc-348a-4de3-a461-a55f57699161.jpg","Фото")</f>
      </c>
    </row>
    <row r="7292">
      <c r="A7292" s="7">
        <f>HYPERLINK("http://www.lingerieopt.ru/item/9073-trusiki-uvertj-ardica-s-vjrezom-szadi/","9073")</f>
      </c>
      <c r="B7292" s="8" t="s">
        <v>7033</v>
      </c>
      <c r="C7292" s="9">
        <v>697</v>
      </c>
      <c r="D7292" s="0">
        <v>5</v>
      </c>
      <c r="E7292" s="10">
        <f>HYPERLINK("http://www.lingerieopt.ru/images/original/a603dadc-348a-4de3-a461-a55f57699161.jpg","Фото")</f>
      </c>
    </row>
    <row r="7293">
      <c r="A7293" s="7">
        <f>HYPERLINK("http://www.lingerieopt.ru/item/9076-trusiki-santige-s-vjrezom-szadi/","9076")</f>
      </c>
      <c r="B7293" s="8" t="s">
        <v>7034</v>
      </c>
      <c r="C7293" s="9">
        <v>525</v>
      </c>
      <c r="D7293" s="0">
        <v>5</v>
      </c>
      <c r="E7293" s="10">
        <f>HYPERLINK("http://www.lingerieopt.ru/images/original/203289b5-f8eb-476d-bbf3-dccbed3ffcf3.jpg","Фото")</f>
      </c>
    </row>
    <row r="7294">
      <c r="A7294" s="7">
        <f>HYPERLINK("http://www.lingerieopt.ru/item/9076-trusiki-santige-s-vjrezom-szadi/","9076")</f>
      </c>
      <c r="B7294" s="8" t="s">
        <v>7035</v>
      </c>
      <c r="C7294" s="9">
        <v>525</v>
      </c>
      <c r="D7294" s="0">
        <v>1</v>
      </c>
      <c r="E7294" s="10">
        <f>HYPERLINK("http://www.lingerieopt.ru/images/original/203289b5-f8eb-476d-bbf3-dccbed3ffcf3.jpg","Фото")</f>
      </c>
    </row>
    <row r="7295">
      <c r="A7295" s="7">
        <f>HYPERLINK("http://www.lingerieopt.ru/item/9076-trusiki-santige-s-vjrezom-szadi/","9076")</f>
      </c>
      <c r="B7295" s="8" t="s">
        <v>7036</v>
      </c>
      <c r="C7295" s="9">
        <v>525</v>
      </c>
      <c r="D7295" s="0">
        <v>2</v>
      </c>
      <c r="E7295" s="10">
        <f>HYPERLINK("http://www.lingerieopt.ru/images/original/203289b5-f8eb-476d-bbf3-dccbed3ffcf3.jpg","Фото")</f>
      </c>
    </row>
    <row r="7296">
      <c r="A7296" s="7">
        <f>HYPERLINK("http://www.lingerieopt.ru/item/9076-trusiki-santige-s-vjrezom-szadi/","9076")</f>
      </c>
      <c r="B7296" s="8" t="s">
        <v>7037</v>
      </c>
      <c r="C7296" s="9">
        <v>525</v>
      </c>
      <c r="D7296" s="0">
        <v>6</v>
      </c>
      <c r="E7296" s="10">
        <f>HYPERLINK("http://www.lingerieopt.ru/images/original/203289b5-f8eb-476d-bbf3-dccbed3ffcf3.jpg","Фото")</f>
      </c>
    </row>
    <row r="7297">
      <c r="A7297" s="7">
        <f>HYPERLINK("http://www.lingerieopt.ru/item/9090-milje-trusiki-stringi-s-kruzhevnoi-otorochkoi-i-podveskoi/","9090")</f>
      </c>
      <c r="B7297" s="8" t="s">
        <v>7038</v>
      </c>
      <c r="C7297" s="9">
        <v>612</v>
      </c>
      <c r="D7297" s="0">
        <v>3</v>
      </c>
      <c r="E7297" s="10">
        <f>HYPERLINK("http://www.lingerieopt.ru/images/original/e76cc1fd-575c-402a-b2bf-68ec348d2404.jpg","Фото")</f>
      </c>
    </row>
    <row r="7298">
      <c r="A7298" s="7">
        <f>HYPERLINK("http://www.lingerieopt.ru/item/9090-milje-trusiki-stringi-s-kruzhevnoi-otorochkoi-i-podveskoi/","9090")</f>
      </c>
      <c r="B7298" s="8" t="s">
        <v>7039</v>
      </c>
      <c r="C7298" s="9">
        <v>612</v>
      </c>
      <c r="D7298" s="0">
        <v>7</v>
      </c>
      <c r="E7298" s="10">
        <f>HYPERLINK("http://www.lingerieopt.ru/images/original/e76cc1fd-575c-402a-b2bf-68ec348d2404.jpg","Фото")</f>
      </c>
    </row>
    <row r="7299">
      <c r="A7299" s="7">
        <f>HYPERLINK("http://www.lingerieopt.ru/item/9100-originalnje-otkrjtje-trusiki-s-perepleteniem-bretelei-szadi/","9100")</f>
      </c>
      <c r="B7299" s="8" t="s">
        <v>7040</v>
      </c>
      <c r="C7299" s="9">
        <v>533</v>
      </c>
      <c r="D7299" s="0">
        <v>2</v>
      </c>
      <c r="E7299" s="10">
        <f>HYPERLINK("http://www.lingerieopt.ru/images/original/a0a0f9e2-3c48-4112-8b01-30ea151e6883.jpg","Фото")</f>
      </c>
    </row>
    <row r="7300">
      <c r="A7300" s="7">
        <f>HYPERLINK("http://www.lingerieopt.ru/item/9100-originalnje-otkrjtje-trusiki-s-perepleteniem-bretelei-szadi/","9100")</f>
      </c>
      <c r="B7300" s="8" t="s">
        <v>7041</v>
      </c>
      <c r="C7300" s="9">
        <v>533</v>
      </c>
      <c r="D7300" s="0">
        <v>0</v>
      </c>
      <c r="E7300" s="10">
        <f>HYPERLINK("http://www.lingerieopt.ru/images/original/a0a0f9e2-3c48-4112-8b01-30ea151e6883.jpg","Фото")</f>
      </c>
    </row>
    <row r="7301">
      <c r="A7301" s="7">
        <f>HYPERLINK("http://www.lingerieopt.ru/item/9118-azhurnje-trusiki-stringi-s-dvoinjmi-bretelyami/","9118")</f>
      </c>
      <c r="B7301" s="8" t="s">
        <v>7042</v>
      </c>
      <c r="C7301" s="9">
        <v>660</v>
      </c>
      <c r="D7301" s="0">
        <v>10</v>
      </c>
      <c r="E7301" s="10">
        <f>HYPERLINK("http://www.lingerieopt.ru/images/original/8950e459-480f-4a09-bfe5-1fbe83cdeda7.jpg","Фото")</f>
      </c>
    </row>
    <row r="7302">
      <c r="A7302" s="7">
        <f>HYPERLINK("http://www.lingerieopt.ru/item/9118-azhurnje-trusiki-stringi-s-dvoinjmi-bretelyami/","9118")</f>
      </c>
      <c r="B7302" s="8" t="s">
        <v>7043</v>
      </c>
      <c r="C7302" s="9">
        <v>660</v>
      </c>
      <c r="D7302" s="0">
        <v>3</v>
      </c>
      <c r="E7302" s="10">
        <f>HYPERLINK("http://www.lingerieopt.ru/images/original/8950e459-480f-4a09-bfe5-1fbe83cdeda7.jpg","Фото")</f>
      </c>
    </row>
    <row r="7303">
      <c r="A7303" s="7">
        <f>HYPERLINK("http://www.lingerieopt.ru/item/9119-yarkie-trusiki-stringi-s-okoshkom-i-dvoinjmi-bretelyami/","9119")</f>
      </c>
      <c r="B7303" s="8" t="s">
        <v>7044</v>
      </c>
      <c r="C7303" s="9">
        <v>611</v>
      </c>
      <c r="D7303" s="0">
        <v>10</v>
      </c>
      <c r="E7303" s="10">
        <f>HYPERLINK("http://www.lingerieopt.ru/images/original/941e4db5-39bd-4fa3-b3c7-c5e49f48d492.jpg","Фото")</f>
      </c>
    </row>
    <row r="7304">
      <c r="A7304" s="7">
        <f>HYPERLINK("http://www.lingerieopt.ru/item/9119-yarkie-trusiki-stringi-s-okoshkom-i-dvoinjmi-bretelyami/","9119")</f>
      </c>
      <c r="B7304" s="8" t="s">
        <v>7045</v>
      </c>
      <c r="C7304" s="9">
        <v>611</v>
      </c>
      <c r="D7304" s="0">
        <v>10</v>
      </c>
      <c r="E7304" s="10">
        <f>HYPERLINK("http://www.lingerieopt.ru/images/original/941e4db5-39bd-4fa3-b3c7-c5e49f48d492.jpg","Фото")</f>
      </c>
    </row>
    <row r="7305">
      <c r="A7305" s="7">
        <f>HYPERLINK("http://www.lingerieopt.ru/item/9122-trusiki-stringi-alabastra-plus-size-v-melkuyu-setochku/","9122")</f>
      </c>
      <c r="B7305" s="8" t="s">
        <v>7046</v>
      </c>
      <c r="C7305" s="9">
        <v>508</v>
      </c>
      <c r="D7305" s="0">
        <v>1</v>
      </c>
      <c r="E7305" s="10">
        <f>HYPERLINK("http://www.lingerieopt.ru/images/original/84493522-d9a9-44f8-a449-fad175c61643.jpg","Фото")</f>
      </c>
    </row>
    <row r="7306">
      <c r="A7306" s="7">
        <f>HYPERLINK("http://www.lingerieopt.ru/item/9126-kruzhevnje-trusiki-iz-setochki-i-cvetochnogo-kruzheva/","9126")</f>
      </c>
      <c r="B7306" s="8" t="s">
        <v>7047</v>
      </c>
      <c r="C7306" s="9">
        <v>610</v>
      </c>
      <c r="D7306" s="0">
        <v>4</v>
      </c>
      <c r="E7306" s="10">
        <f>HYPERLINK("http://www.lingerieopt.ru/images/original/733297d2-65cf-4308-9052-3da1b5651eed.jpg","Фото")</f>
      </c>
    </row>
    <row r="7307">
      <c r="A7307" s="7">
        <f>HYPERLINK("http://www.lingerieopt.ru/item/9126-kruzhevnje-trusiki-iz-setochki-i-cvetochnogo-kruzheva/","9126")</f>
      </c>
      <c r="B7307" s="8" t="s">
        <v>7048</v>
      </c>
      <c r="C7307" s="9">
        <v>610</v>
      </c>
      <c r="D7307" s="0">
        <v>0</v>
      </c>
      <c r="E7307" s="10">
        <f>HYPERLINK("http://www.lingerieopt.ru/images/original/733297d2-65cf-4308-9052-3da1b5651eed.jpg","Фото")</f>
      </c>
    </row>
    <row r="7308">
      <c r="A7308" s="7">
        <f>HYPERLINK("http://www.lingerieopt.ru/item/9138-poluprozrachnje-trusiki-s-krasivjm-cvetochnjm-risunkom-podveskoi-i-vjrezami/","9138")</f>
      </c>
      <c r="B7308" s="8" t="s">
        <v>7049</v>
      </c>
      <c r="C7308" s="9">
        <v>610</v>
      </c>
      <c r="D7308" s="0">
        <v>2</v>
      </c>
      <c r="E7308" s="10">
        <f>HYPERLINK("http://www.lingerieopt.ru/images/original/f0af7851-4138-4d2b-8045-8b9627ca4713.jpg","Фото")</f>
      </c>
    </row>
    <row r="7309">
      <c r="A7309" s="7">
        <f>HYPERLINK("http://www.lingerieopt.ru/item/9138-poluprozrachnje-trusiki-s-krasivjm-cvetochnjm-risunkom-podveskoi-i-vjrezami/","9138")</f>
      </c>
      <c r="B7309" s="8" t="s">
        <v>7050</v>
      </c>
      <c r="C7309" s="9">
        <v>610</v>
      </c>
      <c r="D7309" s="0">
        <v>2</v>
      </c>
      <c r="E7309" s="10">
        <f>HYPERLINK("http://www.lingerieopt.ru/images/original/f0af7851-4138-4d2b-8045-8b9627ca4713.jpg","Фото")</f>
      </c>
    </row>
    <row r="7310">
      <c r="A7310" s="7">
        <f>HYPERLINK("http://www.lingerieopt.ru/item/9147-otkrjtje-trusiki-s-legkoi-plissirovkoi/","9147")</f>
      </c>
      <c r="B7310" s="8" t="s">
        <v>7051</v>
      </c>
      <c r="C7310" s="9">
        <v>684</v>
      </c>
      <c r="D7310" s="0">
        <v>4</v>
      </c>
      <c r="E7310" s="10">
        <f>HYPERLINK("http://www.lingerieopt.ru/images/original/aed3311c-df23-429d-a0c1-0e97b7106abb.jpg","Фото")</f>
      </c>
    </row>
    <row r="7311">
      <c r="A7311" s="7">
        <f>HYPERLINK("http://www.lingerieopt.ru/item/9147-otkrjtje-trusiki-s-legkoi-plissirovkoi/","9147")</f>
      </c>
      <c r="B7311" s="8" t="s">
        <v>7052</v>
      </c>
      <c r="C7311" s="9">
        <v>684</v>
      </c>
      <c r="D7311" s="0">
        <v>7</v>
      </c>
      <c r="E7311" s="10">
        <f>HYPERLINK("http://www.lingerieopt.ru/images/original/aed3311c-df23-429d-a0c1-0e97b7106abb.jpg","Фото")</f>
      </c>
    </row>
    <row r="7312">
      <c r="A7312" s="7">
        <f>HYPERLINK("http://www.lingerieopt.ru/item/9161-pikantnje-trusiki-stringi-iz-setki-s-kruzhevnoi-otdelkoi-i-okoshkom/","9161")</f>
      </c>
      <c r="B7312" s="8" t="s">
        <v>7053</v>
      </c>
      <c r="C7312" s="9">
        <v>588</v>
      </c>
      <c r="D7312" s="0">
        <v>2</v>
      </c>
      <c r="E7312" s="10">
        <f>HYPERLINK("http://www.lingerieopt.ru/images/original/41785087-c957-45c3-8c47-ec47de83c85e.jpg","Фото")</f>
      </c>
    </row>
    <row r="7313">
      <c r="A7313" s="7">
        <f>HYPERLINK("http://www.lingerieopt.ru/item/9161-pikantnje-trusiki-stringi-iz-setki-s-kruzhevnoi-otdelkoi-i-okoshkom/","9161")</f>
      </c>
      <c r="B7313" s="8" t="s">
        <v>7054</v>
      </c>
      <c r="C7313" s="9">
        <v>588</v>
      </c>
      <c r="D7313" s="0">
        <v>4</v>
      </c>
      <c r="E7313" s="10">
        <f>HYPERLINK("http://www.lingerieopt.ru/images/original/41785087-c957-45c3-8c47-ec47de83c85e.jpg","Фото")</f>
      </c>
    </row>
    <row r="7314">
      <c r="A7314" s="7">
        <f>HYPERLINK("http://www.lingerieopt.ru/item/9175-izjskannje-trusiki-s-kruzhevami/","9175")</f>
      </c>
      <c r="B7314" s="8" t="s">
        <v>7055</v>
      </c>
      <c r="C7314" s="9">
        <v>607</v>
      </c>
      <c r="D7314" s="0">
        <v>9</v>
      </c>
      <c r="E7314" s="10">
        <f>HYPERLINK("http://www.lingerieopt.ru/images/original/fa51ec50-a2fe-4f48-be68-59afc76fc247.jpg","Фото")</f>
      </c>
    </row>
    <row r="7315">
      <c r="A7315" s="7">
        <f>HYPERLINK("http://www.lingerieopt.ru/item/9175-izjskannje-trusiki-s-kruzhevami/","9175")</f>
      </c>
      <c r="B7315" s="8" t="s">
        <v>7056</v>
      </c>
      <c r="C7315" s="9">
        <v>607</v>
      </c>
      <c r="D7315" s="0">
        <v>5</v>
      </c>
      <c r="E7315" s="10">
        <f>HYPERLINK("http://www.lingerieopt.ru/images/original/fa51ec50-a2fe-4f48-be68-59afc76fc247.jpg","Фото")</f>
      </c>
    </row>
    <row r="7316">
      <c r="A7316" s="7">
        <f>HYPERLINK("http://www.lingerieopt.ru/item/9177-akkuratnje-trusiki-stringi-s-cvetochnjm-uzorom/","9177")</f>
      </c>
      <c r="B7316" s="8" t="s">
        <v>7057</v>
      </c>
      <c r="C7316" s="9">
        <v>457</v>
      </c>
      <c r="D7316" s="0">
        <v>0</v>
      </c>
      <c r="E7316" s="10">
        <f>HYPERLINK("http://www.lingerieopt.ru/images/original/af45fb1f-6619-49c5-8a6f-e68981ecbd12.jpg","Фото")</f>
      </c>
    </row>
    <row r="7317">
      <c r="A7317" s="7">
        <f>HYPERLINK("http://www.lingerieopt.ru/item/9177-akkuratnje-trusiki-stringi-s-cvetochnjm-uzorom/","9177")</f>
      </c>
      <c r="B7317" s="8" t="s">
        <v>7058</v>
      </c>
      <c r="C7317" s="9">
        <v>457</v>
      </c>
      <c r="D7317" s="0">
        <v>1</v>
      </c>
      <c r="E7317" s="10">
        <f>HYPERLINK("http://www.lingerieopt.ru/images/original/af45fb1f-6619-49c5-8a6f-e68981ecbd12.jpg","Фото")</f>
      </c>
    </row>
    <row r="7318">
      <c r="A7318" s="7">
        <f>HYPERLINK("http://www.lingerieopt.ru/item/9179-akkuratnje-trusiki-stringi-iz-setki-s-kruzhevnjm-poyaskom/","9179")</f>
      </c>
      <c r="B7318" s="8" t="s">
        <v>7059</v>
      </c>
      <c r="C7318" s="9">
        <v>610</v>
      </c>
      <c r="D7318" s="0">
        <v>2</v>
      </c>
      <c r="E7318" s="10">
        <f>HYPERLINK("http://www.lingerieopt.ru/images/original/934cf4b9-a913-40f9-a3c7-153acf32236e.jpg","Фото")</f>
      </c>
    </row>
    <row r="7319">
      <c r="A7319" s="7">
        <f>HYPERLINK("http://www.lingerieopt.ru/item/9179-akkuratnje-trusiki-stringi-iz-setki-s-kruzhevnjm-poyaskom/","9179")</f>
      </c>
      <c r="B7319" s="8" t="s">
        <v>7060</v>
      </c>
      <c r="C7319" s="9">
        <v>610</v>
      </c>
      <c r="D7319" s="0">
        <v>0</v>
      </c>
      <c r="E7319" s="10">
        <f>HYPERLINK("http://www.lingerieopt.ru/images/original/934cf4b9-a913-40f9-a3c7-153acf32236e.jpg","Фото")</f>
      </c>
    </row>
    <row r="7320">
      <c r="A7320" s="7">
        <f>HYPERLINK("http://www.lingerieopt.ru/item/9189-otkrjtje-trusiki-gretia-s-serebristjmi-kvadropuklyami-na-poyase/","9189")</f>
      </c>
      <c r="B7320" s="8" t="s">
        <v>7061</v>
      </c>
      <c r="C7320" s="9">
        <v>508</v>
      </c>
      <c r="D7320" s="0">
        <v>3</v>
      </c>
      <c r="E7320" s="10">
        <f>HYPERLINK("http://www.lingerieopt.ru/images/original/e04c0c9f-3af3-469b-b22f-b445be67a2bc.jpg","Фото")</f>
      </c>
    </row>
    <row r="7321">
      <c r="A7321" s="7">
        <f>HYPERLINK("http://www.lingerieopt.ru/item/9189-otkrjtje-trusiki-gretia-s-serebristjmi-kvadropuklyami-na-poyase/","9189")</f>
      </c>
      <c r="B7321" s="8" t="s">
        <v>7062</v>
      </c>
      <c r="C7321" s="9">
        <v>508</v>
      </c>
      <c r="D7321" s="0">
        <v>0</v>
      </c>
      <c r="E7321" s="10">
        <f>HYPERLINK("http://www.lingerieopt.ru/images/original/e04c0c9f-3af3-469b-b22f-b445be67a2bc.jpg","Фото")</f>
      </c>
    </row>
    <row r="7322">
      <c r="A7322" s="7">
        <f>HYPERLINK("http://www.lingerieopt.ru/item/9198-azhurnje-trusiki-stringi-s-fioletovoi-podveskoi-i-bantikom-szadi/","9198")</f>
      </c>
      <c r="B7322" s="8" t="s">
        <v>7063</v>
      </c>
      <c r="C7322" s="9">
        <v>542</v>
      </c>
      <c r="D7322" s="0">
        <v>4</v>
      </c>
      <c r="E7322" s="10">
        <f>HYPERLINK("http://www.lingerieopt.ru/images/original/4f3d241e-5502-4e92-bcd4-2809d605f951.jpg","Фото")</f>
      </c>
    </row>
    <row r="7323">
      <c r="A7323" s="7">
        <f>HYPERLINK("http://www.lingerieopt.ru/item/9198-azhurnje-trusiki-stringi-s-fioletovoi-podveskoi-i-bantikom-szadi/","9198")</f>
      </c>
      <c r="B7323" s="8" t="s">
        <v>7064</v>
      </c>
      <c r="C7323" s="9">
        <v>542</v>
      </c>
      <c r="D7323" s="0">
        <v>9</v>
      </c>
      <c r="E7323" s="10">
        <f>HYPERLINK("http://www.lingerieopt.ru/images/original/4f3d241e-5502-4e92-bcd4-2809d605f951.jpg","Фото")</f>
      </c>
    </row>
    <row r="7324">
      <c r="A7324" s="7">
        <f>HYPERLINK("http://www.lingerieopt.ru/item/9210-kruzhevnje-otkrjtje-trusiki/","9210")</f>
      </c>
      <c r="B7324" s="8" t="s">
        <v>7065</v>
      </c>
      <c r="C7324" s="9">
        <v>648</v>
      </c>
      <c r="D7324" s="0">
        <v>5</v>
      </c>
      <c r="E7324" s="10">
        <f>HYPERLINK("http://www.lingerieopt.ru/images/original/c6cf3bb1-bf2e-4539-9438-165d2d76c961.jpg","Фото")</f>
      </c>
    </row>
    <row r="7325">
      <c r="A7325" s="7">
        <f>HYPERLINK("http://www.lingerieopt.ru/item/9210-kruzhevnje-otkrjtje-trusiki/","9210")</f>
      </c>
      <c r="B7325" s="8" t="s">
        <v>7066</v>
      </c>
      <c r="C7325" s="9">
        <v>648</v>
      </c>
      <c r="D7325" s="0">
        <v>3</v>
      </c>
      <c r="E7325" s="10">
        <f>HYPERLINK("http://www.lingerieopt.ru/images/original/c6cf3bb1-bf2e-4539-9438-165d2d76c961.jpg","Фото")</f>
      </c>
    </row>
    <row r="7326">
      <c r="A7326" s="7">
        <f>HYPERLINK("http://www.lingerieopt.ru/item/9211-kruzhevnje-trusiki-shortj/","9211")</f>
      </c>
      <c r="B7326" s="8" t="s">
        <v>7067</v>
      </c>
      <c r="C7326" s="9">
        <v>684</v>
      </c>
      <c r="D7326" s="0">
        <v>4</v>
      </c>
      <c r="E7326" s="10">
        <f>HYPERLINK("http://www.lingerieopt.ru/images/original/da6e0e53-c680-472f-b5e5-5fbedd1c74eb.jpg","Фото")</f>
      </c>
    </row>
    <row r="7327">
      <c r="A7327" s="7">
        <f>HYPERLINK("http://www.lingerieopt.ru/item/9211-kruzhevnje-trusiki-shortj/","9211")</f>
      </c>
      <c r="B7327" s="8" t="s">
        <v>7068</v>
      </c>
      <c r="C7327" s="9">
        <v>684</v>
      </c>
      <c r="D7327" s="0">
        <v>2</v>
      </c>
      <c r="E7327" s="10">
        <f>HYPERLINK("http://www.lingerieopt.ru/images/original/da6e0e53-c680-472f-b5e5-5fbedd1c74eb.jpg","Фото")</f>
      </c>
    </row>
    <row r="7328">
      <c r="A7328" s="7">
        <f>HYPERLINK("http://www.lingerieopt.ru/item/9219-nezhnje-trusiki-s-okoshkom-i-kletchatjmi-elementami/","9219")</f>
      </c>
      <c r="B7328" s="8" t="s">
        <v>7069</v>
      </c>
      <c r="C7328" s="9">
        <v>648</v>
      </c>
      <c r="D7328" s="0">
        <v>10</v>
      </c>
      <c r="E7328" s="10">
        <f>HYPERLINK("http://www.lingerieopt.ru/images/original/0f610d74-1e0b-4d5e-9695-3311d7c14eda.jpg","Фото")</f>
      </c>
    </row>
    <row r="7329">
      <c r="A7329" s="7">
        <f>HYPERLINK("http://www.lingerieopt.ru/item/9219-nezhnje-trusiki-s-okoshkom-i-kletchatjmi-elementami/","9219")</f>
      </c>
      <c r="B7329" s="8" t="s">
        <v>7070</v>
      </c>
      <c r="C7329" s="9">
        <v>648</v>
      </c>
      <c r="D7329" s="0">
        <v>2</v>
      </c>
      <c r="E7329" s="10">
        <f>HYPERLINK("http://www.lingerieopt.ru/images/original/0f610d74-1e0b-4d5e-9695-3311d7c14eda.jpg","Фото")</f>
      </c>
    </row>
    <row r="7330">
      <c r="A7330" s="7">
        <f>HYPERLINK("http://www.lingerieopt.ru/item/9237-trusiki-i-maska-s-businami/","9237")</f>
      </c>
      <c r="B7330" s="8" t="s">
        <v>7071</v>
      </c>
      <c r="C7330" s="9">
        <v>990</v>
      </c>
      <c r="D7330" s="0">
        <v>6</v>
      </c>
      <c r="E7330" s="10">
        <f>HYPERLINK("http://www.lingerieopt.ru/images/original/97736e17-e751-4fc8-87cf-62dc4c37a36f.jpg","Фото")</f>
      </c>
    </row>
    <row r="7331">
      <c r="A7331" s="7">
        <f>HYPERLINK("http://www.lingerieopt.ru/item/9237-trusiki-i-maska-s-businami/","9237")</f>
      </c>
      <c r="B7331" s="8" t="s">
        <v>7072</v>
      </c>
      <c r="C7331" s="9">
        <v>990</v>
      </c>
      <c r="D7331" s="0">
        <v>8</v>
      </c>
      <c r="E7331" s="10">
        <f>HYPERLINK("http://www.lingerieopt.ru/images/original/97736e17-e751-4fc8-87cf-62dc4c37a36f.jpg","Фото")</f>
      </c>
    </row>
    <row r="7332">
      <c r="A7332" s="7">
        <f>HYPERLINK("http://www.lingerieopt.ru/item/9249-trusiki-stringi-wonderia-s-atlasnjm-bantikom/","9249")</f>
      </c>
      <c r="B7332" s="8" t="s">
        <v>7073</v>
      </c>
      <c r="C7332" s="9">
        <v>593</v>
      </c>
      <c r="D7332" s="0">
        <v>0</v>
      </c>
      <c r="E7332" s="10">
        <f>HYPERLINK("http://www.lingerieopt.ru/images/original/0837ed8f-ecbd-49ed-8e5b-57fa181a1c2d.jpg","Фото")</f>
      </c>
    </row>
    <row r="7333">
      <c r="A7333" s="7">
        <f>HYPERLINK("http://www.lingerieopt.ru/item/9249-trusiki-stringi-wonderia-s-atlasnjm-bantikom/","9249")</f>
      </c>
      <c r="B7333" s="8" t="s">
        <v>7074</v>
      </c>
      <c r="C7333" s="9">
        <v>593</v>
      </c>
      <c r="D7333" s="0">
        <v>1</v>
      </c>
      <c r="E7333" s="10">
        <f>HYPERLINK("http://www.lingerieopt.ru/images/original/0837ed8f-ecbd-49ed-8e5b-57fa181a1c2d.jpg","Фото")</f>
      </c>
    </row>
    <row r="7334">
      <c r="A7334" s="7">
        <f>HYPERLINK("http://www.lingerieopt.ru/item/9289-poluprozrachnje-trusiki-s-izjskannoi-vjshivkoi/","9289")</f>
      </c>
      <c r="B7334" s="8" t="s">
        <v>7075</v>
      </c>
      <c r="C7334" s="9">
        <v>680</v>
      </c>
      <c r="D7334" s="0">
        <v>2</v>
      </c>
      <c r="E7334" s="10">
        <f>HYPERLINK("http://www.lingerieopt.ru/images/original/2c93fc11-ff63-4a85-b496-94910409574c.jpg","Фото")</f>
      </c>
    </row>
    <row r="7335">
      <c r="A7335" s="7">
        <f>HYPERLINK("http://www.lingerieopt.ru/item/9289-poluprozrachnje-trusiki-s-izjskannoi-vjshivkoi/","9289")</f>
      </c>
      <c r="B7335" s="8" t="s">
        <v>7076</v>
      </c>
      <c r="C7335" s="9">
        <v>680</v>
      </c>
      <c r="D7335" s="0">
        <v>0</v>
      </c>
      <c r="E7335" s="10">
        <f>HYPERLINK("http://www.lingerieopt.ru/images/original/2c93fc11-ff63-4a85-b496-94910409574c.jpg","Фото")</f>
      </c>
    </row>
    <row r="7336">
      <c r="A7336" s="7">
        <f>HYPERLINK("http://www.lingerieopt.ru/item/9296-ocharovatelnje-trusiki-s-ryushami-i-podveskoi-szadi/","9296")</f>
      </c>
      <c r="B7336" s="8" t="s">
        <v>7077</v>
      </c>
      <c r="C7336" s="9">
        <v>684</v>
      </c>
      <c r="D7336" s="0">
        <v>4</v>
      </c>
      <c r="E7336" s="10">
        <f>HYPERLINK("http://www.lingerieopt.ru/images/original/8cab0e6d-50d0-45dd-8802-6f6d5279d693.jpg","Фото")</f>
      </c>
    </row>
    <row r="7337">
      <c r="A7337" s="7">
        <f>HYPERLINK("http://www.lingerieopt.ru/item/9296-ocharovatelnje-trusiki-s-ryushami-i-podveskoi-szadi/","9296")</f>
      </c>
      <c r="B7337" s="8" t="s">
        <v>7078</v>
      </c>
      <c r="C7337" s="9">
        <v>684</v>
      </c>
      <c r="D7337" s="0">
        <v>1</v>
      </c>
      <c r="E7337" s="10">
        <f>HYPERLINK("http://www.lingerieopt.ru/images/original/8cab0e6d-50d0-45dd-8802-6f6d5279d693.jpg","Фото")</f>
      </c>
    </row>
    <row r="7338">
      <c r="A7338" s="7">
        <f>HYPERLINK("http://www.lingerieopt.ru/item/9298-trusiki-s-kruzhevnjm-poyaskom-i-intimnjm-dostupom/","9298")</f>
      </c>
      <c r="B7338" s="8" t="s">
        <v>7079</v>
      </c>
      <c r="C7338" s="9">
        <v>556</v>
      </c>
      <c r="D7338" s="0">
        <v>10</v>
      </c>
      <c r="E7338" s="10">
        <f>HYPERLINK("http://www.lingerieopt.ru/images/original/071c5ad4-19f8-4e95-b6db-a9267722d1e8.jpg","Фото")</f>
      </c>
    </row>
    <row r="7339">
      <c r="A7339" s="7">
        <f>HYPERLINK("http://www.lingerieopt.ru/item/9298-trusiki-s-kruzhevnjm-poyaskom-i-intimnjm-dostupom/","9298")</f>
      </c>
      <c r="B7339" s="8" t="s">
        <v>7080</v>
      </c>
      <c r="C7339" s="9">
        <v>556</v>
      </c>
      <c r="D7339" s="0">
        <v>9</v>
      </c>
      <c r="E7339" s="10">
        <f>HYPERLINK("http://www.lingerieopt.ru/images/original/071c5ad4-19f8-4e95-b6db-a9267722d1e8.jpg","Фото")</f>
      </c>
    </row>
    <row r="7340">
      <c r="A7340" s="7">
        <f>HYPERLINK("http://www.lingerieopt.ru/item/9305-trusiki-s-ukrasheniem-v-vide-serdca-iz-kristallov/","9305")</f>
      </c>
      <c r="B7340" s="8" t="s">
        <v>7081</v>
      </c>
      <c r="C7340" s="9">
        <v>684</v>
      </c>
      <c r="D7340" s="0">
        <v>3</v>
      </c>
      <c r="E7340" s="10">
        <f>HYPERLINK("http://www.lingerieopt.ru/images/original/4d1c78ac-62ad-4354-bb4f-7147fde7dbde.jpg","Фото")</f>
      </c>
    </row>
    <row r="7341">
      <c r="A7341" s="7">
        <f>HYPERLINK("http://www.lingerieopt.ru/item/9305-trusiki-s-ukrasheniem-v-vide-serdca-iz-kristallov/","9305")</f>
      </c>
      <c r="B7341" s="8" t="s">
        <v>7082</v>
      </c>
      <c r="C7341" s="9">
        <v>684</v>
      </c>
      <c r="D7341" s="0">
        <v>5</v>
      </c>
      <c r="E7341" s="10">
        <f>HYPERLINK("http://www.lingerieopt.ru/images/original/4d1c78ac-62ad-4354-bb4f-7147fde7dbde.jpg","Фото")</f>
      </c>
    </row>
    <row r="7342">
      <c r="A7342" s="7">
        <f>HYPERLINK("http://www.lingerieopt.ru/item/9308-azhurnje-trusiki-stringi-s-ukrasheniem-v-forme-serdca-na-zadnei-chasti/","9308")</f>
      </c>
      <c r="B7342" s="8" t="s">
        <v>7083</v>
      </c>
      <c r="C7342" s="9">
        <v>684</v>
      </c>
      <c r="D7342" s="0">
        <v>1</v>
      </c>
      <c r="E7342" s="10">
        <f>HYPERLINK("http://www.lingerieopt.ru/images/original/3d969f02-6586-44fc-b364-63d3a60b66f6.jpg","Фото")</f>
      </c>
    </row>
    <row r="7343">
      <c r="A7343" s="7">
        <f>HYPERLINK("http://www.lingerieopt.ru/item/9308-azhurnje-trusiki-stringi-s-ukrasheniem-v-forme-serdca-na-zadnei-chasti/","9308")</f>
      </c>
      <c r="B7343" s="8" t="s">
        <v>7084</v>
      </c>
      <c r="C7343" s="9">
        <v>684</v>
      </c>
      <c r="D7343" s="0">
        <v>5</v>
      </c>
      <c r="E7343" s="10">
        <f>HYPERLINK("http://www.lingerieopt.ru/images/original/3d969f02-6586-44fc-b364-63d3a60b66f6.jpg","Фото")</f>
      </c>
    </row>
    <row r="7344">
      <c r="A7344" s="7">
        <f>HYPERLINK("http://www.lingerieopt.ru/item/9310-otkrjtje-trusiki-s-kruzhevnoi-oborkoi/","9310")</f>
      </c>
      <c r="B7344" s="8" t="s">
        <v>7085</v>
      </c>
      <c r="C7344" s="9">
        <v>610</v>
      </c>
      <c r="D7344" s="0">
        <v>5</v>
      </c>
      <c r="E7344" s="10">
        <f>HYPERLINK("http://www.lingerieopt.ru/images/original/2b83ce5c-d76f-4725-a4dd-036a1a5d2268.jpg","Фото")</f>
      </c>
    </row>
    <row r="7345">
      <c r="A7345" s="7">
        <f>HYPERLINK("http://www.lingerieopt.ru/item/9310-otkrjtje-trusiki-s-kruzhevnoi-oborkoi/","9310")</f>
      </c>
      <c r="B7345" s="8" t="s">
        <v>7086</v>
      </c>
      <c r="C7345" s="9">
        <v>610</v>
      </c>
      <c r="D7345" s="0">
        <v>1</v>
      </c>
      <c r="E7345" s="10">
        <f>HYPERLINK("http://www.lingerieopt.ru/images/original/2b83ce5c-d76f-4725-a4dd-036a1a5d2268.jpg","Фото")</f>
      </c>
    </row>
    <row r="7346">
      <c r="A7346" s="7">
        <f>HYPERLINK("http://www.lingerieopt.ru/item/9350-kruzhevnje-trusiki-dovelia-s-cvetochnjm-uzorom/","9350")</f>
      </c>
      <c r="B7346" s="8" t="s">
        <v>7087</v>
      </c>
      <c r="C7346" s="9">
        <v>708</v>
      </c>
      <c r="D7346" s="0">
        <v>1</v>
      </c>
      <c r="E7346" s="10">
        <f>HYPERLINK("http://www.lingerieopt.ru/images/original/e0916633-c741-4618-89d7-b78bbfaf90db.jpg","Фото")</f>
      </c>
    </row>
    <row r="7347">
      <c r="A7347" s="7">
        <f>HYPERLINK("http://www.lingerieopt.ru/item/9350-kruzhevnje-trusiki-dovelia-s-cvetochnjm-uzorom/","9350")</f>
      </c>
      <c r="B7347" s="8" t="s">
        <v>7088</v>
      </c>
      <c r="C7347" s="9">
        <v>708</v>
      </c>
      <c r="D7347" s="0">
        <v>1</v>
      </c>
      <c r="E7347" s="10">
        <f>HYPERLINK("http://www.lingerieopt.ru/images/original/e0916633-c741-4618-89d7-b78bbfaf90db.jpg","Фото")</f>
      </c>
    </row>
    <row r="7348">
      <c r="A7348" s="7">
        <f>HYPERLINK("http://www.lingerieopt.ru/item/9354-otkrjtje-trusiki-kitten-plus-size/","9354")</f>
      </c>
      <c r="B7348" s="8" t="s">
        <v>7089</v>
      </c>
      <c r="C7348" s="9">
        <v>387</v>
      </c>
      <c r="D7348" s="0">
        <v>4</v>
      </c>
      <c r="E7348" s="10">
        <f>HYPERLINK("http://www.lingerieopt.ru/images/original/919ece08-a6d8-4beb-8369-6752b927dbfd.jpg","Фото")</f>
      </c>
    </row>
    <row r="7349">
      <c r="A7349" s="7">
        <f>HYPERLINK("http://www.lingerieopt.ru/item/9354-otkrjtje-trusiki-kitten-plus-size/","9354")</f>
      </c>
      <c r="B7349" s="8" t="s">
        <v>7090</v>
      </c>
      <c r="C7349" s="9">
        <v>387</v>
      </c>
      <c r="D7349" s="0">
        <v>4</v>
      </c>
      <c r="E7349" s="10">
        <f>HYPERLINK("http://www.lingerieopt.ru/images/original/919ece08-a6d8-4beb-8369-6752b927dbfd.jpg","Фото")</f>
      </c>
    </row>
    <row r="7350">
      <c r="A7350" s="7">
        <f>HYPERLINK("http://www.lingerieopt.ru/item/9354-otkrjtje-trusiki-kitten-plus-size/","9354")</f>
      </c>
      <c r="B7350" s="8" t="s">
        <v>7091</v>
      </c>
      <c r="C7350" s="9">
        <v>387</v>
      </c>
      <c r="D7350" s="0">
        <v>2</v>
      </c>
      <c r="E7350" s="10">
        <f>HYPERLINK("http://www.lingerieopt.ru/images/original/919ece08-a6d8-4beb-8369-6752b927dbfd.jpg","Фото")</f>
      </c>
    </row>
    <row r="7351">
      <c r="A7351" s="7">
        <f>HYPERLINK("http://www.lingerieopt.ru/item/9354-otkrjtje-trusiki-kitten-plus-size/","9354")</f>
      </c>
      <c r="B7351" s="8" t="s">
        <v>7092</v>
      </c>
      <c r="C7351" s="9">
        <v>387</v>
      </c>
      <c r="D7351" s="0">
        <v>4</v>
      </c>
      <c r="E7351" s="10">
        <f>HYPERLINK("http://www.lingerieopt.ru/images/original/919ece08-a6d8-4beb-8369-6752b927dbfd.jpg","Фото")</f>
      </c>
    </row>
    <row r="7352">
      <c r="A7352" s="7">
        <f>HYPERLINK("http://www.lingerieopt.ru/item/9356-poluprozrachnje-kruzhevnje-trusiki-agnes-plus-size/","9356")</f>
      </c>
      <c r="B7352" s="8" t="s">
        <v>7093</v>
      </c>
      <c r="C7352" s="9">
        <v>744</v>
      </c>
      <c r="D7352" s="0">
        <v>0</v>
      </c>
      <c r="E7352" s="10">
        <f>HYPERLINK("http://www.lingerieopt.ru/images/original/1f8555c8-d793-49c7-b471-465b1e587b68.jpg","Фото")</f>
      </c>
    </row>
    <row r="7353">
      <c r="A7353" s="7">
        <f>HYPERLINK("http://www.lingerieopt.ru/item/9356-poluprozrachnje-kruzhevnje-trusiki-agnes-plus-size/","9356")</f>
      </c>
      <c r="B7353" s="8" t="s">
        <v>7094</v>
      </c>
      <c r="C7353" s="9">
        <v>744</v>
      </c>
      <c r="D7353" s="0">
        <v>1</v>
      </c>
      <c r="E7353" s="10">
        <f>HYPERLINK("http://www.lingerieopt.ru/images/original/1f8555c8-d793-49c7-b471-465b1e587b68.jpg","Фото")</f>
      </c>
    </row>
    <row r="7354">
      <c r="A7354" s="7">
        <f>HYPERLINK("http://www.lingerieopt.ru/item/9356-poluprozrachnje-kruzhevnje-trusiki-agnes-plus-size/","9356")</f>
      </c>
      <c r="B7354" s="8" t="s">
        <v>7095</v>
      </c>
      <c r="C7354" s="9">
        <v>744</v>
      </c>
      <c r="D7354" s="0">
        <v>3</v>
      </c>
      <c r="E7354" s="10">
        <f>HYPERLINK("http://www.lingerieopt.ru/images/original/1f8555c8-d793-49c7-b471-465b1e587b68.jpg","Фото")</f>
      </c>
    </row>
    <row r="7355">
      <c r="A7355" s="7">
        <f>HYPERLINK("http://www.lingerieopt.ru/item/9356-poluprozrachnje-kruzhevnje-trusiki-agnes-plus-size/","9356")</f>
      </c>
      <c r="B7355" s="8" t="s">
        <v>7096</v>
      </c>
      <c r="C7355" s="9">
        <v>744</v>
      </c>
      <c r="D7355" s="0">
        <v>0</v>
      </c>
      <c r="E7355" s="10">
        <f>HYPERLINK("http://www.lingerieopt.ru/images/original/1f8555c8-d793-49c7-b471-465b1e587b68.jpg","Фото")</f>
      </c>
    </row>
    <row r="7356">
      <c r="A7356" s="7">
        <f>HYPERLINK("http://www.lingerieopt.ru/item/9357-trusiki-agnes-s-cvetochnjm-kruzhevom-na-pope/","9357")</f>
      </c>
      <c r="B7356" s="8" t="s">
        <v>7097</v>
      </c>
      <c r="C7356" s="9">
        <v>744</v>
      </c>
      <c r="D7356" s="0">
        <v>1</v>
      </c>
      <c r="E7356" s="10">
        <f>HYPERLINK("http://www.lingerieopt.ru/images/original/f033ebff-c6d4-4a5c-a99c-120992788aec.jpg","Фото")</f>
      </c>
    </row>
    <row r="7357">
      <c r="A7357" s="7">
        <f>HYPERLINK("http://www.lingerieopt.ru/item/9357-trusiki-agnes-s-cvetochnjm-kruzhevom-na-pope/","9357")</f>
      </c>
      <c r="B7357" s="8" t="s">
        <v>7098</v>
      </c>
      <c r="C7357" s="9">
        <v>744</v>
      </c>
      <c r="D7357" s="0">
        <v>0</v>
      </c>
      <c r="E7357" s="10">
        <f>HYPERLINK("http://www.lingerieopt.ru/images/original/f033ebff-c6d4-4a5c-a99c-120992788aec.jpg","Фото")</f>
      </c>
    </row>
    <row r="7358">
      <c r="A7358" s="7">
        <f>HYPERLINK("http://www.lingerieopt.ru/item/9357-trusiki-agnes-s-cvetochnjm-kruzhevom-na-pope/","9357")</f>
      </c>
      <c r="B7358" s="8" t="s">
        <v>7099</v>
      </c>
      <c r="C7358" s="9">
        <v>744</v>
      </c>
      <c r="D7358" s="0">
        <v>2</v>
      </c>
      <c r="E7358" s="10">
        <f>HYPERLINK("http://www.lingerieopt.ru/images/original/f033ebff-c6d4-4a5c-a99c-120992788aec.jpg","Фото")</f>
      </c>
    </row>
    <row r="7359">
      <c r="A7359" s="7">
        <f>HYPERLINK("http://www.lingerieopt.ru/item/9357-trusiki-agnes-s-cvetochnjm-kruzhevom-na-pope/","9357")</f>
      </c>
      <c r="B7359" s="8" t="s">
        <v>7100</v>
      </c>
      <c r="C7359" s="9">
        <v>744</v>
      </c>
      <c r="D7359" s="0">
        <v>0</v>
      </c>
      <c r="E7359" s="10">
        <f>HYPERLINK("http://www.lingerieopt.ru/images/original/f033ebff-c6d4-4a5c-a99c-120992788aec.jpg","Фото")</f>
      </c>
    </row>
    <row r="7360">
      <c r="A7360" s="7">
        <f>HYPERLINK("http://www.lingerieopt.ru/item/9357-trusiki-agnes-s-cvetochnjm-kruzhevom-na-pope/","9357")</f>
      </c>
      <c r="B7360" s="8" t="s">
        <v>7101</v>
      </c>
      <c r="C7360" s="9">
        <v>744</v>
      </c>
      <c r="D7360" s="0">
        <v>2</v>
      </c>
      <c r="E7360" s="10">
        <f>HYPERLINK("http://www.lingerieopt.ru/images/original/f033ebff-c6d4-4a5c-a99c-120992788aec.jpg","Фото")</f>
      </c>
    </row>
    <row r="7361">
      <c r="A7361" s="7">
        <f>HYPERLINK("http://www.lingerieopt.ru/item/9357-trusiki-agnes-s-cvetochnjm-kruzhevom-na-pope/","9357")</f>
      </c>
      <c r="B7361" s="8" t="s">
        <v>7102</v>
      </c>
      <c r="C7361" s="9">
        <v>744</v>
      </c>
      <c r="D7361" s="0">
        <v>0</v>
      </c>
      <c r="E7361" s="10">
        <f>HYPERLINK("http://www.lingerieopt.ru/images/original/f033ebff-c6d4-4a5c-a99c-120992788aec.jpg","Фото")</f>
      </c>
    </row>
    <row r="7362">
      <c r="A7362" s="7">
        <f>HYPERLINK("http://www.lingerieopt.ru/item/9357-trusiki-agnes-s-cvetochnjm-kruzhevom-na-pope/","9357")</f>
      </c>
      <c r="B7362" s="8" t="s">
        <v>7103</v>
      </c>
      <c r="C7362" s="9">
        <v>744</v>
      </c>
      <c r="D7362" s="0">
        <v>4</v>
      </c>
      <c r="E7362" s="10">
        <f>HYPERLINK("http://www.lingerieopt.ru/images/original/f033ebff-c6d4-4a5c-a99c-120992788aec.jpg","Фото")</f>
      </c>
    </row>
    <row r="7363">
      <c r="A7363" s="7">
        <f>HYPERLINK("http://www.lingerieopt.ru/item/9357-trusiki-agnes-s-cvetochnjm-kruzhevom-na-pope/","9357")</f>
      </c>
      <c r="B7363" s="8" t="s">
        <v>7104</v>
      </c>
      <c r="C7363" s="9">
        <v>744</v>
      </c>
      <c r="D7363" s="0">
        <v>2</v>
      </c>
      <c r="E7363" s="10">
        <f>HYPERLINK("http://www.lingerieopt.ru/images/original/f033ebff-c6d4-4a5c-a99c-120992788aec.jpg","Фото")</f>
      </c>
    </row>
    <row r="7364">
      <c r="A7364" s="7">
        <f>HYPERLINK("http://www.lingerieopt.ru/item/9367-trusiki-slipj-dakota-plus-size-s-azhurom/","9367")</f>
      </c>
      <c r="B7364" s="8" t="s">
        <v>7105</v>
      </c>
      <c r="C7364" s="9">
        <v>325</v>
      </c>
      <c r="D7364" s="0">
        <v>4</v>
      </c>
      <c r="E7364" s="10">
        <f>HYPERLINK("http://www.lingerieopt.ru/images/original/e59e55a3-2a72-46b0-b0f5-b5753d78f394.jpg","Фото")</f>
      </c>
    </row>
    <row r="7365">
      <c r="A7365" s="7">
        <f>HYPERLINK("http://www.lingerieopt.ru/item/9367-trusiki-slipj-dakota-plus-size-s-azhurom/","9367")</f>
      </c>
      <c r="B7365" s="8" t="s">
        <v>7106</v>
      </c>
      <c r="C7365" s="9">
        <v>325</v>
      </c>
      <c r="D7365" s="0">
        <v>1</v>
      </c>
      <c r="E7365" s="10">
        <f>HYPERLINK("http://www.lingerieopt.ru/images/original/e59e55a3-2a72-46b0-b0f5-b5753d78f394.jpg","Фото")</f>
      </c>
    </row>
    <row r="7366">
      <c r="A7366" s="7">
        <f>HYPERLINK("http://www.lingerieopt.ru/item/9372-shortiki-fanny-s-kruzhevami-i-poluotkrjtoi-popkoi/","9372")</f>
      </c>
      <c r="B7366" s="8" t="s">
        <v>7107</v>
      </c>
      <c r="C7366" s="9">
        <v>437</v>
      </c>
      <c r="D7366" s="0">
        <v>4</v>
      </c>
      <c r="E7366" s="10">
        <f>HYPERLINK("http://www.lingerieopt.ru/images/original/18a1a796-c6d5-4c72-9c1d-86cf1f21c6f1.jpg","Фото")</f>
      </c>
    </row>
    <row r="7367">
      <c r="A7367" s="7">
        <f>HYPERLINK("http://www.lingerieopt.ru/item/9372-shortiki-fanny-s-kruzhevami-i-poluotkrjtoi-popkoi/","9372")</f>
      </c>
      <c r="B7367" s="8" t="s">
        <v>7108</v>
      </c>
      <c r="C7367" s="9">
        <v>437</v>
      </c>
      <c r="D7367" s="0">
        <v>2</v>
      </c>
      <c r="E7367" s="10">
        <f>HYPERLINK("http://www.lingerieopt.ru/images/original/18a1a796-c6d5-4c72-9c1d-86cf1f21c6f1.jpg","Фото")</f>
      </c>
    </row>
    <row r="7368">
      <c r="A7368" s="7">
        <f>HYPERLINK("http://www.lingerieopt.ru/item/9372-shortiki-fanny-s-kruzhevami-i-poluotkrjtoi-popkoi/","9372")</f>
      </c>
      <c r="B7368" s="8" t="s">
        <v>7109</v>
      </c>
      <c r="C7368" s="9">
        <v>437</v>
      </c>
      <c r="D7368" s="0">
        <v>5</v>
      </c>
      <c r="E7368" s="10">
        <f>HYPERLINK("http://www.lingerieopt.ru/images/original/18a1a796-c6d5-4c72-9c1d-86cf1f21c6f1.jpg","Фото")</f>
      </c>
    </row>
    <row r="7369">
      <c r="A7369" s="7">
        <f>HYPERLINK("http://www.lingerieopt.ru/item/9372-shortiki-fanny-s-kruzhevami-i-poluotkrjtoi-popkoi/","9372")</f>
      </c>
      <c r="B7369" s="8" t="s">
        <v>7110</v>
      </c>
      <c r="C7369" s="9">
        <v>437</v>
      </c>
      <c r="D7369" s="0">
        <v>4</v>
      </c>
      <c r="E7369" s="10">
        <f>HYPERLINK("http://www.lingerieopt.ru/images/original/18a1a796-c6d5-4c72-9c1d-86cf1f21c6f1.jpg","Фото")</f>
      </c>
    </row>
    <row r="7370">
      <c r="A7370" s="7">
        <f>HYPERLINK("http://www.lingerieopt.ru/item/9372-shortiki-fanny-s-kruzhevami-i-poluotkrjtoi-popkoi/","9372")</f>
      </c>
      <c r="B7370" s="8" t="s">
        <v>7111</v>
      </c>
      <c r="C7370" s="9">
        <v>437</v>
      </c>
      <c r="D7370" s="0">
        <v>5</v>
      </c>
      <c r="E7370" s="10">
        <f>HYPERLINK("http://www.lingerieopt.ru/images/original/18a1a796-c6d5-4c72-9c1d-86cf1f21c6f1.jpg","Фото")</f>
      </c>
    </row>
    <row r="7371">
      <c r="A7371" s="7">
        <f>HYPERLINK("http://www.lingerieopt.ru/item/9372-shortiki-fanny-s-kruzhevami-i-poluotkrjtoi-popkoi/","9372")</f>
      </c>
      <c r="B7371" s="8" t="s">
        <v>7112</v>
      </c>
      <c r="C7371" s="9">
        <v>437</v>
      </c>
      <c r="D7371" s="0">
        <v>9</v>
      </c>
      <c r="E7371" s="10">
        <f>HYPERLINK("http://www.lingerieopt.ru/images/original/18a1a796-c6d5-4c72-9c1d-86cf1f21c6f1.jpg","Фото")</f>
      </c>
    </row>
    <row r="7372">
      <c r="A7372" s="7">
        <f>HYPERLINK("http://www.lingerieopt.ru/item/9372-shortiki-fanny-s-kruzhevami-i-poluotkrjtoi-popkoi/","9372")</f>
      </c>
      <c r="B7372" s="8" t="s">
        <v>7113</v>
      </c>
      <c r="C7372" s="9">
        <v>437</v>
      </c>
      <c r="D7372" s="0">
        <v>3</v>
      </c>
      <c r="E7372" s="10">
        <f>HYPERLINK("http://www.lingerieopt.ru/images/original/18a1a796-c6d5-4c72-9c1d-86cf1f21c6f1.jpg","Фото")</f>
      </c>
    </row>
    <row r="7373">
      <c r="A7373" s="7">
        <f>HYPERLINK("http://www.lingerieopt.ru/item/9372-shortiki-fanny-s-kruzhevami-i-poluotkrjtoi-popkoi/","9372")</f>
      </c>
      <c r="B7373" s="8" t="s">
        <v>7114</v>
      </c>
      <c r="C7373" s="9">
        <v>437</v>
      </c>
      <c r="D7373" s="0">
        <v>14</v>
      </c>
      <c r="E7373" s="10">
        <f>HYPERLINK("http://www.lingerieopt.ru/images/original/18a1a796-c6d5-4c72-9c1d-86cf1f21c6f1.jpg","Фото")</f>
      </c>
    </row>
    <row r="7374">
      <c r="A7374" s="7">
        <f>HYPERLINK("http://www.lingerieopt.ru/item/9372-shortiki-fanny-s-kruzhevami-i-poluotkrjtoi-popkoi/","9372")</f>
      </c>
      <c r="B7374" s="8" t="s">
        <v>7115</v>
      </c>
      <c r="C7374" s="9">
        <v>437</v>
      </c>
      <c r="D7374" s="0">
        <v>6</v>
      </c>
      <c r="E7374" s="10">
        <f>HYPERLINK("http://www.lingerieopt.ru/images/original/18a1a796-c6d5-4c72-9c1d-86cf1f21c6f1.jpg","Фото")</f>
      </c>
    </row>
    <row r="7375">
      <c r="A7375" s="7">
        <f>HYPERLINK("http://www.lingerieopt.ru/item/9372-shortiki-fanny-s-kruzhevami-i-poluotkrjtoi-popkoi/","9372")</f>
      </c>
      <c r="B7375" s="8" t="s">
        <v>7116</v>
      </c>
      <c r="C7375" s="9">
        <v>437</v>
      </c>
      <c r="D7375" s="0">
        <v>6</v>
      </c>
      <c r="E7375" s="10">
        <f>HYPERLINK("http://www.lingerieopt.ru/images/original/18a1a796-c6d5-4c72-9c1d-86cf1f21c6f1.jpg","Фото")</f>
      </c>
    </row>
    <row r="7376">
      <c r="A7376" s="7">
        <f>HYPERLINK("http://www.lingerieopt.ru/item/9372-shortiki-fanny-s-kruzhevami-i-poluotkrjtoi-popkoi/","9372")</f>
      </c>
      <c r="B7376" s="8" t="s">
        <v>7117</v>
      </c>
      <c r="C7376" s="9">
        <v>437</v>
      </c>
      <c r="D7376" s="0">
        <v>6</v>
      </c>
      <c r="E7376" s="10">
        <f>HYPERLINK("http://www.lingerieopt.ru/images/original/18a1a796-c6d5-4c72-9c1d-86cf1f21c6f1.jpg","Фото")</f>
      </c>
    </row>
    <row r="7377">
      <c r="A7377" s="7">
        <f>HYPERLINK("http://www.lingerieopt.ru/item/9372-shortiki-fanny-s-kruzhevami-i-poluotkrjtoi-popkoi/","9372")</f>
      </c>
      <c r="B7377" s="8" t="s">
        <v>7118</v>
      </c>
      <c r="C7377" s="9">
        <v>437</v>
      </c>
      <c r="D7377" s="0">
        <v>20</v>
      </c>
      <c r="E7377" s="10">
        <f>HYPERLINK("http://www.lingerieopt.ru/images/original/18a1a796-c6d5-4c72-9c1d-86cf1f21c6f1.jpg","Фото")</f>
      </c>
    </row>
    <row r="7378">
      <c r="A7378" s="7">
        <f>HYPERLINK("http://www.lingerieopt.ru/item/9373-trusiki-fanny-plus-size-s-kruzhevami-i-poluotkrjtoi-popkoi/","9373")</f>
      </c>
      <c r="B7378" s="8" t="s">
        <v>7119</v>
      </c>
      <c r="C7378" s="9">
        <v>437</v>
      </c>
      <c r="D7378" s="0">
        <v>1</v>
      </c>
      <c r="E7378" s="10">
        <f>HYPERLINK("http://www.lingerieopt.ru/images/original/4cfcdfd4-5e5a-4195-b150-55968d758a37.jpg","Фото")</f>
      </c>
    </row>
    <row r="7379">
      <c r="A7379" s="7">
        <f>HYPERLINK("http://www.lingerieopt.ru/item/9373-trusiki-fanny-plus-size-s-kruzhevami-i-poluotkrjtoi-popkoi/","9373")</f>
      </c>
      <c r="B7379" s="8" t="s">
        <v>7120</v>
      </c>
      <c r="C7379" s="9">
        <v>437</v>
      </c>
      <c r="D7379" s="0">
        <v>3</v>
      </c>
      <c r="E7379" s="10">
        <f>HYPERLINK("http://www.lingerieopt.ru/images/original/4cfcdfd4-5e5a-4195-b150-55968d758a37.jpg","Фото")</f>
      </c>
    </row>
    <row r="7380">
      <c r="A7380" s="7">
        <f>HYPERLINK("http://www.lingerieopt.ru/item/9373-trusiki-fanny-plus-size-s-kruzhevami-i-poluotkrjtoi-popkoi/","9373")</f>
      </c>
      <c r="B7380" s="8" t="s">
        <v>7121</v>
      </c>
      <c r="C7380" s="9">
        <v>437</v>
      </c>
      <c r="D7380" s="0">
        <v>1</v>
      </c>
      <c r="E7380" s="10">
        <f>HYPERLINK("http://www.lingerieopt.ru/images/original/4cfcdfd4-5e5a-4195-b150-55968d758a37.jpg","Фото")</f>
      </c>
    </row>
    <row r="7381">
      <c r="A7381" s="7">
        <f>HYPERLINK("http://www.lingerieopt.ru/item/9373-trusiki-fanny-plus-size-s-kruzhevami-i-poluotkrjtoi-popkoi/","9373")</f>
      </c>
      <c r="B7381" s="8" t="s">
        <v>7122</v>
      </c>
      <c r="C7381" s="9">
        <v>437</v>
      </c>
      <c r="D7381" s="0">
        <v>0</v>
      </c>
      <c r="E7381" s="10">
        <f>HYPERLINK("http://www.lingerieopt.ru/images/original/4cfcdfd4-5e5a-4195-b150-55968d758a37.jpg","Фото")</f>
      </c>
    </row>
    <row r="7382">
      <c r="A7382" s="7">
        <f>HYPERLINK("http://www.lingerieopt.ru/item/9373-trusiki-fanny-plus-size-s-kruzhevami-i-poluotkrjtoi-popkoi/","9373")</f>
      </c>
      <c r="B7382" s="8" t="s">
        <v>7123</v>
      </c>
      <c r="C7382" s="9">
        <v>437</v>
      </c>
      <c r="D7382" s="0">
        <v>1</v>
      </c>
      <c r="E7382" s="10">
        <f>HYPERLINK("http://www.lingerieopt.ru/images/original/4cfcdfd4-5e5a-4195-b150-55968d758a37.jpg","Фото")</f>
      </c>
    </row>
    <row r="7383">
      <c r="A7383" s="7">
        <f>HYPERLINK("http://www.lingerieopt.ru/item/9373-trusiki-fanny-plus-size-s-kruzhevami-i-poluotkrjtoi-popkoi/","9373")</f>
      </c>
      <c r="B7383" s="8" t="s">
        <v>7124</v>
      </c>
      <c r="C7383" s="9">
        <v>437</v>
      </c>
      <c r="D7383" s="0">
        <v>2</v>
      </c>
      <c r="E7383" s="10">
        <f>HYPERLINK("http://www.lingerieopt.ru/images/original/4cfcdfd4-5e5a-4195-b150-55968d758a37.jpg","Фото")</f>
      </c>
    </row>
    <row r="7384">
      <c r="A7384" s="7">
        <f>HYPERLINK("http://www.lingerieopt.ru/item/9374-vjsokie-azhurnje-trusiki-felicity-plus-size-s-kontrastnoi-shnurovkoi/","9374")</f>
      </c>
      <c r="B7384" s="8" t="s">
        <v>7125</v>
      </c>
      <c r="C7384" s="9">
        <v>597</v>
      </c>
      <c r="D7384" s="0">
        <v>5</v>
      </c>
      <c r="E7384" s="10">
        <f>HYPERLINK("http://www.lingerieopt.ru/images/original/82a3a5a2-1886-47f6-83c8-306d6d4c6feb.jpg","Фото")</f>
      </c>
    </row>
    <row r="7385">
      <c r="A7385" s="7">
        <f>HYPERLINK("http://www.lingerieopt.ru/item/9374-vjsokie-azhurnje-trusiki-felicity-plus-size-s-kontrastnoi-shnurovkoi/","9374")</f>
      </c>
      <c r="B7385" s="8" t="s">
        <v>7126</v>
      </c>
      <c r="C7385" s="9">
        <v>597</v>
      </c>
      <c r="D7385" s="0">
        <v>1</v>
      </c>
      <c r="E7385" s="10">
        <f>HYPERLINK("http://www.lingerieopt.ru/images/original/82a3a5a2-1886-47f6-83c8-306d6d4c6feb.jpg","Фото")</f>
      </c>
    </row>
    <row r="7386">
      <c r="A7386" s="7">
        <f>HYPERLINK("http://www.lingerieopt.ru/item/9375-trusiki-slipj-flavia-plus-size-s-tesemkoi-i-metallicheskimi-kolechkami/","9375")</f>
      </c>
      <c r="B7386" s="8" t="s">
        <v>7127</v>
      </c>
      <c r="C7386" s="9">
        <v>424</v>
      </c>
      <c r="D7386" s="0">
        <v>2</v>
      </c>
      <c r="E7386" s="10">
        <f>HYPERLINK("http://www.lingerieopt.ru/images/original/76cc9c71-e013-4ed2-b162-933b298d6a48.jpg","Фото")</f>
      </c>
    </row>
    <row r="7387">
      <c r="A7387" s="7">
        <f>HYPERLINK("http://www.lingerieopt.ru/item/9375-trusiki-slipj-flavia-plus-size-s-tesemkoi-i-metallicheskimi-kolechkami/","9375")</f>
      </c>
      <c r="B7387" s="8" t="s">
        <v>7128</v>
      </c>
      <c r="C7387" s="9">
        <v>424</v>
      </c>
      <c r="D7387" s="0">
        <v>3</v>
      </c>
      <c r="E7387" s="10">
        <f>HYPERLINK("http://www.lingerieopt.ru/images/original/76cc9c71-e013-4ed2-b162-933b298d6a48.jpg","Фото")</f>
      </c>
    </row>
    <row r="7388">
      <c r="A7388" s="7">
        <f>HYPERLINK("http://www.lingerieopt.ru/item/9376-azhurnje-trusiki-forme-plus-size-s-tremya-bokovjmi-tesemkami/","9376")</f>
      </c>
      <c r="B7388" s="8" t="s">
        <v>7129</v>
      </c>
      <c r="C7388" s="9">
        <v>512</v>
      </c>
      <c r="D7388" s="0">
        <v>0</v>
      </c>
      <c r="E7388" s="10">
        <f>HYPERLINK("http://www.lingerieopt.ru/images/original/3766907c-be40-4220-aaea-ecc5e475dce6.jpg","Фото")</f>
      </c>
    </row>
    <row r="7389">
      <c r="A7389" s="7">
        <f>HYPERLINK("http://www.lingerieopt.ru/item/9376-azhurnje-trusiki-forme-plus-size-s-tremya-bokovjmi-tesemkami/","9376")</f>
      </c>
      <c r="B7389" s="8" t="s">
        <v>7130</v>
      </c>
      <c r="C7389" s="9">
        <v>512</v>
      </c>
      <c r="D7389" s="0">
        <v>2</v>
      </c>
      <c r="E7389" s="10">
        <f>HYPERLINK("http://www.lingerieopt.ru/images/original/3766907c-be40-4220-aaea-ecc5e475dce6.jpg","Фото")</f>
      </c>
    </row>
    <row r="7390">
      <c r="A7390" s="7">
        <f>HYPERLINK("http://www.lingerieopt.ru/item/9379-trusiki-intriganti-plus-size-s-vjrezom-v-vide-serdca/","9379")</f>
      </c>
      <c r="B7390" s="8" t="s">
        <v>7131</v>
      </c>
      <c r="C7390" s="9">
        <v>424</v>
      </c>
      <c r="D7390" s="0">
        <v>2</v>
      </c>
      <c r="E7390" s="10">
        <f>HYPERLINK("http://www.lingerieopt.ru/images/original/e58edfa7-85cd-42c9-8a75-e4592af3f17d.jpg","Фото")</f>
      </c>
    </row>
    <row r="7391">
      <c r="A7391" s="7">
        <f>HYPERLINK("http://www.lingerieopt.ru/item/9379-trusiki-intriganti-plus-size-s-vjrezom-v-vide-serdca/","9379")</f>
      </c>
      <c r="B7391" s="8" t="s">
        <v>7132</v>
      </c>
      <c r="C7391" s="9">
        <v>424</v>
      </c>
      <c r="D7391" s="0">
        <v>1</v>
      </c>
      <c r="E7391" s="10">
        <f>HYPERLINK("http://www.lingerieopt.ru/images/original/e58edfa7-85cd-42c9-8a75-e4592af3f17d.jpg","Фото")</f>
      </c>
    </row>
    <row r="7392">
      <c r="A7392" s="7">
        <f>HYPERLINK("http://www.lingerieopt.ru/item/9383-trusiki-muse-plus-size-s-troinjmi-bretelyami/","9383")</f>
      </c>
      <c r="B7392" s="8" t="s">
        <v>7133</v>
      </c>
      <c r="C7392" s="9">
        <v>697</v>
      </c>
      <c r="D7392" s="0">
        <v>2</v>
      </c>
      <c r="E7392" s="10">
        <f>HYPERLINK("http://www.lingerieopt.ru/images/original/1c78e605-550f-47bb-843f-70e162c910d0.jpg","Фото")</f>
      </c>
    </row>
    <row r="7393">
      <c r="A7393" s="7">
        <f>HYPERLINK("http://www.lingerieopt.ru/item/9383-trusiki-muse-plus-size-s-troinjmi-bretelyami/","9383")</f>
      </c>
      <c r="B7393" s="8" t="s">
        <v>7134</v>
      </c>
      <c r="C7393" s="9">
        <v>697</v>
      </c>
      <c r="D7393" s="0">
        <v>2</v>
      </c>
      <c r="E7393" s="10">
        <f>HYPERLINK("http://www.lingerieopt.ru/images/original/1c78e605-550f-47bb-843f-70e162c910d0.jpg","Фото")</f>
      </c>
    </row>
    <row r="7394">
      <c r="A7394" s="7">
        <f>HYPERLINK("http://www.lingerieopt.ru/item/9384-trusiki-muse-s-bretelyami-napominayuschimi-cepochki/","9384")</f>
      </c>
      <c r="B7394" s="8" t="s">
        <v>7135</v>
      </c>
      <c r="C7394" s="9">
        <v>697</v>
      </c>
      <c r="D7394" s="0">
        <v>5</v>
      </c>
      <c r="E7394" s="10">
        <f>HYPERLINK("http://www.lingerieopt.ru/images/original/c5470496-faae-479f-a060-8567a5dbd0b7.jpg","Фото")</f>
      </c>
    </row>
    <row r="7395">
      <c r="A7395" s="7">
        <f>HYPERLINK("http://www.lingerieopt.ru/item/9384-trusiki-muse-s-bretelyami-napominayuschimi-cepochki/","9384")</f>
      </c>
      <c r="B7395" s="8" t="s">
        <v>7136</v>
      </c>
      <c r="C7395" s="9">
        <v>697</v>
      </c>
      <c r="D7395" s="0">
        <v>0</v>
      </c>
      <c r="E7395" s="10">
        <f>HYPERLINK("http://www.lingerieopt.ru/images/original/c5470496-faae-479f-a060-8567a5dbd0b7.jpg","Фото")</f>
      </c>
    </row>
    <row r="7396">
      <c r="A7396" s="7">
        <f>HYPERLINK("http://www.lingerieopt.ru/item/9384-trusiki-muse-s-bretelyami-napominayuschimi-cepochki/","9384")</f>
      </c>
      <c r="B7396" s="8" t="s">
        <v>7137</v>
      </c>
      <c r="C7396" s="9">
        <v>697</v>
      </c>
      <c r="D7396" s="0">
        <v>4</v>
      </c>
      <c r="E7396" s="10">
        <f>HYPERLINK("http://www.lingerieopt.ru/images/original/c5470496-faae-479f-a060-8567a5dbd0b7.jpg","Фото")</f>
      </c>
    </row>
    <row r="7397">
      <c r="A7397" s="7">
        <f>HYPERLINK("http://www.lingerieopt.ru/item/9384-trusiki-muse-s-bretelyami-napominayuschimi-cepochki/","9384")</f>
      </c>
      <c r="B7397" s="8" t="s">
        <v>7138</v>
      </c>
      <c r="C7397" s="9">
        <v>697</v>
      </c>
      <c r="D7397" s="0">
        <v>3</v>
      </c>
      <c r="E7397" s="10">
        <f>HYPERLINK("http://www.lingerieopt.ru/images/original/c5470496-faae-479f-a060-8567a5dbd0b7.jpg","Фото")</f>
      </c>
    </row>
    <row r="7398">
      <c r="A7398" s="7">
        <f>HYPERLINK("http://www.lingerieopt.ru/item/9386-poluotkrjtje-trusiki-night-plus-size-iz-kruzheva/","9386")</f>
      </c>
      <c r="B7398" s="8" t="s">
        <v>7139</v>
      </c>
      <c r="C7398" s="9">
        <v>550</v>
      </c>
      <c r="D7398" s="0">
        <v>3</v>
      </c>
      <c r="E7398" s="10">
        <f>HYPERLINK("http://www.lingerieopt.ru/images/original/32095f90-8ee5-48ab-b665-163e01a42ad8.jpg","Фото")</f>
      </c>
    </row>
    <row r="7399">
      <c r="A7399" s="7">
        <f>HYPERLINK("http://www.lingerieopt.ru/item/9386-poluotkrjtje-trusiki-night-plus-size-iz-kruzheva/","9386")</f>
      </c>
      <c r="B7399" s="8" t="s">
        <v>7140</v>
      </c>
      <c r="C7399" s="9">
        <v>550</v>
      </c>
      <c r="D7399" s="0">
        <v>2</v>
      </c>
      <c r="E7399" s="10">
        <f>HYPERLINK("http://www.lingerieopt.ru/images/original/32095f90-8ee5-48ab-b665-163e01a42ad8.jpg","Фото")</f>
      </c>
    </row>
    <row r="7400">
      <c r="A7400" s="7">
        <f>HYPERLINK("http://www.lingerieopt.ru/item/9387-trusiki-night-s-poluotkrjtoi-zadnei-chastyu/","9387")</f>
      </c>
      <c r="B7400" s="8" t="s">
        <v>7141</v>
      </c>
      <c r="C7400" s="9">
        <v>550</v>
      </c>
      <c r="D7400" s="0">
        <v>5</v>
      </c>
      <c r="E7400" s="10">
        <f>HYPERLINK("http://www.lingerieopt.ru/images/original/4d0e4424-bbd8-464c-9fe9-40006e20bf78.jpg","Фото")</f>
      </c>
    </row>
    <row r="7401">
      <c r="A7401" s="7">
        <f>HYPERLINK("http://www.lingerieopt.ru/item/9387-trusiki-night-s-poluotkrjtoi-zadnei-chastyu/","9387")</f>
      </c>
      <c r="B7401" s="8" t="s">
        <v>7142</v>
      </c>
      <c r="C7401" s="9">
        <v>550</v>
      </c>
      <c r="D7401" s="0">
        <v>4</v>
      </c>
      <c r="E7401" s="10">
        <f>HYPERLINK("http://www.lingerieopt.ru/images/original/4d0e4424-bbd8-464c-9fe9-40006e20bf78.jpg","Фото")</f>
      </c>
    </row>
    <row r="7402">
      <c r="A7402" s="7">
        <f>HYPERLINK("http://www.lingerieopt.ru/item/9387-trusiki-night-s-poluotkrjtoi-zadnei-chastyu/","9387")</f>
      </c>
      <c r="B7402" s="8" t="s">
        <v>7143</v>
      </c>
      <c r="C7402" s="9">
        <v>550</v>
      </c>
      <c r="D7402" s="0">
        <v>7</v>
      </c>
      <c r="E7402" s="10">
        <f>HYPERLINK("http://www.lingerieopt.ru/images/original/4d0e4424-bbd8-464c-9fe9-40006e20bf78.jpg","Фото")</f>
      </c>
    </row>
    <row r="7403">
      <c r="A7403" s="7">
        <f>HYPERLINK("http://www.lingerieopt.ru/item/9387-trusiki-night-s-poluotkrjtoi-zadnei-chastyu/","9387")</f>
      </c>
      <c r="B7403" s="8" t="s">
        <v>7144</v>
      </c>
      <c r="C7403" s="9">
        <v>550</v>
      </c>
      <c r="D7403" s="0">
        <v>5</v>
      </c>
      <c r="E7403" s="10">
        <f>HYPERLINK("http://www.lingerieopt.ru/images/original/4d0e4424-bbd8-464c-9fe9-40006e20bf78.jpg","Фото")</f>
      </c>
    </row>
    <row r="7404">
      <c r="A7404" s="7">
        <f>HYPERLINK("http://www.lingerieopt.ru/item/9388-trusiki-ossia-plus-size-s-uglublennjm-verhnim-kraem/","9388")</f>
      </c>
      <c r="B7404" s="8" t="s">
        <v>7145</v>
      </c>
      <c r="C7404" s="9">
        <v>375</v>
      </c>
      <c r="D7404" s="0">
        <v>2</v>
      </c>
      <c r="E7404" s="10">
        <f>HYPERLINK("http://www.lingerieopt.ru/images/original/5e9f4acd-d819-4e42-95ca-25097eb7e778.jpg","Фото")</f>
      </c>
    </row>
    <row r="7405">
      <c r="A7405" s="7">
        <f>HYPERLINK("http://www.lingerieopt.ru/item/9388-trusiki-ossia-plus-size-s-uglublennjm-verhnim-kraem/","9388")</f>
      </c>
      <c r="B7405" s="8" t="s">
        <v>7146</v>
      </c>
      <c r="C7405" s="9">
        <v>375</v>
      </c>
      <c r="D7405" s="0">
        <v>3</v>
      </c>
      <c r="E7405" s="10">
        <f>HYPERLINK("http://www.lingerieopt.ru/images/original/5e9f4acd-d819-4e42-95ca-25097eb7e778.jpg","Фото")</f>
      </c>
    </row>
    <row r="7406">
      <c r="A7406" s="7">
        <f>HYPERLINK("http://www.lingerieopt.ru/item/9389-kruzhevnje-trusiki-permission-plus-size-s-nizkoi-posadkoi-i-otkrjtoi-popkoi/","9389")</f>
      </c>
      <c r="B7406" s="8" t="s">
        <v>7147</v>
      </c>
      <c r="C7406" s="9">
        <v>500</v>
      </c>
      <c r="D7406" s="0">
        <v>3</v>
      </c>
      <c r="E7406" s="10">
        <f>HYPERLINK("http://www.lingerieopt.ru/images/original/9c484752-cefa-495d-b20b-d6fcaa49c4fb.jpg","Фото")</f>
      </c>
    </row>
    <row r="7407">
      <c r="A7407" s="7">
        <f>HYPERLINK("http://www.lingerieopt.ru/item/9389-kruzhevnje-trusiki-permission-plus-size-s-nizkoi-posadkoi-i-otkrjtoi-popkoi/","9389")</f>
      </c>
      <c r="B7407" s="8" t="s">
        <v>7148</v>
      </c>
      <c r="C7407" s="9">
        <v>500</v>
      </c>
      <c r="D7407" s="0">
        <v>5</v>
      </c>
      <c r="E7407" s="10">
        <f>HYPERLINK("http://www.lingerieopt.ru/images/original/9c484752-cefa-495d-b20b-d6fcaa49c4fb.jpg","Фото")</f>
      </c>
    </row>
    <row r="7408">
      <c r="A7408" s="7">
        <f>HYPERLINK("http://www.lingerieopt.ru/item/9391- /","9391")</f>
      </c>
      <c r="B7408" s="8" t="s">
        <v>7149</v>
      </c>
      <c r="C7408" s="9">
        <v>437</v>
      </c>
      <c r="D7408" s="0">
        <v>3</v>
      </c>
      <c r="E7408" s="10">
        <f>HYPERLINK("http://www.lingerieopt.ru/images/original/a1c52d8a-81a3-4938-bd98-87864f302b71.jpg","Фото")</f>
      </c>
    </row>
    <row r="7409">
      <c r="A7409" s="7">
        <f>HYPERLINK("http://www.lingerieopt.ru/item/9391- /","9391")</f>
      </c>
      <c r="B7409" s="8" t="s">
        <v>7150</v>
      </c>
      <c r="C7409" s="9">
        <v>437</v>
      </c>
      <c r="D7409" s="0">
        <v>2</v>
      </c>
      <c r="E7409" s="10">
        <f>HYPERLINK("http://www.lingerieopt.ru/images/original/a1c52d8a-81a3-4938-bd98-87864f302b71.jpg","Фото")</f>
      </c>
    </row>
    <row r="7410">
      <c r="A7410" s="7">
        <f>HYPERLINK("http://www.lingerieopt.ru/item/9393-trusiki-stringi-s-yubochkoi-spice-up-plus-size-i-podveskoi-kristallom/","9393")</f>
      </c>
      <c r="B7410" s="8" t="s">
        <v>7151</v>
      </c>
      <c r="C7410" s="9">
        <v>488</v>
      </c>
      <c r="D7410" s="0">
        <v>2</v>
      </c>
      <c r="E7410" s="10">
        <f>HYPERLINK("http://www.lingerieopt.ru/images/original/4abae574-bae2-401b-8729-2fea23af11ef.jpg","Фото")</f>
      </c>
    </row>
    <row r="7411">
      <c r="A7411" s="7">
        <f>HYPERLINK("http://www.lingerieopt.ru/item/9393-trusiki-stringi-s-yubochkoi-spice-up-plus-size-i-podveskoi-kristallom/","9393")</f>
      </c>
      <c r="B7411" s="8" t="s">
        <v>7152</v>
      </c>
      <c r="C7411" s="9">
        <v>488</v>
      </c>
      <c r="D7411" s="0">
        <v>4</v>
      </c>
      <c r="E7411" s="10">
        <f>HYPERLINK("http://www.lingerieopt.ru/images/original/4abae574-bae2-401b-8729-2fea23af11ef.jpg","Фото")</f>
      </c>
    </row>
    <row r="7412">
      <c r="A7412" s="7">
        <f>HYPERLINK("http://www.lingerieopt.ru/item/9395-poluprozrachnje-trusiki-tess-plus-size-s-kistochkoi-na-popke-i-intimnjm-dostupom/","9395")</f>
      </c>
      <c r="B7412" s="8" t="s">
        <v>7153</v>
      </c>
      <c r="C7412" s="9">
        <v>450</v>
      </c>
      <c r="D7412" s="0">
        <v>3</v>
      </c>
      <c r="E7412" s="10">
        <f>HYPERLINK("http://www.lingerieopt.ru/images/original/b50bb750-8ced-4329-b0e3-0fd128f636f8.jpg","Фото")</f>
      </c>
    </row>
    <row r="7413">
      <c r="A7413" s="7">
        <f>HYPERLINK("http://www.lingerieopt.ru/item/9395-poluprozrachnje-trusiki-tess-plus-size-s-kistochkoi-na-popke-i-intimnjm-dostupom/","9395")</f>
      </c>
      <c r="B7413" s="8" t="s">
        <v>7154</v>
      </c>
      <c r="C7413" s="9">
        <v>450</v>
      </c>
      <c r="D7413" s="0">
        <v>0</v>
      </c>
      <c r="E7413" s="10">
        <f>HYPERLINK("http://www.lingerieopt.ru/images/original/b50bb750-8ced-4329-b0e3-0fd128f636f8.jpg","Фото")</f>
      </c>
    </row>
    <row r="7414">
      <c r="A7414" s="7">
        <f>HYPERLINK("http://www.lingerieopt.ru/item/9403-azhurnje-trusiki-anche-plus-size/","9403")</f>
      </c>
      <c r="B7414" s="8" t="s">
        <v>7155</v>
      </c>
      <c r="C7414" s="9">
        <v>673</v>
      </c>
      <c r="D7414" s="0">
        <v>2</v>
      </c>
      <c r="E7414" s="10">
        <f>HYPERLINK("http://www.lingerieopt.ru/images/original/f1cca26b-dcc2-4c4d-b888-338a20256cf6.jpg","Фото")</f>
      </c>
    </row>
    <row r="7415">
      <c r="A7415" s="7">
        <f>HYPERLINK("http://www.lingerieopt.ru/item/9403-azhurnje-trusiki-anche-plus-size/","9403")</f>
      </c>
      <c r="B7415" s="8" t="s">
        <v>7156</v>
      </c>
      <c r="C7415" s="9">
        <v>673</v>
      </c>
      <c r="D7415" s="0">
        <v>2</v>
      </c>
      <c r="E7415" s="10">
        <f>HYPERLINK("http://www.lingerieopt.ru/images/original/f1cca26b-dcc2-4c4d-b888-338a20256cf6.jpg","Фото")</f>
      </c>
    </row>
    <row r="7416">
      <c r="A7416" s="7">
        <f>HYPERLINK("http://www.lingerieopt.ru/item/9405-trusiki-ardica-plus-size-s-vjrezom-szadi/","9405")</f>
      </c>
      <c r="B7416" s="8" t="s">
        <v>7157</v>
      </c>
      <c r="C7416" s="9">
        <v>697</v>
      </c>
      <c r="D7416" s="0">
        <v>0</v>
      </c>
      <c r="E7416" s="10">
        <f>HYPERLINK("http://www.lingerieopt.ru/images/original/a7cefb4b-a640-4c55-a4b8-429166b85f27.jpg","Фото")</f>
      </c>
    </row>
    <row r="7417">
      <c r="A7417" s="7">
        <f>HYPERLINK("http://www.lingerieopt.ru/item/9405-trusiki-ardica-plus-size-s-vjrezom-szadi/","9405")</f>
      </c>
      <c r="B7417" s="8" t="s">
        <v>7158</v>
      </c>
      <c r="C7417" s="9">
        <v>697</v>
      </c>
      <c r="D7417" s="0">
        <v>2</v>
      </c>
      <c r="E7417" s="10">
        <f>HYPERLINK("http://www.lingerieopt.ru/images/original/a7cefb4b-a640-4c55-a4b8-429166b85f27.jpg","Фото")</f>
      </c>
    </row>
    <row r="7418">
      <c r="A7418" s="7">
        <f>HYPERLINK("http://www.lingerieopt.ru/item/9410-originalnje-kruzhevnje-trusiki-lemai-plus-size/","9410")</f>
      </c>
      <c r="B7418" s="8" t="s">
        <v>7159</v>
      </c>
      <c r="C7418" s="9">
        <v>599</v>
      </c>
      <c r="D7418" s="0">
        <v>4</v>
      </c>
      <c r="E7418" s="10">
        <f>HYPERLINK("http://www.lingerieopt.ru/images/original/57212e21-00c3-433a-8c79-9aed35912f4d.jpg","Фото")</f>
      </c>
    </row>
    <row r="7419">
      <c r="A7419" s="7">
        <f>HYPERLINK("http://www.lingerieopt.ru/item/9410-originalnje-kruzhevnje-trusiki-lemai-plus-size/","9410")</f>
      </c>
      <c r="B7419" s="8" t="s">
        <v>7160</v>
      </c>
      <c r="C7419" s="9">
        <v>599</v>
      </c>
      <c r="D7419" s="0">
        <v>2</v>
      </c>
      <c r="E7419" s="10">
        <f>HYPERLINK("http://www.lingerieopt.ru/images/original/57212e21-00c3-433a-8c79-9aed35912f4d.jpg","Фото")</f>
      </c>
    </row>
    <row r="7420">
      <c r="A7420" s="7">
        <f>HYPERLINK("http://www.lingerieopt.ru/item/9411-originalnje-azhurnje-trusiki-lemai/","9411")</f>
      </c>
      <c r="B7420" s="8" t="s">
        <v>7161</v>
      </c>
      <c r="C7420" s="9">
        <v>599</v>
      </c>
      <c r="D7420" s="0">
        <v>3</v>
      </c>
      <c r="E7420" s="10">
        <f>HYPERLINK("http://www.lingerieopt.ru/images/original/d1480862-77b4-4791-835b-9c68ff3736fd.jpg","Фото")</f>
      </c>
    </row>
    <row r="7421">
      <c r="A7421" s="7">
        <f>HYPERLINK("http://www.lingerieopt.ru/item/9411-originalnje-azhurnje-trusiki-lemai/","9411")</f>
      </c>
      <c r="B7421" s="8" t="s">
        <v>7162</v>
      </c>
      <c r="C7421" s="9">
        <v>599</v>
      </c>
      <c r="D7421" s="0">
        <v>1</v>
      </c>
      <c r="E7421" s="10">
        <f>HYPERLINK("http://www.lingerieopt.ru/images/original/d1480862-77b4-4791-835b-9c68ff3736fd.jpg","Фото")</f>
      </c>
    </row>
    <row r="7422">
      <c r="A7422" s="7">
        <f>HYPERLINK("http://www.lingerieopt.ru/item/9411-originalnje-azhurnje-trusiki-lemai/","9411")</f>
      </c>
      <c r="B7422" s="8" t="s">
        <v>7163</v>
      </c>
      <c r="C7422" s="9">
        <v>599</v>
      </c>
      <c r="D7422" s="0">
        <v>2</v>
      </c>
      <c r="E7422" s="10">
        <f>HYPERLINK("http://www.lingerieopt.ru/images/original/d1480862-77b4-4791-835b-9c68ff3736fd.jpg","Фото")</f>
      </c>
    </row>
    <row r="7423">
      <c r="A7423" s="7">
        <f>HYPERLINK("http://www.lingerieopt.ru/item/9411-originalnje-azhurnje-trusiki-lemai/","9411")</f>
      </c>
      <c r="B7423" s="8" t="s">
        <v>7164</v>
      </c>
      <c r="C7423" s="9">
        <v>599</v>
      </c>
      <c r="D7423" s="0">
        <v>5</v>
      </c>
      <c r="E7423" s="10">
        <f>HYPERLINK("http://www.lingerieopt.ru/images/original/d1480862-77b4-4791-835b-9c68ff3736fd.jpg","Фото")</f>
      </c>
    </row>
    <row r="7424">
      <c r="A7424" s="7">
        <f>HYPERLINK("http://www.lingerieopt.ru/item/9418-kruzhevnje-trusiki-stringi-sotille-plus-size-s-oborkoi-po-krayu/","9418")</f>
      </c>
      <c r="B7424" s="8" t="s">
        <v>7165</v>
      </c>
      <c r="C7424" s="9">
        <v>512</v>
      </c>
      <c r="D7424" s="0">
        <v>2</v>
      </c>
      <c r="E7424" s="10">
        <f>HYPERLINK("http://www.lingerieopt.ru/images/original/9453ca74-480f-4d64-bbc2-4d51ce4e6911.jpg","Фото")</f>
      </c>
    </row>
    <row r="7425">
      <c r="A7425" s="7">
        <f>HYPERLINK("http://www.lingerieopt.ru/item/9418-kruzhevnje-trusiki-stringi-sotille-plus-size-s-oborkoi-po-krayu/","9418")</f>
      </c>
      <c r="B7425" s="8" t="s">
        <v>7166</v>
      </c>
      <c r="C7425" s="9">
        <v>512</v>
      </c>
      <c r="D7425" s="0">
        <v>1</v>
      </c>
      <c r="E7425" s="10">
        <f>HYPERLINK("http://www.lingerieopt.ru/images/original/9453ca74-480f-4d64-bbc2-4d51ce4e6911.jpg","Фото")</f>
      </c>
    </row>
    <row r="7426">
      <c r="A7426" s="7">
        <f>HYPERLINK("http://www.lingerieopt.ru/item/9419-trusiki-stringi-sotille-s-oborkoi-po-krayu/","9419")</f>
      </c>
      <c r="B7426" s="8" t="s">
        <v>7167</v>
      </c>
      <c r="C7426" s="9">
        <v>512</v>
      </c>
      <c r="D7426" s="0">
        <v>2</v>
      </c>
      <c r="E7426" s="10">
        <f>HYPERLINK("http://www.lingerieopt.ru/images/original/7da91853-0576-490f-aa20-e6cb5ac41ca8.jpg","Фото")</f>
      </c>
    </row>
    <row r="7427">
      <c r="A7427" s="7">
        <f>HYPERLINK("http://www.lingerieopt.ru/item/9419-trusiki-stringi-sotille-s-oborkoi-po-krayu/","9419")</f>
      </c>
      <c r="B7427" s="8" t="s">
        <v>7168</v>
      </c>
      <c r="C7427" s="9">
        <v>512</v>
      </c>
      <c r="D7427" s="0">
        <v>3</v>
      </c>
      <c r="E7427" s="10">
        <f>HYPERLINK("http://www.lingerieopt.ru/images/original/7da91853-0576-490f-aa20-e6cb5ac41ca8.jpg","Фото")</f>
      </c>
    </row>
    <row r="7428">
      <c r="A7428" s="7">
        <f>HYPERLINK("http://www.lingerieopt.ru/item/9419-trusiki-stringi-sotille-s-oborkoi-po-krayu/","9419")</f>
      </c>
      <c r="B7428" s="8" t="s">
        <v>7169</v>
      </c>
      <c r="C7428" s="9">
        <v>512</v>
      </c>
      <c r="D7428" s="0">
        <v>2</v>
      </c>
      <c r="E7428" s="10">
        <f>HYPERLINK("http://www.lingerieopt.ru/images/original/7da91853-0576-490f-aa20-e6cb5ac41ca8.jpg","Фото")</f>
      </c>
    </row>
    <row r="7429">
      <c r="A7429" s="7">
        <f>HYPERLINK("http://www.lingerieopt.ru/item/9419-trusiki-stringi-sotille-s-oborkoi-po-krayu/","9419")</f>
      </c>
      <c r="B7429" s="8" t="s">
        <v>7170</v>
      </c>
      <c r="C7429" s="9">
        <v>512</v>
      </c>
      <c r="D7429" s="0">
        <v>5</v>
      </c>
      <c r="E7429" s="10">
        <f>HYPERLINK("http://www.lingerieopt.ru/images/original/7da91853-0576-490f-aa20-e6cb5ac41ca8.jpg","Фото")</f>
      </c>
    </row>
    <row r="7430">
      <c r="A7430" s="7">
        <f>HYPERLINK("http://www.lingerieopt.ru/item/9429-trusiki-carol-plus-size-s-kruzhevnjmi-vstavkami/","9429")</f>
      </c>
      <c r="B7430" s="8" t="s">
        <v>7171</v>
      </c>
      <c r="C7430" s="9">
        <v>400</v>
      </c>
      <c r="D7430" s="0">
        <v>0</v>
      </c>
      <c r="E7430" s="10">
        <f>HYPERLINK("http://www.lingerieopt.ru/images/original/312863a6-3dfa-4b6c-aa03-80703ec03e93.jpg","Фото")</f>
      </c>
    </row>
    <row r="7431">
      <c r="A7431" s="7">
        <f>HYPERLINK("http://www.lingerieopt.ru/item/9429-trusiki-carol-plus-size-s-kruzhevnjmi-vstavkami/","9429")</f>
      </c>
      <c r="B7431" s="8" t="s">
        <v>7172</v>
      </c>
      <c r="C7431" s="9">
        <v>400</v>
      </c>
      <c r="D7431" s="0">
        <v>2</v>
      </c>
      <c r="E7431" s="10">
        <f>HYPERLINK("http://www.lingerieopt.ru/images/original/312863a6-3dfa-4b6c-aa03-80703ec03e93.jpg","Фото")</f>
      </c>
    </row>
    <row r="7432">
      <c r="A7432" s="7">
        <f>HYPERLINK("http://www.lingerieopt.ru/item/9435-trusiki-stringi-aileen-plus-size-s-kruzhevami-i-soedinitelnjm-kolechkom-szadi/","9435")</f>
      </c>
      <c r="B7432" s="8" t="s">
        <v>7173</v>
      </c>
      <c r="C7432" s="9">
        <v>744</v>
      </c>
      <c r="D7432" s="0">
        <v>0</v>
      </c>
      <c r="E7432" s="10">
        <f>HYPERLINK("http://www.lingerieopt.ru/images/original/f80ca8cb-5c7e-451c-aea0-c8f7010a4a25.jpg","Фото")</f>
      </c>
    </row>
    <row r="7433">
      <c r="A7433" s="7">
        <f>HYPERLINK("http://www.lingerieopt.ru/item/9435-trusiki-stringi-aileen-plus-size-s-kruzhevami-i-soedinitelnjm-kolechkom-szadi/","9435")</f>
      </c>
      <c r="B7433" s="8" t="s">
        <v>7174</v>
      </c>
      <c r="C7433" s="9">
        <v>744</v>
      </c>
      <c r="D7433" s="0">
        <v>2</v>
      </c>
      <c r="E7433" s="10">
        <f>HYPERLINK("http://www.lingerieopt.ru/images/original/f80ca8cb-5c7e-451c-aea0-c8f7010a4a25.jpg","Фото")</f>
      </c>
    </row>
    <row r="7434">
      <c r="A7434" s="7">
        <f>HYPERLINK("http://www.lingerieopt.ru/item/9435-trusiki-stringi-aileen-plus-size-s-kruzhevami-i-soedinitelnjm-kolechkom-szadi/","9435")</f>
      </c>
      <c r="B7434" s="8" t="s">
        <v>7175</v>
      </c>
      <c r="C7434" s="9">
        <v>744</v>
      </c>
      <c r="D7434" s="0">
        <v>2</v>
      </c>
      <c r="E7434" s="10">
        <f>HYPERLINK("http://www.lingerieopt.ru/images/original/f80ca8cb-5c7e-451c-aea0-c8f7010a4a25.jpg","Фото")</f>
      </c>
    </row>
    <row r="7435">
      <c r="A7435" s="7">
        <f>HYPERLINK("http://www.lingerieopt.ru/item/9435-trusiki-stringi-aileen-plus-size-s-kruzhevami-i-soedinitelnjm-kolechkom-szadi/","9435")</f>
      </c>
      <c r="B7435" s="8" t="s">
        <v>7176</v>
      </c>
      <c r="C7435" s="9">
        <v>744</v>
      </c>
      <c r="D7435" s="0">
        <v>2</v>
      </c>
      <c r="E7435" s="10">
        <f>HYPERLINK("http://www.lingerieopt.ru/images/original/f80ca8cb-5c7e-451c-aea0-c8f7010a4a25.jpg","Фото")</f>
      </c>
    </row>
    <row r="7436">
      <c r="A7436" s="7">
        <f>HYPERLINK("http://www.lingerieopt.ru/item/9436-trusiki-stringi-aileen-s-azhurom-i-soedinitelnjm-kolechkom-szadi/","9436")</f>
      </c>
      <c r="B7436" s="8" t="s">
        <v>7177</v>
      </c>
      <c r="C7436" s="9">
        <v>744</v>
      </c>
      <c r="D7436" s="0">
        <v>2</v>
      </c>
      <c r="E7436" s="10">
        <f>HYPERLINK("http://www.lingerieopt.ru/images/original/ce7e8f89-c90b-40e5-a7d7-ec1852e50a8b.jpg","Фото")</f>
      </c>
    </row>
    <row r="7437">
      <c r="A7437" s="7">
        <f>HYPERLINK("http://www.lingerieopt.ru/item/9436-trusiki-stringi-aileen-s-azhurom-i-soedinitelnjm-kolechkom-szadi/","9436")</f>
      </c>
      <c r="B7437" s="8" t="s">
        <v>7178</v>
      </c>
      <c r="C7437" s="9">
        <v>744</v>
      </c>
      <c r="D7437" s="0">
        <v>3</v>
      </c>
      <c r="E7437" s="10">
        <f>HYPERLINK("http://www.lingerieopt.ru/images/original/ce7e8f89-c90b-40e5-a7d7-ec1852e50a8b.jpg","Фото")</f>
      </c>
    </row>
    <row r="7438">
      <c r="A7438" s="7">
        <f>HYPERLINK("http://www.lingerieopt.ru/item/9436-trusiki-stringi-aileen-s-azhurom-i-soedinitelnjm-kolechkom-szadi/","9436")</f>
      </c>
      <c r="B7438" s="8" t="s">
        <v>7179</v>
      </c>
      <c r="C7438" s="9">
        <v>744</v>
      </c>
      <c r="D7438" s="0">
        <v>2</v>
      </c>
      <c r="E7438" s="10">
        <f>HYPERLINK("http://www.lingerieopt.ru/images/original/ce7e8f89-c90b-40e5-a7d7-ec1852e50a8b.jpg","Фото")</f>
      </c>
    </row>
    <row r="7439">
      <c r="A7439" s="7">
        <f>HYPERLINK("http://www.lingerieopt.ru/item/9436-trusiki-stringi-aileen-s-azhurom-i-soedinitelnjm-kolechkom-szadi/","9436")</f>
      </c>
      <c r="B7439" s="8" t="s">
        <v>7180</v>
      </c>
      <c r="C7439" s="9">
        <v>744</v>
      </c>
      <c r="D7439" s="0">
        <v>1</v>
      </c>
      <c r="E7439" s="10">
        <f>HYPERLINK("http://www.lingerieopt.ru/images/original/ce7e8f89-c90b-40e5-a7d7-ec1852e50a8b.jpg","Фото")</f>
      </c>
    </row>
    <row r="7440">
      <c r="A7440" s="7">
        <f>HYPERLINK("http://www.lingerieopt.ru/item/9436-trusiki-stringi-aileen-s-azhurom-i-soedinitelnjm-kolechkom-szadi/","9436")</f>
      </c>
      <c r="B7440" s="8" t="s">
        <v>7181</v>
      </c>
      <c r="C7440" s="9">
        <v>744</v>
      </c>
      <c r="D7440" s="0">
        <v>2</v>
      </c>
      <c r="E7440" s="10">
        <f>HYPERLINK("http://www.lingerieopt.ru/images/original/ce7e8f89-c90b-40e5-a7d7-ec1852e50a8b.jpg","Фото")</f>
      </c>
    </row>
    <row r="7441">
      <c r="A7441" s="7">
        <f>HYPERLINK("http://www.lingerieopt.ru/item/9436-trusiki-stringi-aileen-s-azhurom-i-soedinitelnjm-kolechkom-szadi/","9436")</f>
      </c>
      <c r="B7441" s="8" t="s">
        <v>7182</v>
      </c>
      <c r="C7441" s="9">
        <v>744</v>
      </c>
      <c r="D7441" s="0">
        <v>0</v>
      </c>
      <c r="E7441" s="10">
        <f>HYPERLINK("http://www.lingerieopt.ru/images/original/ce7e8f89-c90b-40e5-a7d7-ec1852e50a8b.jpg","Фото")</f>
      </c>
    </row>
    <row r="7442">
      <c r="A7442" s="7">
        <f>HYPERLINK("http://www.lingerieopt.ru/item/9436-trusiki-stringi-aileen-s-azhurom-i-soedinitelnjm-kolechkom-szadi/","9436")</f>
      </c>
      <c r="B7442" s="8" t="s">
        <v>7183</v>
      </c>
      <c r="C7442" s="9">
        <v>744</v>
      </c>
      <c r="D7442" s="0">
        <v>1</v>
      </c>
      <c r="E7442" s="10">
        <f>HYPERLINK("http://www.lingerieopt.ru/images/original/ce7e8f89-c90b-40e5-a7d7-ec1852e50a8b.jpg","Фото")</f>
      </c>
    </row>
    <row r="7443">
      <c r="A7443" s="7">
        <f>HYPERLINK("http://www.lingerieopt.ru/item/9436-trusiki-stringi-aileen-s-azhurom-i-soedinitelnjm-kolechkom-szadi/","9436")</f>
      </c>
      <c r="B7443" s="8" t="s">
        <v>7184</v>
      </c>
      <c r="C7443" s="9">
        <v>744</v>
      </c>
      <c r="D7443" s="0">
        <v>2</v>
      </c>
      <c r="E7443" s="10">
        <f>HYPERLINK("http://www.lingerieopt.ru/images/original/ce7e8f89-c90b-40e5-a7d7-ec1852e50a8b.jpg","Фото")</f>
      </c>
    </row>
    <row r="7444">
      <c r="A7444" s="7">
        <f>HYPERLINK("http://www.lingerieopt.ru/item/9447-trusiki-oda-plus-size-s-cvetochnjm-ornamentom-szadi-i-bantikami-speredi/","9447")</f>
      </c>
      <c r="B7444" s="8" t="s">
        <v>7185</v>
      </c>
      <c r="C7444" s="9">
        <v>839</v>
      </c>
      <c r="D7444" s="0">
        <v>1</v>
      </c>
      <c r="E7444" s="10">
        <f>HYPERLINK("http://www.lingerieopt.ru/images/original/9714e7de-fb92-4ce7-a7a0-5e4b413c967a.jpg","Фото")</f>
      </c>
    </row>
    <row r="7445">
      <c r="A7445" s="7">
        <f>HYPERLINK("http://www.lingerieopt.ru/item/9447-trusiki-oda-plus-size-s-cvetochnjm-ornamentom-szadi-i-bantikami-speredi/","9447")</f>
      </c>
      <c r="B7445" s="8" t="s">
        <v>7186</v>
      </c>
      <c r="C7445" s="9">
        <v>839</v>
      </c>
      <c r="D7445" s="0">
        <v>1</v>
      </c>
      <c r="E7445" s="10">
        <f>HYPERLINK("http://www.lingerieopt.ru/images/original/9714e7de-fb92-4ce7-a7a0-5e4b413c967a.jpg","Фото")</f>
      </c>
    </row>
    <row r="7446">
      <c r="A7446" s="7">
        <f>HYPERLINK("http://www.lingerieopt.ru/item/9451-trusiki-stringi-gloria-plus-size-s-tonenkimi-bretelyami/","9451")</f>
      </c>
      <c r="B7446" s="8" t="s">
        <v>7187</v>
      </c>
      <c r="C7446" s="9">
        <v>212</v>
      </c>
      <c r="D7446" s="0">
        <v>3</v>
      </c>
      <c r="E7446" s="10">
        <f>HYPERLINK("http://www.lingerieopt.ru/images/original/fd2a3e3e-af8b-4eaa-b75a-9a63afd047cd.jpg","Фото")</f>
      </c>
    </row>
    <row r="7447">
      <c r="A7447" s="7">
        <f>HYPERLINK("http://www.lingerieopt.ru/item/9451-trusiki-stringi-gloria-plus-size-s-tonenkimi-bretelyami/","9451")</f>
      </c>
      <c r="B7447" s="8" t="s">
        <v>7188</v>
      </c>
      <c r="C7447" s="9">
        <v>212</v>
      </c>
      <c r="D7447" s="0">
        <v>1</v>
      </c>
      <c r="E7447" s="10">
        <f>HYPERLINK("http://www.lingerieopt.ru/images/original/fd2a3e3e-af8b-4eaa-b75a-9a63afd047cd.jpg","Фото")</f>
      </c>
    </row>
    <row r="7448">
      <c r="A7448" s="7">
        <f>HYPERLINK("http://www.lingerieopt.ru/item/9452-poluprozrachnje-trusiki-stringi-kami-plus-size-iz-kruzheva/","9452")</f>
      </c>
      <c r="B7448" s="8" t="s">
        <v>7189</v>
      </c>
      <c r="C7448" s="9">
        <v>225</v>
      </c>
      <c r="D7448" s="0">
        <v>2</v>
      </c>
      <c r="E7448" s="10">
        <f>HYPERLINK("http://www.lingerieopt.ru/images/original/df153957-70a0-43ef-94a1-2e848c312e59.jpg","Фото")</f>
      </c>
    </row>
    <row r="7449">
      <c r="A7449" s="7">
        <f>HYPERLINK("http://www.lingerieopt.ru/item/9452-poluprozrachnje-trusiki-stringi-kami-plus-size-iz-kruzheva/","9452")</f>
      </c>
      <c r="B7449" s="8" t="s">
        <v>7190</v>
      </c>
      <c r="C7449" s="9">
        <v>225</v>
      </c>
      <c r="D7449" s="0">
        <v>5</v>
      </c>
      <c r="E7449" s="10">
        <f>HYPERLINK("http://www.lingerieopt.ru/images/original/df153957-70a0-43ef-94a1-2e848c312e59.jpg","Фото")</f>
      </c>
    </row>
    <row r="7450">
      <c r="A7450" s="7">
        <f>HYPERLINK("http://www.lingerieopt.ru/item/9453-trusiki-stringi-inspires-plus-size-s-bretelyami-napominayuschimi-cepochki/","9453")</f>
      </c>
      <c r="B7450" s="8" t="s">
        <v>7191</v>
      </c>
      <c r="C7450" s="9">
        <v>424</v>
      </c>
      <c r="D7450" s="0">
        <v>2</v>
      </c>
      <c r="E7450" s="10">
        <f>HYPERLINK("http://www.lingerieopt.ru/images/original/caa477af-2a5f-46f6-9f15-1334e53a5a29.jpg","Фото")</f>
      </c>
    </row>
    <row r="7451">
      <c r="A7451" s="7">
        <f>HYPERLINK("http://www.lingerieopt.ru/item/9453-trusiki-stringi-inspires-plus-size-s-bretelyami-napominayuschimi-cepochki/","9453")</f>
      </c>
      <c r="B7451" s="8" t="s">
        <v>7192</v>
      </c>
      <c r="C7451" s="9">
        <v>424</v>
      </c>
      <c r="D7451" s="0">
        <v>1</v>
      </c>
      <c r="E7451" s="10">
        <f>HYPERLINK("http://www.lingerieopt.ru/images/original/caa477af-2a5f-46f6-9f15-1334e53a5a29.jpg","Фото")</f>
      </c>
    </row>
    <row r="7452">
      <c r="A7452" s="7">
        <f>HYPERLINK("http://www.lingerieopt.ru/item/9454-trusiki-stringi-peach-plus-size-s-cvetochnjm-uzorom-kruzheva/","9454")</f>
      </c>
      <c r="B7452" s="8" t="s">
        <v>7193</v>
      </c>
      <c r="C7452" s="9">
        <v>225</v>
      </c>
      <c r="D7452" s="0">
        <v>3</v>
      </c>
      <c r="E7452" s="10">
        <f>HYPERLINK("http://www.lingerieopt.ru/images/original/de4c5704-8cb7-4f01-8be1-12965916d9b2.jpg","Фото")</f>
      </c>
    </row>
    <row r="7453">
      <c r="A7453" s="7">
        <f>HYPERLINK("http://www.lingerieopt.ru/item/9454-trusiki-stringi-peach-plus-size-s-cvetochnjm-uzorom-kruzheva/","9454")</f>
      </c>
      <c r="B7453" s="8" t="s">
        <v>7194</v>
      </c>
      <c r="C7453" s="9">
        <v>225</v>
      </c>
      <c r="D7453" s="0">
        <v>2</v>
      </c>
      <c r="E7453" s="10">
        <f>HYPERLINK("http://www.lingerieopt.ru/images/original/de4c5704-8cb7-4f01-8be1-12965916d9b2.jpg","Фото")</f>
      </c>
    </row>
    <row r="7454">
      <c r="A7454" s="7">
        <f>HYPERLINK("http://www.lingerieopt.ru/item/9455-soblaznitelnje-trusiki-stringi-cayenne-plus-size/","9455")</f>
      </c>
      <c r="B7454" s="8" t="s">
        <v>7195</v>
      </c>
      <c r="C7454" s="9">
        <v>488</v>
      </c>
      <c r="D7454" s="0">
        <v>2</v>
      </c>
      <c r="E7454" s="10">
        <f>HYPERLINK("http://www.lingerieopt.ru/images/original/d35ef2e9-d02f-40ae-8c22-8beb1a8bef23.jpg","Фото")</f>
      </c>
    </row>
    <row r="7455">
      <c r="A7455" s="7">
        <f>HYPERLINK("http://www.lingerieopt.ru/item/9455-soblaznitelnje-trusiki-stringi-cayenne-plus-size/","9455")</f>
      </c>
      <c r="B7455" s="8" t="s">
        <v>7196</v>
      </c>
      <c r="C7455" s="9">
        <v>488</v>
      </c>
      <c r="D7455" s="0">
        <v>3</v>
      </c>
      <c r="E7455" s="10">
        <f>HYPERLINK("http://www.lingerieopt.ru/images/original/d35ef2e9-d02f-40ae-8c22-8beb1a8bef23.jpg","Фото")</f>
      </c>
    </row>
    <row r="7456">
      <c r="A7456" s="7">
        <f>HYPERLINK("http://www.lingerieopt.ru/item/9456-trusiki-stringi-medea-plus-size-s-vjrezom-i-podveskoi/","9456")</f>
      </c>
      <c r="B7456" s="8" t="s">
        <v>7197</v>
      </c>
      <c r="C7456" s="9">
        <v>512</v>
      </c>
      <c r="D7456" s="0">
        <v>2</v>
      </c>
      <c r="E7456" s="10">
        <f>HYPERLINK("http://www.lingerieopt.ru/images/original/1af3aac2-3184-455a-a040-b196c0c5c8e7.jpg","Фото")</f>
      </c>
    </row>
    <row r="7457">
      <c r="A7457" s="7">
        <f>HYPERLINK("http://www.lingerieopt.ru/item/9456-trusiki-stringi-medea-plus-size-s-vjrezom-i-podveskoi/","9456")</f>
      </c>
      <c r="B7457" s="8" t="s">
        <v>7198</v>
      </c>
      <c r="C7457" s="9">
        <v>512</v>
      </c>
      <c r="D7457" s="0">
        <v>4</v>
      </c>
      <c r="E7457" s="10">
        <f>HYPERLINK("http://www.lingerieopt.ru/images/original/1af3aac2-3184-455a-a040-b196c0c5c8e7.jpg","Фото")</f>
      </c>
    </row>
    <row r="7458">
      <c r="A7458" s="7">
        <f>HYPERLINK("http://www.lingerieopt.ru/item/9457-trusiki-stringi-leonie-plus-size-s-2-bretelyami/","9457")</f>
      </c>
      <c r="B7458" s="8" t="s">
        <v>7199</v>
      </c>
      <c r="C7458" s="9">
        <v>475</v>
      </c>
      <c r="D7458" s="0">
        <v>2</v>
      </c>
      <c r="E7458" s="10">
        <f>HYPERLINK("http://www.lingerieopt.ru/images/original/3502d03b-de6d-41ea-856c-06af72813198.jpg","Фото")</f>
      </c>
    </row>
    <row r="7459">
      <c r="A7459" s="7">
        <f>HYPERLINK("http://www.lingerieopt.ru/item/9457-trusiki-stringi-leonie-plus-size-s-2-bretelyami/","9457")</f>
      </c>
      <c r="B7459" s="8" t="s">
        <v>7200</v>
      </c>
      <c r="C7459" s="9">
        <v>475</v>
      </c>
      <c r="D7459" s="0">
        <v>1</v>
      </c>
      <c r="E7459" s="10">
        <f>HYPERLINK("http://www.lingerieopt.ru/images/original/3502d03b-de6d-41ea-856c-06af72813198.jpg","Фото")</f>
      </c>
    </row>
    <row r="7460">
      <c r="A7460" s="7">
        <f>HYPERLINK("http://www.lingerieopt.ru/item/9458-rombovidnje-kruzhevnje-trusiki-stringi-leonie/","9458")</f>
      </c>
      <c r="B7460" s="8" t="s">
        <v>7201</v>
      </c>
      <c r="C7460" s="9">
        <v>475</v>
      </c>
      <c r="D7460" s="0">
        <v>1</v>
      </c>
      <c r="E7460" s="10">
        <f>HYPERLINK("http://www.lingerieopt.ru/images/original/f273d744-9a1c-4164-869c-112a597cbcf7.jpg","Фото")</f>
      </c>
    </row>
    <row r="7461">
      <c r="A7461" s="7">
        <f>HYPERLINK("http://www.lingerieopt.ru/item/9458-rombovidnje-kruzhevnje-trusiki-stringi-leonie/","9458")</f>
      </c>
      <c r="B7461" s="8" t="s">
        <v>7202</v>
      </c>
      <c r="C7461" s="9">
        <v>475</v>
      </c>
      <c r="D7461" s="0">
        <v>5</v>
      </c>
      <c r="E7461" s="10">
        <f>HYPERLINK("http://www.lingerieopt.ru/images/original/f273d744-9a1c-4164-869c-112a597cbcf7.jpg","Фото")</f>
      </c>
    </row>
    <row r="7462">
      <c r="A7462" s="7">
        <f>HYPERLINK("http://www.lingerieopt.ru/item/9458-rombovidnje-kruzhevnje-trusiki-stringi-leonie/","9458")</f>
      </c>
      <c r="B7462" s="8" t="s">
        <v>7203</v>
      </c>
      <c r="C7462" s="9">
        <v>475</v>
      </c>
      <c r="D7462" s="0">
        <v>6</v>
      </c>
      <c r="E7462" s="10">
        <f>HYPERLINK("http://www.lingerieopt.ru/images/original/f273d744-9a1c-4164-869c-112a597cbcf7.jpg","Фото")</f>
      </c>
    </row>
    <row r="7463">
      <c r="A7463" s="7">
        <f>HYPERLINK("http://www.lingerieopt.ru/item/9458-rombovidnje-kruzhevnje-trusiki-stringi-leonie/","9458")</f>
      </c>
      <c r="B7463" s="8" t="s">
        <v>7204</v>
      </c>
      <c r="C7463" s="9">
        <v>475</v>
      </c>
      <c r="D7463" s="0">
        <v>6</v>
      </c>
      <c r="E7463" s="10">
        <f>HYPERLINK("http://www.lingerieopt.ru/images/original/f273d744-9a1c-4164-869c-112a597cbcf7.jpg","Фото")</f>
      </c>
    </row>
    <row r="7464">
      <c r="A7464" s="7">
        <f>HYPERLINK("http://www.lingerieopt.ru/item/9459-kruzhevnje-trusiki-stringi-nessa-s-bantikami/","9459")</f>
      </c>
      <c r="B7464" s="8" t="s">
        <v>7205</v>
      </c>
      <c r="C7464" s="9">
        <v>413</v>
      </c>
      <c r="D7464" s="0">
        <v>2</v>
      </c>
      <c r="E7464" s="10">
        <f>HYPERLINK("http://www.lingerieopt.ru/images/original/dda22468-63ac-4c85-b1d9-751b58231f2c.jpg","Фото")</f>
      </c>
    </row>
    <row r="7465">
      <c r="A7465" s="7">
        <f>HYPERLINK("http://www.lingerieopt.ru/item/9459-kruzhevnje-trusiki-stringi-nessa-s-bantikami/","9459")</f>
      </c>
      <c r="B7465" s="8" t="s">
        <v>7206</v>
      </c>
      <c r="C7465" s="9">
        <v>413</v>
      </c>
      <c r="D7465" s="0">
        <v>4</v>
      </c>
      <c r="E7465" s="10">
        <f>HYPERLINK("http://www.lingerieopt.ru/images/original/dda22468-63ac-4c85-b1d9-751b58231f2c.jpg","Фото")</f>
      </c>
    </row>
    <row r="7466">
      <c r="A7466" s="7">
        <f>HYPERLINK("http://www.lingerieopt.ru/item/9459-kruzhevnje-trusiki-stringi-nessa-s-bantikami/","9459")</f>
      </c>
      <c r="B7466" s="8" t="s">
        <v>7207</v>
      </c>
      <c r="C7466" s="9">
        <v>413</v>
      </c>
      <c r="D7466" s="0">
        <v>2</v>
      </c>
      <c r="E7466" s="10">
        <f>HYPERLINK("http://www.lingerieopt.ru/images/original/dda22468-63ac-4c85-b1d9-751b58231f2c.jpg","Фото")</f>
      </c>
    </row>
    <row r="7467">
      <c r="A7467" s="7">
        <f>HYPERLINK("http://www.lingerieopt.ru/item/9459-kruzhevnje-trusiki-stringi-nessa-s-bantikami/","9459")</f>
      </c>
      <c r="B7467" s="8" t="s">
        <v>7208</v>
      </c>
      <c r="C7467" s="9">
        <v>413</v>
      </c>
      <c r="D7467" s="0">
        <v>4</v>
      </c>
      <c r="E7467" s="10">
        <f>HYPERLINK("http://www.lingerieopt.ru/images/original/dda22468-63ac-4c85-b1d9-751b58231f2c.jpg","Фото")</f>
      </c>
    </row>
    <row r="7468">
      <c r="A7468" s="7">
        <f>HYPERLINK("http://www.lingerieopt.ru/item/9465-koketlivje-trusiki-santige-plus-size-s-vjrezom-szadi/","9465")</f>
      </c>
      <c r="B7468" s="8" t="s">
        <v>7209</v>
      </c>
      <c r="C7468" s="9">
        <v>525</v>
      </c>
      <c r="D7468" s="0">
        <v>3</v>
      </c>
      <c r="E7468" s="10">
        <f>HYPERLINK("http://www.lingerieopt.ru/images/original/62377884-38c4-479d-96fb-1324c9c8ddb9.jpg","Фото")</f>
      </c>
    </row>
    <row r="7469">
      <c r="A7469" s="7">
        <f>HYPERLINK("http://www.lingerieopt.ru/item/9465-koketlivje-trusiki-santige-plus-size-s-vjrezom-szadi/","9465")</f>
      </c>
      <c r="B7469" s="8" t="s">
        <v>7210</v>
      </c>
      <c r="C7469" s="9">
        <v>525</v>
      </c>
      <c r="D7469" s="0">
        <v>2</v>
      </c>
      <c r="E7469" s="10">
        <f>HYPERLINK("http://www.lingerieopt.ru/images/original/62377884-38c4-479d-96fb-1324c9c8ddb9.jpg","Фото")</f>
      </c>
    </row>
    <row r="7470">
      <c r="A7470" s="7">
        <f>HYPERLINK("http://www.lingerieopt.ru/item/9466-trusiki-stringi-tessili-plus-size-s-vjrezami/","9466")</f>
      </c>
      <c r="B7470" s="8" t="s">
        <v>7211</v>
      </c>
      <c r="C7470" s="9">
        <v>325</v>
      </c>
      <c r="D7470" s="0">
        <v>1</v>
      </c>
      <c r="E7470" s="10">
        <f>HYPERLINK("http://www.lingerieopt.ru/images/original/faf2f34f-de70-48e8-b4ac-d073c4e257dc.jpg","Фото")</f>
      </c>
    </row>
    <row r="7471">
      <c r="A7471" s="7">
        <f>HYPERLINK("http://www.lingerieopt.ru/item/9466-trusiki-stringi-tessili-plus-size-s-vjrezami/","9466")</f>
      </c>
      <c r="B7471" s="8" t="s">
        <v>7212</v>
      </c>
      <c r="C7471" s="9">
        <v>325</v>
      </c>
      <c r="D7471" s="0">
        <v>0</v>
      </c>
      <c r="E7471" s="10">
        <f>HYPERLINK("http://www.lingerieopt.ru/images/original/faf2f34f-de70-48e8-b4ac-d073c4e257dc.jpg","Фото")</f>
      </c>
    </row>
    <row r="7472">
      <c r="A7472" s="7">
        <f>HYPERLINK("http://www.lingerieopt.ru/item/9514-igrivje-trusiki-stringi-dominica-plus-size-s-rozovjmi-bantami-i-dostupom/","9514")</f>
      </c>
      <c r="B7472" s="8" t="s">
        <v>7213</v>
      </c>
      <c r="C7472" s="9">
        <v>349</v>
      </c>
      <c r="D7472" s="0">
        <v>3</v>
      </c>
      <c r="E7472" s="10">
        <f>HYPERLINK("http://www.lingerieopt.ru/images/original/edcaac83-8f69-4c7e-9af0-64510237a1bb.jpg","Фото")</f>
      </c>
    </row>
    <row r="7473">
      <c r="A7473" s="7">
        <f>HYPERLINK("http://www.lingerieopt.ru/item/9514-igrivje-trusiki-stringi-dominica-plus-size-s-rozovjmi-bantami-i-dostupom/","9514")</f>
      </c>
      <c r="B7473" s="8" t="s">
        <v>7214</v>
      </c>
      <c r="C7473" s="9">
        <v>349</v>
      </c>
      <c r="D7473" s="0">
        <v>1</v>
      </c>
      <c r="E7473" s="10">
        <f>HYPERLINK("http://www.lingerieopt.ru/images/original/edcaac83-8f69-4c7e-9af0-64510237a1bb.jpg","Фото")</f>
      </c>
    </row>
    <row r="7474">
      <c r="A7474" s="7">
        <f>HYPERLINK("http://www.lingerieopt.ru/item/9522-kruzhevnje-trusiki-slipj-darcy-plus-size/","9522")</f>
      </c>
      <c r="B7474" s="8" t="s">
        <v>7215</v>
      </c>
      <c r="C7474" s="9">
        <v>791</v>
      </c>
      <c r="D7474" s="0">
        <v>3</v>
      </c>
      <c r="E7474" s="10">
        <f>HYPERLINK("http://www.lingerieopt.ru/images/original/b4ca47e7-9ebe-4152-a061-e4044ffb3903.jpg","Фото")</f>
      </c>
    </row>
    <row r="7475">
      <c r="A7475" s="7">
        <f>HYPERLINK("http://www.lingerieopt.ru/item/9522-kruzhevnje-trusiki-slipj-darcy-plus-size/","9522")</f>
      </c>
      <c r="B7475" s="8" t="s">
        <v>7216</v>
      </c>
      <c r="C7475" s="9">
        <v>791</v>
      </c>
      <c r="D7475" s="0">
        <v>2</v>
      </c>
      <c r="E7475" s="10">
        <f>HYPERLINK("http://www.lingerieopt.ru/images/original/b4ca47e7-9ebe-4152-a061-e4044ffb3903.jpg","Фото")</f>
      </c>
    </row>
    <row r="7476">
      <c r="A7476" s="7">
        <f>HYPERLINK("http://www.lingerieopt.ru/item/9523-azhurnje-trusiki-slipj-darcy/","9523")</f>
      </c>
      <c r="B7476" s="8" t="s">
        <v>7217</v>
      </c>
      <c r="C7476" s="9">
        <v>791</v>
      </c>
      <c r="D7476" s="0">
        <v>3</v>
      </c>
      <c r="E7476" s="10">
        <f>HYPERLINK("http://www.lingerieopt.ru/images/original/db5edf0b-608b-47cc-8be3-98a5643e7c02.jpg","Фото")</f>
      </c>
    </row>
    <row r="7477">
      <c r="A7477" s="7">
        <f>HYPERLINK("http://www.lingerieopt.ru/item/9523-azhurnje-trusiki-slipj-darcy/","9523")</f>
      </c>
      <c r="B7477" s="8" t="s">
        <v>7218</v>
      </c>
      <c r="C7477" s="9">
        <v>791</v>
      </c>
      <c r="D7477" s="0">
        <v>3</v>
      </c>
      <c r="E7477" s="10">
        <f>HYPERLINK("http://www.lingerieopt.ru/images/original/db5edf0b-608b-47cc-8be3-98a5643e7c02.jpg","Фото")</f>
      </c>
    </row>
    <row r="7478">
      <c r="A7478" s="7">
        <f>HYPERLINK("http://www.lingerieopt.ru/item/9523-azhurnje-trusiki-slipj-darcy/","9523")</f>
      </c>
      <c r="B7478" s="8" t="s">
        <v>7219</v>
      </c>
      <c r="C7478" s="9">
        <v>791</v>
      </c>
      <c r="D7478" s="0">
        <v>4</v>
      </c>
      <c r="E7478" s="10">
        <f>HYPERLINK("http://www.lingerieopt.ru/images/original/db5edf0b-608b-47cc-8be3-98a5643e7c02.jpg","Фото")</f>
      </c>
    </row>
    <row r="7479">
      <c r="A7479" s="7">
        <f>HYPERLINK("http://www.lingerieopt.ru/item/9523-azhurnje-trusiki-slipj-darcy/","9523")</f>
      </c>
      <c r="B7479" s="8" t="s">
        <v>7220</v>
      </c>
      <c r="C7479" s="9">
        <v>791</v>
      </c>
      <c r="D7479" s="0">
        <v>4</v>
      </c>
      <c r="E7479" s="10">
        <f>HYPERLINK("http://www.lingerieopt.ru/images/original/db5edf0b-608b-47cc-8be3-98a5643e7c02.jpg","Фото")</f>
      </c>
    </row>
    <row r="7480">
      <c r="A7480" s="7">
        <f>HYPERLINK("http://www.lingerieopt.ru/item/9524-kruzhevnje-trusiki-tanga-marla-plus-size/","9524")</f>
      </c>
      <c r="B7480" s="8" t="s">
        <v>7221</v>
      </c>
      <c r="C7480" s="9">
        <v>437</v>
      </c>
      <c r="D7480" s="0">
        <v>1</v>
      </c>
      <c r="E7480" s="10">
        <f>HYPERLINK("http://www.lingerieopt.ru/images/original/aaa249f7-4824-44af-9d1c-d4477973b13a.jpg","Фото")</f>
      </c>
    </row>
    <row r="7481">
      <c r="A7481" s="7">
        <f>HYPERLINK("http://www.lingerieopt.ru/item/9524-kruzhevnje-trusiki-tanga-marla-plus-size/","9524")</f>
      </c>
      <c r="B7481" s="8" t="s">
        <v>7222</v>
      </c>
      <c r="C7481" s="9">
        <v>437</v>
      </c>
      <c r="D7481" s="0">
        <v>3</v>
      </c>
      <c r="E7481" s="10">
        <f>HYPERLINK("http://www.lingerieopt.ru/images/original/aaa249f7-4824-44af-9d1c-d4477973b13a.jpg","Фото")</f>
      </c>
    </row>
    <row r="7482">
      <c r="A7482" s="7">
        <f>HYPERLINK("http://www.lingerieopt.ru/item/9525-azhurnje-trusiki-tanga-marla/","9525")</f>
      </c>
      <c r="B7482" s="8" t="s">
        <v>7223</v>
      </c>
      <c r="C7482" s="9">
        <v>437</v>
      </c>
      <c r="D7482" s="0">
        <v>3</v>
      </c>
      <c r="E7482" s="10">
        <f>HYPERLINK("http://www.lingerieopt.ru/images/original/d378edd8-ff10-4983-943b-1259c7a24241.jpg","Фото")</f>
      </c>
    </row>
    <row r="7483">
      <c r="A7483" s="7">
        <f>HYPERLINK("http://www.lingerieopt.ru/item/9525-azhurnje-trusiki-tanga-marla/","9525")</f>
      </c>
      <c r="B7483" s="8" t="s">
        <v>7224</v>
      </c>
      <c r="C7483" s="9">
        <v>437</v>
      </c>
      <c r="D7483" s="0">
        <v>0</v>
      </c>
      <c r="E7483" s="10">
        <f>HYPERLINK("http://www.lingerieopt.ru/images/original/d378edd8-ff10-4983-943b-1259c7a24241.jpg","Фото")</f>
      </c>
    </row>
    <row r="7484">
      <c r="A7484" s="7">
        <f>HYPERLINK("http://www.lingerieopt.ru/item/9525-azhurnje-trusiki-tanga-marla/","9525")</f>
      </c>
      <c r="B7484" s="8" t="s">
        <v>7225</v>
      </c>
      <c r="C7484" s="9">
        <v>437</v>
      </c>
      <c r="D7484" s="0">
        <v>4</v>
      </c>
      <c r="E7484" s="10">
        <f>HYPERLINK("http://www.lingerieopt.ru/images/original/d378edd8-ff10-4983-943b-1259c7a24241.jpg","Фото")</f>
      </c>
    </row>
    <row r="7485">
      <c r="A7485" s="7">
        <f>HYPERLINK("http://www.lingerieopt.ru/item/9525-azhurnje-trusiki-tanga-marla/","9525")</f>
      </c>
      <c r="B7485" s="8" t="s">
        <v>7226</v>
      </c>
      <c r="C7485" s="9">
        <v>437</v>
      </c>
      <c r="D7485" s="0">
        <v>2</v>
      </c>
      <c r="E7485" s="10">
        <f>HYPERLINK("http://www.lingerieopt.ru/images/original/d378edd8-ff10-4983-943b-1259c7a24241.jpg","Фото")</f>
      </c>
    </row>
    <row r="7486">
      <c r="A7486" s="7">
        <f>HYPERLINK("http://www.lingerieopt.ru/item/9543-soblaznitelnje-trusiki-daphnis-plus-size-s-podveskoi/","9543")</f>
      </c>
      <c r="B7486" s="8" t="s">
        <v>7227</v>
      </c>
      <c r="C7486" s="9">
        <v>768</v>
      </c>
      <c r="D7486" s="0">
        <v>3</v>
      </c>
      <c r="E7486" s="10">
        <f>HYPERLINK("http://www.lingerieopt.ru/images/original/50d363ab-ec39-4e7c-8f98-17b7bab41fc9.jpg","Фото")</f>
      </c>
    </row>
    <row r="7487">
      <c r="A7487" s="7">
        <f>HYPERLINK("http://www.lingerieopt.ru/item/9543-soblaznitelnje-trusiki-daphnis-plus-size-s-podveskoi/","9543")</f>
      </c>
      <c r="B7487" s="8" t="s">
        <v>7228</v>
      </c>
      <c r="C7487" s="9">
        <v>768</v>
      </c>
      <c r="D7487" s="0">
        <v>3</v>
      </c>
      <c r="E7487" s="10">
        <f>HYPERLINK("http://www.lingerieopt.ru/images/original/50d363ab-ec39-4e7c-8f98-17b7bab41fc9.jpg","Фото")</f>
      </c>
    </row>
    <row r="7488">
      <c r="A7488" s="7">
        <f>HYPERLINK("http://www.lingerieopt.ru/item/9544-soblaznitelnje-trusiki-daphnis-s-dekorativnoi-podveskoi/","9544")</f>
      </c>
      <c r="B7488" s="8" t="s">
        <v>7229</v>
      </c>
      <c r="C7488" s="9">
        <v>768</v>
      </c>
      <c r="D7488" s="0">
        <v>7</v>
      </c>
      <c r="E7488" s="10">
        <f>HYPERLINK("http://www.lingerieopt.ru/images/original/7bef0fc6-8131-4b5c-9ce4-ec6975390b18.jpg","Фото")</f>
      </c>
    </row>
    <row r="7489">
      <c r="A7489" s="7">
        <f>HYPERLINK("http://www.lingerieopt.ru/item/9544-soblaznitelnje-trusiki-daphnis-s-dekorativnoi-podveskoi/","9544")</f>
      </c>
      <c r="B7489" s="8" t="s">
        <v>7230</v>
      </c>
      <c r="C7489" s="9">
        <v>768</v>
      </c>
      <c r="D7489" s="0">
        <v>3</v>
      </c>
      <c r="E7489" s="10">
        <f>HYPERLINK("http://www.lingerieopt.ru/images/original/7bef0fc6-8131-4b5c-9ce4-ec6975390b18.jpg","Фото")</f>
      </c>
    </row>
    <row r="7490">
      <c r="A7490" s="7">
        <f>HYPERLINK("http://www.lingerieopt.ru/item/9544-soblaznitelnje-trusiki-daphnis-s-dekorativnoi-podveskoi/","9544")</f>
      </c>
      <c r="B7490" s="8" t="s">
        <v>7231</v>
      </c>
      <c r="C7490" s="9">
        <v>768</v>
      </c>
      <c r="D7490" s="0">
        <v>5</v>
      </c>
      <c r="E7490" s="10">
        <f>HYPERLINK("http://www.lingerieopt.ru/images/original/7bef0fc6-8131-4b5c-9ce4-ec6975390b18.jpg","Фото")</f>
      </c>
    </row>
    <row r="7491">
      <c r="A7491" s="7">
        <f>HYPERLINK("http://www.lingerieopt.ru/item/9544-soblaznitelnje-trusiki-daphnis-s-dekorativnoi-podveskoi/","9544")</f>
      </c>
      <c r="B7491" s="8" t="s">
        <v>7232</v>
      </c>
      <c r="C7491" s="9">
        <v>768</v>
      </c>
      <c r="D7491" s="0">
        <v>2</v>
      </c>
      <c r="E7491" s="10">
        <f>HYPERLINK("http://www.lingerieopt.ru/images/original/7bef0fc6-8131-4b5c-9ce4-ec6975390b18.jpg","Фото")</f>
      </c>
    </row>
    <row r="7492">
      <c r="A7492" s="7">
        <f>HYPERLINK("http://www.lingerieopt.ru/item/9575-trusiki-greyla-plus-size-s-izjskannjm-kruzhevom/","9575")</f>
      </c>
      <c r="B7492" s="8" t="s">
        <v>7233</v>
      </c>
      <c r="C7492" s="9">
        <v>684</v>
      </c>
      <c r="D7492" s="0">
        <v>4</v>
      </c>
      <c r="E7492" s="10">
        <f>HYPERLINK("http://www.lingerieopt.ru/images/original/4445c323-4804-4e58-ad54-7815d719024b.jpg","Фото")</f>
      </c>
    </row>
    <row r="7493">
      <c r="A7493" s="7">
        <f>HYPERLINK("http://www.lingerieopt.ru/item/9585-trusiki-stringi-lily-s-originalnjm-ispolneniem-zadnei-chasti/","9585")</f>
      </c>
      <c r="B7493" s="8" t="s">
        <v>7234</v>
      </c>
      <c r="C7493" s="9">
        <v>572</v>
      </c>
      <c r="D7493" s="0">
        <v>5</v>
      </c>
      <c r="E7493" s="10">
        <f>HYPERLINK("http://www.lingerieopt.ru/images/original/ff0bcd0f-7971-43f9-a8bb-2fcfab2b3737.jpg","Фото")</f>
      </c>
    </row>
    <row r="7494">
      <c r="A7494" s="7">
        <f>HYPERLINK("http://www.lingerieopt.ru/item/9585-trusiki-stringi-lily-s-originalnjm-ispolneniem-zadnei-chasti/","9585")</f>
      </c>
      <c r="B7494" s="8" t="s">
        <v>7235</v>
      </c>
      <c r="C7494" s="9">
        <v>572</v>
      </c>
      <c r="D7494" s="0">
        <v>4</v>
      </c>
      <c r="E7494" s="10">
        <f>HYPERLINK("http://www.lingerieopt.ru/images/original/ff0bcd0f-7971-43f9-a8bb-2fcfab2b3737.jpg","Фото")</f>
      </c>
    </row>
    <row r="7495">
      <c r="A7495" s="7">
        <f>HYPERLINK("http://www.lingerieopt.ru/item/9586-trusiki-stringi-s-originalnjm-ispolneniem-zadnei-chasti-lily/","9586")</f>
      </c>
      <c r="B7495" s="8" t="s">
        <v>7236</v>
      </c>
      <c r="C7495" s="9">
        <v>572</v>
      </c>
      <c r="D7495" s="0">
        <v>3</v>
      </c>
      <c r="E7495" s="10">
        <f>HYPERLINK("http://www.lingerieopt.ru/images/original/15181e49-b551-49bb-b276-f2e982963cd4.jpg","Фото")</f>
      </c>
    </row>
    <row r="7496">
      <c r="A7496" s="7">
        <f>HYPERLINK("http://www.lingerieopt.ru/item/9591-kruzhevnje-trusiki-slipj-s-melkimi-oborochkami/","9591")</f>
      </c>
      <c r="B7496" s="8" t="s">
        <v>7237</v>
      </c>
      <c r="C7496" s="9">
        <v>612</v>
      </c>
      <c r="D7496" s="0">
        <v>9</v>
      </c>
      <c r="E7496" s="10">
        <f>HYPERLINK("http://www.lingerieopt.ru/images/original/70adf02f-e516-4dcb-ae31-28629b160a14.jpg","Фото")</f>
      </c>
    </row>
    <row r="7497">
      <c r="A7497" s="7">
        <f>HYPERLINK("http://www.lingerieopt.ru/item/9591-kruzhevnje-trusiki-slipj-s-melkimi-oborochkami/","9591")</f>
      </c>
      <c r="B7497" s="8" t="s">
        <v>7238</v>
      </c>
      <c r="C7497" s="9">
        <v>612</v>
      </c>
      <c r="D7497" s="0">
        <v>5</v>
      </c>
      <c r="E7497" s="10">
        <f>HYPERLINK("http://www.lingerieopt.ru/images/original/70adf02f-e516-4dcb-ae31-28629b160a14.jpg","Фото")</f>
      </c>
    </row>
    <row r="7498">
      <c r="A7498" s="7">
        <f>HYPERLINK("http://www.lingerieopt.ru/item/9592-kruzhevnje-trusiki-stringi-s-yubochkoi/","9592")</f>
      </c>
      <c r="B7498" s="8" t="s">
        <v>7239</v>
      </c>
      <c r="C7498" s="9">
        <v>610</v>
      </c>
      <c r="D7498" s="0">
        <v>4</v>
      </c>
      <c r="E7498" s="10">
        <f>HYPERLINK("http://www.lingerieopt.ru/images/original/84c23aa6-bc86-4b72-929f-67f14593644b.jpg","Фото")</f>
      </c>
    </row>
    <row r="7499">
      <c r="A7499" s="7">
        <f>HYPERLINK("http://www.lingerieopt.ru/item/9592-kruzhevnje-trusiki-stringi-s-yubochkoi/","9592")</f>
      </c>
      <c r="B7499" s="8" t="s">
        <v>7240</v>
      </c>
      <c r="C7499" s="9">
        <v>610</v>
      </c>
      <c r="D7499" s="0">
        <v>5</v>
      </c>
      <c r="E7499" s="10">
        <f>HYPERLINK("http://www.lingerieopt.ru/images/original/84c23aa6-bc86-4b72-929f-67f14593644b.jpg","Фото")</f>
      </c>
    </row>
    <row r="7500">
      <c r="A7500" s="7">
        <f>HYPERLINK("http://www.lingerieopt.ru/item/9608-originalnje-trusiki-stringi-martina/","9608")</f>
      </c>
      <c r="B7500" s="8" t="s">
        <v>7241</v>
      </c>
      <c r="C7500" s="9">
        <v>533</v>
      </c>
      <c r="D7500" s="0">
        <v>10</v>
      </c>
      <c r="E7500" s="10">
        <f>HYPERLINK("http://www.lingerieopt.ru/images/original/3a37d075-922c-4d52-989d-354d98660d36.jpg","Фото")</f>
      </c>
    </row>
    <row r="7501">
      <c r="A7501" s="7">
        <f>HYPERLINK("http://www.lingerieopt.ru/item/9608-originalnje-trusiki-stringi-martina/","9608")</f>
      </c>
      <c r="B7501" s="8" t="s">
        <v>7242</v>
      </c>
      <c r="C7501" s="9">
        <v>533</v>
      </c>
      <c r="D7501" s="0">
        <v>13</v>
      </c>
      <c r="E7501" s="10">
        <f>HYPERLINK("http://www.lingerieopt.ru/images/original/3a37d075-922c-4d52-989d-354d98660d36.jpg","Фото")</f>
      </c>
    </row>
    <row r="7502">
      <c r="A7502" s="7">
        <f>HYPERLINK("http://www.lingerieopt.ru/item/9608-originalnje-trusiki-stringi-martina/","9608")</f>
      </c>
      <c r="B7502" s="8" t="s">
        <v>7243</v>
      </c>
      <c r="C7502" s="9">
        <v>533</v>
      </c>
      <c r="D7502" s="0">
        <v>11</v>
      </c>
      <c r="E7502" s="10">
        <f>HYPERLINK("http://www.lingerieopt.ru/images/original/3a37d075-922c-4d52-989d-354d98660d36.jpg","Фото")</f>
      </c>
    </row>
    <row r="7503">
      <c r="A7503" s="7">
        <f>HYPERLINK("http://www.lingerieopt.ru/item/9608-originalnje-trusiki-stringi-martina/","9608")</f>
      </c>
      <c r="B7503" s="8" t="s">
        <v>7244</v>
      </c>
      <c r="C7503" s="9">
        <v>533</v>
      </c>
      <c r="D7503" s="0">
        <v>7</v>
      </c>
      <c r="E7503" s="10">
        <f>HYPERLINK("http://www.lingerieopt.ru/images/original/3a37d075-922c-4d52-989d-354d98660d36.jpg","Фото")</f>
      </c>
    </row>
    <row r="7504">
      <c r="A7504" s="7">
        <f>HYPERLINK("http://www.lingerieopt.ru/item/9608-originalnje-trusiki-stringi-martina/","9608")</f>
      </c>
      <c r="B7504" s="8" t="s">
        <v>7245</v>
      </c>
      <c r="C7504" s="9">
        <v>533</v>
      </c>
      <c r="D7504" s="0">
        <v>10</v>
      </c>
      <c r="E7504" s="10">
        <f>HYPERLINK("http://www.lingerieopt.ru/images/original/3a37d075-922c-4d52-989d-354d98660d36.jpg","Фото")</f>
      </c>
    </row>
    <row r="7505">
      <c r="A7505" s="7">
        <f>HYPERLINK("http://www.lingerieopt.ru/item/9608-originalnje-trusiki-stringi-martina/","9608")</f>
      </c>
      <c r="B7505" s="8" t="s">
        <v>7246</v>
      </c>
      <c r="C7505" s="9">
        <v>533</v>
      </c>
      <c r="D7505" s="0">
        <v>6</v>
      </c>
      <c r="E7505" s="10">
        <f>HYPERLINK("http://www.lingerieopt.ru/images/original/3a37d075-922c-4d52-989d-354d98660d36.jpg","Фото")</f>
      </c>
    </row>
    <row r="7506">
      <c r="A7506" s="7">
        <f>HYPERLINK("http://www.lingerieopt.ru/item/9609-originalnje-trusiki-stringi-martina-plus-size-s-vjsokim-poyaskom/","9609")</f>
      </c>
      <c r="B7506" s="8" t="s">
        <v>7247</v>
      </c>
      <c r="C7506" s="9">
        <v>533</v>
      </c>
      <c r="D7506" s="0">
        <v>5</v>
      </c>
      <c r="E7506" s="10">
        <f>HYPERLINK("http://www.lingerieopt.ru/images/original/a9406738-437c-492b-9443-45b81ad4d014.jpg","Фото")</f>
      </c>
    </row>
    <row r="7507">
      <c r="A7507" s="7">
        <f>HYPERLINK("http://www.lingerieopt.ru/item/9609-originalnje-trusiki-stringi-martina-plus-size-s-vjsokim-poyaskom/","9609")</f>
      </c>
      <c r="B7507" s="8" t="s">
        <v>7248</v>
      </c>
      <c r="C7507" s="9">
        <v>533</v>
      </c>
      <c r="D7507" s="0">
        <v>4</v>
      </c>
      <c r="E7507" s="10">
        <f>HYPERLINK("http://www.lingerieopt.ru/images/original/a9406738-437c-492b-9443-45b81ad4d014.jpg","Фото")</f>
      </c>
    </row>
    <row r="7508">
      <c r="A7508" s="7">
        <f>HYPERLINK("http://www.lingerieopt.ru/item/9609-originalnje-trusiki-stringi-martina-plus-size-s-vjsokim-poyaskom/","9609")</f>
      </c>
      <c r="B7508" s="8" t="s">
        <v>7249</v>
      </c>
      <c r="C7508" s="9">
        <v>533</v>
      </c>
      <c r="D7508" s="0">
        <v>4</v>
      </c>
      <c r="E7508" s="10">
        <f>HYPERLINK("http://www.lingerieopt.ru/images/original/a9406738-437c-492b-9443-45b81ad4d014.jpg","Фото")</f>
      </c>
    </row>
    <row r="7509">
      <c r="A7509" s="7">
        <f>HYPERLINK("http://www.lingerieopt.ru/item/9610-trusiki-stringi-julitte-na-troinjh-bretelyah/","9610")</f>
      </c>
      <c r="B7509" s="8" t="s">
        <v>7250</v>
      </c>
      <c r="C7509" s="9">
        <v>508</v>
      </c>
      <c r="D7509" s="0">
        <v>7</v>
      </c>
      <c r="E7509" s="10">
        <f>HYPERLINK("http://www.lingerieopt.ru/images/original/c7031984-3968-48ee-b0b8-46bdf20c4352.jpg","Фото")</f>
      </c>
    </row>
    <row r="7510">
      <c r="A7510" s="7">
        <f>HYPERLINK("http://www.lingerieopt.ru/item/9610-trusiki-stringi-julitte-na-troinjh-bretelyah/","9610")</f>
      </c>
      <c r="B7510" s="8" t="s">
        <v>7251</v>
      </c>
      <c r="C7510" s="9">
        <v>508</v>
      </c>
      <c r="D7510" s="0">
        <v>3</v>
      </c>
      <c r="E7510" s="10">
        <f>HYPERLINK("http://www.lingerieopt.ru/images/original/c7031984-3968-48ee-b0b8-46bdf20c4352.jpg","Фото")</f>
      </c>
    </row>
    <row r="7511">
      <c r="A7511" s="7">
        <f>HYPERLINK("http://www.lingerieopt.ru/item/9610-trusiki-stringi-julitte-na-troinjh-bretelyah/","9610")</f>
      </c>
      <c r="B7511" s="8" t="s">
        <v>7252</v>
      </c>
      <c r="C7511" s="9">
        <v>508</v>
      </c>
      <c r="D7511" s="0">
        <v>5</v>
      </c>
      <c r="E7511" s="10">
        <f>HYPERLINK("http://www.lingerieopt.ru/images/original/c7031984-3968-48ee-b0b8-46bdf20c4352.jpg","Фото")</f>
      </c>
    </row>
    <row r="7512">
      <c r="A7512" s="7">
        <f>HYPERLINK("http://www.lingerieopt.ru/item/9610-trusiki-stringi-julitte-na-troinjh-bretelyah/","9610")</f>
      </c>
      <c r="B7512" s="8" t="s">
        <v>7253</v>
      </c>
      <c r="C7512" s="9">
        <v>508</v>
      </c>
      <c r="D7512" s="0">
        <v>5</v>
      </c>
      <c r="E7512" s="10">
        <f>HYPERLINK("http://www.lingerieopt.ru/images/original/c7031984-3968-48ee-b0b8-46bdf20c4352.jpg","Фото")</f>
      </c>
    </row>
    <row r="7513">
      <c r="A7513" s="7">
        <f>HYPERLINK("http://www.lingerieopt.ru/item/9610-trusiki-stringi-julitte-na-troinjh-bretelyah/","9610")</f>
      </c>
      <c r="B7513" s="8" t="s">
        <v>7254</v>
      </c>
      <c r="C7513" s="9">
        <v>508</v>
      </c>
      <c r="D7513" s="0">
        <v>0</v>
      </c>
      <c r="E7513" s="10">
        <f>HYPERLINK("http://www.lingerieopt.ru/images/original/c7031984-3968-48ee-b0b8-46bdf20c4352.jpg","Фото")</f>
      </c>
    </row>
    <row r="7514">
      <c r="A7514" s="7">
        <f>HYPERLINK("http://www.lingerieopt.ru/item/9610-trusiki-stringi-julitte-na-troinjh-bretelyah/","9610")</f>
      </c>
      <c r="B7514" s="8" t="s">
        <v>7255</v>
      </c>
      <c r="C7514" s="9">
        <v>508</v>
      </c>
      <c r="D7514" s="0">
        <v>4</v>
      </c>
      <c r="E7514" s="10">
        <f>HYPERLINK("http://www.lingerieopt.ru/images/original/c7031984-3968-48ee-b0b8-46bdf20c4352.jpg","Фото")</f>
      </c>
    </row>
    <row r="7515">
      <c r="A7515" s="7">
        <f>HYPERLINK("http://www.lingerieopt.ru/item/9611-trusiki-stringi-julitte-plus-size-s-troinjmi-bretelyami/","9611")</f>
      </c>
      <c r="B7515" s="8" t="s">
        <v>7256</v>
      </c>
      <c r="C7515" s="9">
        <v>508</v>
      </c>
      <c r="D7515" s="0">
        <v>3</v>
      </c>
      <c r="E7515" s="10">
        <f>HYPERLINK("http://www.lingerieopt.ru/images/original/aee2e827-1757-4692-8228-7619e1298a11.jpg","Фото")</f>
      </c>
    </row>
    <row r="7516">
      <c r="A7516" s="7">
        <f>HYPERLINK("http://www.lingerieopt.ru/item/9611-trusiki-stringi-julitte-plus-size-s-troinjmi-bretelyami/","9611")</f>
      </c>
      <c r="B7516" s="8" t="s">
        <v>7257</v>
      </c>
      <c r="C7516" s="9">
        <v>508</v>
      </c>
      <c r="D7516" s="0">
        <v>3</v>
      </c>
      <c r="E7516" s="10">
        <f>HYPERLINK("http://www.lingerieopt.ru/images/original/aee2e827-1757-4692-8228-7619e1298a11.jpg","Фото")</f>
      </c>
    </row>
    <row r="7517">
      <c r="A7517" s="7">
        <f>HYPERLINK("http://www.lingerieopt.ru/item/9611-trusiki-stringi-julitte-plus-size-s-troinjmi-bretelyami/","9611")</f>
      </c>
      <c r="B7517" s="8" t="s">
        <v>7258</v>
      </c>
      <c r="C7517" s="9">
        <v>508</v>
      </c>
      <c r="D7517" s="0">
        <v>1</v>
      </c>
      <c r="E7517" s="10">
        <f>HYPERLINK("http://www.lingerieopt.ru/images/original/aee2e827-1757-4692-8228-7619e1298a11.jpg","Фото")</f>
      </c>
    </row>
    <row r="7518">
      <c r="A7518" s="7">
        <f>HYPERLINK("http://www.lingerieopt.ru/item/9612-trusiki-ibi-s-vjrezami-i-kontrastnoi-strochkoi/","9612")</f>
      </c>
      <c r="B7518" s="8" t="s">
        <v>7259</v>
      </c>
      <c r="C7518" s="9">
        <v>381</v>
      </c>
      <c r="D7518" s="0">
        <v>2</v>
      </c>
      <c r="E7518" s="10">
        <f>HYPERLINK("http://www.lingerieopt.ru/images/original/3792f35f-39f9-4113-b8ef-4253da186f3c.jpg","Фото")</f>
      </c>
    </row>
    <row r="7519">
      <c r="A7519" s="7">
        <f>HYPERLINK("http://www.lingerieopt.ru/item/9612-trusiki-ibi-s-vjrezami-i-kontrastnoi-strochkoi/","9612")</f>
      </c>
      <c r="B7519" s="8" t="s">
        <v>7260</v>
      </c>
      <c r="C7519" s="9">
        <v>381</v>
      </c>
      <c r="D7519" s="0">
        <v>3</v>
      </c>
      <c r="E7519" s="10">
        <f>HYPERLINK("http://www.lingerieopt.ru/images/original/3792f35f-39f9-4113-b8ef-4253da186f3c.jpg","Фото")</f>
      </c>
    </row>
    <row r="7520">
      <c r="A7520" s="7">
        <f>HYPERLINK("http://www.lingerieopt.ru/item/9612-trusiki-ibi-s-vjrezami-i-kontrastnoi-strochkoi/","9612")</f>
      </c>
      <c r="B7520" s="8" t="s">
        <v>7261</v>
      </c>
      <c r="C7520" s="9">
        <v>381</v>
      </c>
      <c r="D7520" s="0">
        <v>1</v>
      </c>
      <c r="E7520" s="10">
        <f>HYPERLINK("http://www.lingerieopt.ru/images/original/3792f35f-39f9-4113-b8ef-4253da186f3c.jpg","Фото")</f>
      </c>
    </row>
    <row r="7521">
      <c r="A7521" s="7">
        <f>HYPERLINK("http://www.lingerieopt.ru/item/9612-trusiki-ibi-s-vjrezami-i-kontrastnoi-strochkoi/","9612")</f>
      </c>
      <c r="B7521" s="8" t="s">
        <v>7262</v>
      </c>
      <c r="C7521" s="9">
        <v>381</v>
      </c>
      <c r="D7521" s="0">
        <v>0</v>
      </c>
      <c r="E7521" s="10">
        <f>HYPERLINK("http://www.lingerieopt.ru/images/original/3792f35f-39f9-4113-b8ef-4253da186f3c.jpg","Фото")</f>
      </c>
    </row>
    <row r="7522">
      <c r="A7522" s="7">
        <f>HYPERLINK("http://www.lingerieopt.ru/item/9612-trusiki-ibi-s-vjrezami-i-kontrastnoi-strochkoi/","9612")</f>
      </c>
      <c r="B7522" s="8" t="s">
        <v>7263</v>
      </c>
      <c r="C7522" s="9">
        <v>381</v>
      </c>
      <c r="D7522" s="0">
        <v>1</v>
      </c>
      <c r="E7522" s="10">
        <f>HYPERLINK("http://www.lingerieopt.ru/images/original/3792f35f-39f9-4113-b8ef-4253da186f3c.jpg","Фото")</f>
      </c>
    </row>
    <row r="7523">
      <c r="A7523" s="7">
        <f>HYPERLINK("http://www.lingerieopt.ru/item/9612-trusiki-ibi-s-vjrezami-i-kontrastnoi-strochkoi/","9612")</f>
      </c>
      <c r="B7523" s="8" t="s">
        <v>7264</v>
      </c>
      <c r="C7523" s="9">
        <v>381</v>
      </c>
      <c r="D7523" s="0">
        <v>0</v>
      </c>
      <c r="E7523" s="10">
        <f>HYPERLINK("http://www.lingerieopt.ru/images/original/3792f35f-39f9-4113-b8ef-4253da186f3c.jpg","Фото")</f>
      </c>
    </row>
    <row r="7524">
      <c r="A7524" s="7">
        <f>HYPERLINK("http://www.lingerieopt.ru/item/9613-trusiki-ibi-plus-size-s-vjrezami-szadi-i-kontrastnoi-strochkoi/","9613")</f>
      </c>
      <c r="B7524" s="8" t="s">
        <v>7265</v>
      </c>
      <c r="C7524" s="9">
        <v>381</v>
      </c>
      <c r="D7524" s="0">
        <v>1</v>
      </c>
      <c r="E7524" s="10">
        <f>HYPERLINK("http://www.lingerieopt.ru/images/original/5be0bf72-a02b-4082-a150-ffb7fc51a73e.jpg","Фото")</f>
      </c>
    </row>
    <row r="7525">
      <c r="A7525" s="7">
        <f>HYPERLINK("http://www.lingerieopt.ru/item/9613-trusiki-ibi-plus-size-s-vjrezami-szadi-i-kontrastnoi-strochkoi/","9613")</f>
      </c>
      <c r="B7525" s="8" t="s">
        <v>7266</v>
      </c>
      <c r="C7525" s="9">
        <v>381</v>
      </c>
      <c r="D7525" s="0">
        <v>2</v>
      </c>
      <c r="E7525" s="10">
        <f>HYPERLINK("http://www.lingerieopt.ru/images/original/5be0bf72-a02b-4082-a150-ffb7fc51a73e.jpg","Фото")</f>
      </c>
    </row>
    <row r="7526">
      <c r="A7526" s="7">
        <f>HYPERLINK("http://www.lingerieopt.ru/item/9613-trusiki-ibi-plus-size-s-vjrezami-szadi-i-kontrastnoi-strochkoi/","9613")</f>
      </c>
      <c r="B7526" s="8" t="s">
        <v>7267</v>
      </c>
      <c r="C7526" s="9">
        <v>381</v>
      </c>
      <c r="D7526" s="0">
        <v>0</v>
      </c>
      <c r="E7526" s="10">
        <f>HYPERLINK("http://www.lingerieopt.ru/images/original/5be0bf72-a02b-4082-a150-ffb7fc51a73e.jpg","Фото")</f>
      </c>
    </row>
    <row r="7527">
      <c r="A7527" s="7">
        <f>HYPERLINK("http://www.lingerieopt.ru/item/9618-trusiki-stringi-amber-s-poyasom-setkoi/","9618")</f>
      </c>
      <c r="B7527" s="8" t="s">
        <v>7268</v>
      </c>
      <c r="C7527" s="9">
        <v>495</v>
      </c>
      <c r="D7527" s="0">
        <v>3</v>
      </c>
      <c r="E7527" s="10">
        <f>HYPERLINK("http://www.lingerieopt.ru/images/original/a7aed04a-5630-401a-b33b-9b933eaf21b7.jpg","Фото")</f>
      </c>
    </row>
    <row r="7528">
      <c r="A7528" s="7">
        <f>HYPERLINK("http://www.lingerieopt.ru/item/9618-trusiki-stringi-amber-s-poyasom-setkoi/","9618")</f>
      </c>
      <c r="B7528" s="8" t="s">
        <v>7269</v>
      </c>
      <c r="C7528" s="9">
        <v>495</v>
      </c>
      <c r="D7528" s="0">
        <v>5</v>
      </c>
      <c r="E7528" s="10">
        <f>HYPERLINK("http://www.lingerieopt.ru/images/original/a7aed04a-5630-401a-b33b-9b933eaf21b7.jpg","Фото")</f>
      </c>
    </row>
    <row r="7529">
      <c r="A7529" s="7">
        <f>HYPERLINK("http://www.lingerieopt.ru/item/9618-trusiki-stringi-amber-s-poyasom-setkoi/","9618")</f>
      </c>
      <c r="B7529" s="8" t="s">
        <v>7270</v>
      </c>
      <c r="C7529" s="9">
        <v>495</v>
      </c>
      <c r="D7529" s="0">
        <v>5</v>
      </c>
      <c r="E7529" s="10">
        <f>HYPERLINK("http://www.lingerieopt.ru/images/original/a7aed04a-5630-401a-b33b-9b933eaf21b7.jpg","Фото")</f>
      </c>
    </row>
    <row r="7530">
      <c r="A7530" s="7">
        <f>HYPERLINK("http://www.lingerieopt.ru/item/9618-trusiki-stringi-amber-s-poyasom-setkoi/","9618")</f>
      </c>
      <c r="B7530" s="8" t="s">
        <v>7271</v>
      </c>
      <c r="C7530" s="9">
        <v>495</v>
      </c>
      <c r="D7530" s="0">
        <v>5</v>
      </c>
      <c r="E7530" s="10">
        <f>HYPERLINK("http://www.lingerieopt.ru/images/original/a7aed04a-5630-401a-b33b-9b933eaf21b7.jpg","Фото")</f>
      </c>
    </row>
    <row r="7531">
      <c r="A7531" s="7">
        <f>HYPERLINK("http://www.lingerieopt.ru/item/9618-trusiki-stringi-amber-s-poyasom-setkoi/","9618")</f>
      </c>
      <c r="B7531" s="8" t="s">
        <v>7272</v>
      </c>
      <c r="C7531" s="9">
        <v>495</v>
      </c>
      <c r="D7531" s="0">
        <v>4</v>
      </c>
      <c r="E7531" s="10">
        <f>HYPERLINK("http://www.lingerieopt.ru/images/original/a7aed04a-5630-401a-b33b-9b933eaf21b7.jpg","Фото")</f>
      </c>
    </row>
    <row r="7532">
      <c r="A7532" s="7">
        <f>HYPERLINK("http://www.lingerieopt.ru/item/9618-trusiki-stringi-amber-s-poyasom-setkoi/","9618")</f>
      </c>
      <c r="B7532" s="8" t="s">
        <v>7273</v>
      </c>
      <c r="C7532" s="9">
        <v>495</v>
      </c>
      <c r="D7532" s="0">
        <v>6</v>
      </c>
      <c r="E7532" s="10">
        <f>HYPERLINK("http://www.lingerieopt.ru/images/original/a7aed04a-5630-401a-b33b-9b933eaf21b7.jpg","Фото")</f>
      </c>
    </row>
    <row r="7533">
      <c r="A7533" s="7">
        <f>HYPERLINK("http://www.lingerieopt.ru/item/9619-trusiki-stringi-amber-plus-size-s-poyasom-iz-setki/","9619")</f>
      </c>
      <c r="B7533" s="8" t="s">
        <v>7274</v>
      </c>
      <c r="C7533" s="9">
        <v>495</v>
      </c>
      <c r="D7533" s="0">
        <v>0</v>
      </c>
      <c r="E7533" s="10">
        <f>HYPERLINK("http://www.lingerieopt.ru/images/original/5842fe21-9ef1-42be-a34a-10dd40e8779f.jpg","Фото")</f>
      </c>
    </row>
    <row r="7534">
      <c r="A7534" s="7">
        <f>HYPERLINK("http://www.lingerieopt.ru/item/9619-trusiki-stringi-amber-plus-size-s-poyasom-iz-setki/","9619")</f>
      </c>
      <c r="B7534" s="8" t="s">
        <v>7275</v>
      </c>
      <c r="C7534" s="9">
        <v>495</v>
      </c>
      <c r="D7534" s="0">
        <v>3</v>
      </c>
      <c r="E7534" s="10">
        <f>HYPERLINK("http://www.lingerieopt.ru/images/original/5842fe21-9ef1-42be-a34a-10dd40e8779f.jpg","Фото")</f>
      </c>
    </row>
    <row r="7535">
      <c r="A7535" s="7">
        <f>HYPERLINK("http://www.lingerieopt.ru/item/9619-trusiki-stringi-amber-plus-size-s-poyasom-iz-setki/","9619")</f>
      </c>
      <c r="B7535" s="8" t="s">
        <v>7276</v>
      </c>
      <c r="C7535" s="9">
        <v>495</v>
      </c>
      <c r="D7535" s="0">
        <v>3</v>
      </c>
      <c r="E7535" s="10">
        <f>HYPERLINK("http://www.lingerieopt.ru/images/original/5842fe21-9ef1-42be-a34a-10dd40e8779f.jpg","Фото")</f>
      </c>
    </row>
    <row r="7536">
      <c r="A7536" s="7">
        <f>HYPERLINK("http://www.lingerieopt.ru/item/9635-kruzhevnje-trusiki-stringi-anhelina-s-pikantnjmi-vjrezami-i-bantom-szadi/","9635")</f>
      </c>
      <c r="B7536" s="8" t="s">
        <v>7277</v>
      </c>
      <c r="C7536" s="9">
        <v>533</v>
      </c>
      <c r="D7536" s="0">
        <v>2</v>
      </c>
      <c r="E7536" s="10">
        <f>HYPERLINK("http://www.lingerieopt.ru/images/original/f4d5f769-b5d5-4bd8-a253-f809df938f59.jpg","Фото")</f>
      </c>
    </row>
    <row r="7537">
      <c r="A7537" s="7">
        <f>HYPERLINK("http://www.lingerieopt.ru/item/9635-kruzhevnje-trusiki-stringi-anhelina-s-pikantnjmi-vjrezami-i-bantom-szadi/","9635")</f>
      </c>
      <c r="B7537" s="8" t="s">
        <v>7278</v>
      </c>
      <c r="C7537" s="9">
        <v>533</v>
      </c>
      <c r="D7537" s="0">
        <v>3</v>
      </c>
      <c r="E7537" s="10">
        <f>HYPERLINK("http://www.lingerieopt.ru/images/original/f4d5f769-b5d5-4bd8-a253-f809df938f59.jpg","Фото")</f>
      </c>
    </row>
    <row r="7538">
      <c r="A7538" s="7">
        <f>HYPERLINK("http://www.lingerieopt.ru/item/9635-kruzhevnje-trusiki-stringi-anhelina-s-pikantnjmi-vjrezami-i-bantom-szadi/","9635")</f>
      </c>
      <c r="B7538" s="8" t="s">
        <v>7279</v>
      </c>
      <c r="C7538" s="9">
        <v>533</v>
      </c>
      <c r="D7538" s="0">
        <v>3</v>
      </c>
      <c r="E7538" s="10">
        <f>HYPERLINK("http://www.lingerieopt.ru/images/original/f4d5f769-b5d5-4bd8-a253-f809df938f59.jpg","Фото")</f>
      </c>
    </row>
    <row r="7539">
      <c r="A7539" s="7">
        <f>HYPERLINK("http://www.lingerieopt.ru/item/9635-kruzhevnje-trusiki-stringi-anhelina-s-pikantnjmi-vjrezami-i-bantom-szadi/","9635")</f>
      </c>
      <c r="B7539" s="8" t="s">
        <v>7280</v>
      </c>
      <c r="C7539" s="9">
        <v>533</v>
      </c>
      <c r="D7539" s="0">
        <v>0</v>
      </c>
      <c r="E7539" s="10">
        <f>HYPERLINK("http://www.lingerieopt.ru/images/original/f4d5f769-b5d5-4bd8-a253-f809df938f59.jpg","Фото")</f>
      </c>
    </row>
    <row r="7540">
      <c r="A7540" s="7">
        <f>HYPERLINK("http://www.lingerieopt.ru/item/9635-kruzhevnje-trusiki-stringi-anhelina-s-pikantnjmi-vjrezami-i-bantom-szadi/","9635")</f>
      </c>
      <c r="B7540" s="8" t="s">
        <v>7281</v>
      </c>
      <c r="C7540" s="9">
        <v>533</v>
      </c>
      <c r="D7540" s="0">
        <v>0</v>
      </c>
      <c r="E7540" s="10">
        <f>HYPERLINK("http://www.lingerieopt.ru/images/original/f4d5f769-b5d5-4bd8-a253-f809df938f59.jpg","Фото")</f>
      </c>
    </row>
    <row r="7541">
      <c r="A7541" s="7">
        <f>HYPERLINK("http://www.lingerieopt.ru/item/9635-kruzhevnje-trusiki-stringi-anhelina-s-pikantnjmi-vjrezami-i-bantom-szadi/","9635")</f>
      </c>
      <c r="B7541" s="8" t="s">
        <v>7282</v>
      </c>
      <c r="C7541" s="9">
        <v>533</v>
      </c>
      <c r="D7541" s="0">
        <v>2</v>
      </c>
      <c r="E7541" s="10">
        <f>HYPERLINK("http://www.lingerieopt.ru/images/original/f4d5f769-b5d5-4bd8-a253-f809df938f59.jpg","Фото")</f>
      </c>
    </row>
    <row r="7542">
      <c r="A7542" s="7">
        <f>HYPERLINK("http://www.lingerieopt.ru/item/9645-kruzhevnje-trusiki-stringi-angela-s-shirokim-poyaskom/","9645")</f>
      </c>
      <c r="B7542" s="8" t="s">
        <v>7283</v>
      </c>
      <c r="C7542" s="9">
        <v>622</v>
      </c>
      <c r="D7542" s="0">
        <v>2</v>
      </c>
      <c r="E7542" s="10">
        <f>HYPERLINK("http://www.lingerieopt.ru/images/original/a46ca18e-0a33-4c55-8983-ca0faa039fbc.jpg","Фото")</f>
      </c>
    </row>
    <row r="7543">
      <c r="A7543" s="7">
        <f>HYPERLINK("http://www.lingerieopt.ru/item/9645-kruzhevnje-trusiki-stringi-angela-s-shirokim-poyaskom/","9645")</f>
      </c>
      <c r="B7543" s="8" t="s">
        <v>7284</v>
      </c>
      <c r="C7543" s="9">
        <v>622</v>
      </c>
      <c r="D7543" s="0">
        <v>1</v>
      </c>
      <c r="E7543" s="10">
        <f>HYPERLINK("http://www.lingerieopt.ru/images/original/a46ca18e-0a33-4c55-8983-ca0faa039fbc.jpg","Фото")</f>
      </c>
    </row>
    <row r="7544">
      <c r="A7544" s="7">
        <f>HYPERLINK("http://www.lingerieopt.ru/item/9645-kruzhevnje-trusiki-stringi-angela-s-shirokim-poyaskom/","9645")</f>
      </c>
      <c r="B7544" s="8" t="s">
        <v>7285</v>
      </c>
      <c r="C7544" s="9">
        <v>622</v>
      </c>
      <c r="D7544" s="0">
        <v>0</v>
      </c>
      <c r="E7544" s="10">
        <f>HYPERLINK("http://www.lingerieopt.ru/images/original/a46ca18e-0a33-4c55-8983-ca0faa039fbc.jpg","Фото")</f>
      </c>
    </row>
    <row r="7545">
      <c r="A7545" s="7">
        <f>HYPERLINK("http://www.lingerieopt.ru/item/9645-kruzhevnje-trusiki-stringi-angela-s-shirokim-poyaskom/","9645")</f>
      </c>
      <c r="B7545" s="8" t="s">
        <v>7286</v>
      </c>
      <c r="C7545" s="9">
        <v>622</v>
      </c>
      <c r="D7545" s="0">
        <v>0</v>
      </c>
      <c r="E7545" s="10">
        <f>HYPERLINK("http://www.lingerieopt.ru/images/original/a46ca18e-0a33-4c55-8983-ca0faa039fbc.jpg","Фото")</f>
      </c>
    </row>
    <row r="7546">
      <c r="A7546" s="7">
        <f>HYPERLINK("http://www.lingerieopt.ru/item/9645-kruzhevnje-trusiki-stringi-angela-s-shirokim-poyaskom/","9645")</f>
      </c>
      <c r="B7546" s="8" t="s">
        <v>7287</v>
      </c>
      <c r="C7546" s="9">
        <v>622</v>
      </c>
      <c r="D7546" s="0">
        <v>2</v>
      </c>
      <c r="E7546" s="10">
        <f>HYPERLINK("http://www.lingerieopt.ru/images/original/a46ca18e-0a33-4c55-8983-ca0faa039fbc.jpg","Фото")</f>
      </c>
    </row>
    <row r="7547">
      <c r="A7547" s="7">
        <f>HYPERLINK("http://www.lingerieopt.ru/item/9645-kruzhevnje-trusiki-stringi-angela-s-shirokim-poyaskom/","9645")</f>
      </c>
      <c r="B7547" s="8" t="s">
        <v>7288</v>
      </c>
      <c r="C7547" s="9">
        <v>622</v>
      </c>
      <c r="D7547" s="0">
        <v>2</v>
      </c>
      <c r="E7547" s="10">
        <f>HYPERLINK("http://www.lingerieopt.ru/images/original/a46ca18e-0a33-4c55-8983-ca0faa039fbc.jpg","Фото")</f>
      </c>
    </row>
    <row r="7548">
      <c r="A7548" s="7">
        <f>HYPERLINK("http://www.lingerieopt.ru/item/9646-kruzhevnje-trusiki-stringi-angela-plus-size-s-shirokim-poyaskom/","9646")</f>
      </c>
      <c r="B7548" s="8" t="s">
        <v>7289</v>
      </c>
      <c r="C7548" s="9">
        <v>622</v>
      </c>
      <c r="D7548" s="0">
        <v>2</v>
      </c>
      <c r="E7548" s="10">
        <f>HYPERLINK("http://www.lingerieopt.ru/images/original/e5080b78-7fdf-4097-b7f2-bd3e7f8aa3e0.jpg","Фото")</f>
      </c>
    </row>
    <row r="7549">
      <c r="A7549" s="7">
        <f>HYPERLINK("http://www.lingerieopt.ru/item/9646-kruzhevnje-trusiki-stringi-angela-plus-size-s-shirokim-poyaskom/","9646")</f>
      </c>
      <c r="B7549" s="8" t="s">
        <v>7290</v>
      </c>
      <c r="C7549" s="9">
        <v>622</v>
      </c>
      <c r="D7549" s="0">
        <v>3</v>
      </c>
      <c r="E7549" s="10">
        <f>HYPERLINK("http://www.lingerieopt.ru/images/original/e5080b78-7fdf-4097-b7f2-bd3e7f8aa3e0.jpg","Фото")</f>
      </c>
    </row>
    <row r="7550">
      <c r="A7550" s="7">
        <f>HYPERLINK("http://www.lingerieopt.ru/item/9646-kruzhevnje-trusiki-stringi-angela-plus-size-s-shirokim-poyaskom/","9646")</f>
      </c>
      <c r="B7550" s="8" t="s">
        <v>7291</v>
      </c>
      <c r="C7550" s="9">
        <v>622</v>
      </c>
      <c r="D7550" s="0">
        <v>2</v>
      </c>
      <c r="E7550" s="10">
        <f>HYPERLINK("http://www.lingerieopt.ru/images/original/e5080b78-7fdf-4097-b7f2-bd3e7f8aa3e0.jpg","Фото")</f>
      </c>
    </row>
    <row r="7551">
      <c r="A7551" s="7">
        <f>HYPERLINK("http://www.lingerieopt.ru/item/9647-originalnje-trusiki-stringi-diana/","9647")</f>
      </c>
      <c r="B7551" s="8" t="s">
        <v>7292</v>
      </c>
      <c r="C7551" s="9">
        <v>457</v>
      </c>
      <c r="D7551" s="0">
        <v>5</v>
      </c>
      <c r="E7551" s="10">
        <f>HYPERLINK("http://www.lingerieopt.ru/images/original/e7e9012a-7ba8-4690-9677-a6158ee81d5e.jpg","Фото")</f>
      </c>
    </row>
    <row r="7552">
      <c r="A7552" s="7">
        <f>HYPERLINK("http://www.lingerieopt.ru/item/9647-originalnje-trusiki-stringi-diana/","9647")</f>
      </c>
      <c r="B7552" s="8" t="s">
        <v>7293</v>
      </c>
      <c r="C7552" s="9">
        <v>457</v>
      </c>
      <c r="D7552" s="0">
        <v>1</v>
      </c>
      <c r="E7552" s="10">
        <f>HYPERLINK("http://www.lingerieopt.ru/images/original/e7e9012a-7ba8-4690-9677-a6158ee81d5e.jpg","Фото")</f>
      </c>
    </row>
    <row r="7553">
      <c r="A7553" s="7">
        <f>HYPERLINK("http://www.lingerieopt.ru/item/9647-originalnje-trusiki-stringi-diana/","9647")</f>
      </c>
      <c r="B7553" s="8" t="s">
        <v>7294</v>
      </c>
      <c r="C7553" s="9">
        <v>457</v>
      </c>
      <c r="D7553" s="0">
        <v>2</v>
      </c>
      <c r="E7553" s="10">
        <f>HYPERLINK("http://www.lingerieopt.ru/images/original/e7e9012a-7ba8-4690-9677-a6158ee81d5e.jpg","Фото")</f>
      </c>
    </row>
    <row r="7554">
      <c r="A7554" s="7">
        <f>HYPERLINK("http://www.lingerieopt.ru/item/9647-originalnje-trusiki-stringi-diana/","9647")</f>
      </c>
      <c r="B7554" s="8" t="s">
        <v>7295</v>
      </c>
      <c r="C7554" s="9">
        <v>457</v>
      </c>
      <c r="D7554" s="0">
        <v>3</v>
      </c>
      <c r="E7554" s="10">
        <f>HYPERLINK("http://www.lingerieopt.ru/images/original/e7e9012a-7ba8-4690-9677-a6158ee81d5e.jpg","Фото")</f>
      </c>
    </row>
    <row r="7555">
      <c r="A7555" s="7">
        <f>HYPERLINK("http://www.lingerieopt.ru/item/9647-originalnje-trusiki-stringi-diana/","9647")</f>
      </c>
      <c r="B7555" s="8" t="s">
        <v>7296</v>
      </c>
      <c r="C7555" s="9">
        <v>457</v>
      </c>
      <c r="D7555" s="0">
        <v>0</v>
      </c>
      <c r="E7555" s="10">
        <f>HYPERLINK("http://www.lingerieopt.ru/images/original/e7e9012a-7ba8-4690-9677-a6158ee81d5e.jpg","Фото")</f>
      </c>
    </row>
    <row r="7556">
      <c r="A7556" s="7">
        <f>HYPERLINK("http://www.lingerieopt.ru/item/9647-originalnje-trusiki-stringi-diana/","9647")</f>
      </c>
      <c r="B7556" s="8" t="s">
        <v>7297</v>
      </c>
      <c r="C7556" s="9">
        <v>457</v>
      </c>
      <c r="D7556" s="0">
        <v>0</v>
      </c>
      <c r="E7556" s="10">
        <f>HYPERLINK("http://www.lingerieopt.ru/images/original/e7e9012a-7ba8-4690-9677-a6158ee81d5e.jpg","Фото")</f>
      </c>
    </row>
    <row r="7557">
      <c r="A7557" s="7">
        <f>HYPERLINK("http://www.lingerieopt.ru/item/9648-otkrovennje-trusiki-stringi-diana-plus-size/","9648")</f>
      </c>
      <c r="B7557" s="8" t="s">
        <v>7298</v>
      </c>
      <c r="C7557" s="9">
        <v>457</v>
      </c>
      <c r="D7557" s="0">
        <v>5</v>
      </c>
      <c r="E7557" s="10">
        <f>HYPERLINK("http://www.lingerieopt.ru/images/original/2fca8d49-b81b-4d63-a37a-10fb15bc40e6.jpg","Фото")</f>
      </c>
    </row>
    <row r="7558">
      <c r="A7558" s="7">
        <f>HYPERLINK("http://www.lingerieopt.ru/item/9648-otkrovennje-trusiki-stringi-diana-plus-size/","9648")</f>
      </c>
      <c r="B7558" s="8" t="s">
        <v>7299</v>
      </c>
      <c r="C7558" s="9">
        <v>457</v>
      </c>
      <c r="D7558" s="0">
        <v>2</v>
      </c>
      <c r="E7558" s="10">
        <f>HYPERLINK("http://www.lingerieopt.ru/images/original/2fca8d49-b81b-4d63-a37a-10fb15bc40e6.jpg","Фото")</f>
      </c>
    </row>
    <row r="7559">
      <c r="A7559" s="7">
        <f>HYPERLINK("http://www.lingerieopt.ru/item/9648-otkrovennje-trusiki-stringi-diana-plus-size/","9648")</f>
      </c>
      <c r="B7559" s="8" t="s">
        <v>7300</v>
      </c>
      <c r="C7559" s="9">
        <v>457</v>
      </c>
      <c r="D7559" s="0">
        <v>4</v>
      </c>
      <c r="E7559" s="10">
        <f>HYPERLINK("http://www.lingerieopt.ru/images/original/2fca8d49-b81b-4d63-a37a-10fb15bc40e6.jpg","Фото")</f>
      </c>
    </row>
    <row r="7560">
      <c r="A7560" s="7">
        <f>HYPERLINK("http://www.lingerieopt.ru/item/9678-kruzhevnje-trusiki-shortj-imperia-s-krupnjm-cvetochnjm-uzorom/","9678")</f>
      </c>
      <c r="B7560" s="8" t="s">
        <v>7301</v>
      </c>
      <c r="C7560" s="9">
        <v>612</v>
      </c>
      <c r="D7560" s="0">
        <v>1</v>
      </c>
      <c r="E7560" s="10">
        <f>HYPERLINK("http://www.lingerieopt.ru/images/original/e12d4241-e8df-47af-9313-c8e0cd133740.jpg","Фото")</f>
      </c>
    </row>
    <row r="7561">
      <c r="A7561" s="7">
        <f>HYPERLINK("http://www.lingerieopt.ru/item/9678-kruzhevnje-trusiki-shortj-imperia-s-krupnjm-cvetochnjm-uzorom/","9678")</f>
      </c>
      <c r="B7561" s="8" t="s">
        <v>7302</v>
      </c>
      <c r="C7561" s="9">
        <v>612</v>
      </c>
      <c r="D7561" s="0">
        <v>0</v>
      </c>
      <c r="E7561" s="10">
        <f>HYPERLINK("http://www.lingerieopt.ru/images/original/e12d4241-e8df-47af-9313-c8e0cd133740.jpg","Фото")</f>
      </c>
    </row>
    <row r="7562">
      <c r="A7562" s="7">
        <f>HYPERLINK("http://www.lingerieopt.ru/item/9693-kruzhevnje-trusiki-shortiki-s-podveskoi/","9693")</f>
      </c>
      <c r="B7562" s="8" t="s">
        <v>7303</v>
      </c>
      <c r="C7562" s="9">
        <v>648</v>
      </c>
      <c r="D7562" s="0">
        <v>9</v>
      </c>
      <c r="E7562" s="10">
        <f>HYPERLINK("http://www.lingerieopt.ru/images/original/9d841554-459f-421a-92c2-2f74f5407551.jpg","Фото")</f>
      </c>
    </row>
    <row r="7563">
      <c r="A7563" s="7">
        <f>HYPERLINK("http://www.lingerieopt.ru/item/9693-kruzhevnje-trusiki-shortiki-s-podveskoi/","9693")</f>
      </c>
      <c r="B7563" s="8" t="s">
        <v>7304</v>
      </c>
      <c r="C7563" s="9">
        <v>648</v>
      </c>
      <c r="D7563" s="0">
        <v>8</v>
      </c>
      <c r="E7563" s="10">
        <f>HYPERLINK("http://www.lingerieopt.ru/images/original/9d841554-459f-421a-92c2-2f74f5407551.jpg","Фото")</f>
      </c>
    </row>
    <row r="7564">
      <c r="A7564" s="7">
        <f>HYPERLINK("http://www.lingerieopt.ru/item/9694-trusiki-stringi-s-kruzhevnoi-yubochkoi-i-podveskoi-szadi/","9694")</f>
      </c>
      <c r="B7564" s="8" t="s">
        <v>7305</v>
      </c>
      <c r="C7564" s="9">
        <v>648</v>
      </c>
      <c r="D7564" s="0">
        <v>7</v>
      </c>
      <c r="E7564" s="10">
        <f>HYPERLINK("http://www.lingerieopt.ru/images/original/31192395-6b22-4991-87d8-7c717315c564.jpg","Фото")</f>
      </c>
    </row>
    <row r="7565">
      <c r="A7565" s="7">
        <f>HYPERLINK("http://www.lingerieopt.ru/item/9694-trusiki-stringi-s-kruzhevnoi-yubochkoi-i-podveskoi-szadi/","9694")</f>
      </c>
      <c r="B7565" s="8" t="s">
        <v>7306</v>
      </c>
      <c r="C7565" s="9">
        <v>648</v>
      </c>
      <c r="D7565" s="0">
        <v>5</v>
      </c>
      <c r="E7565" s="10">
        <f>HYPERLINK("http://www.lingerieopt.ru/images/original/31192395-6b22-4991-87d8-7c717315c564.jpg","Фото")</f>
      </c>
    </row>
    <row r="7566">
      <c r="A7566" s="7">
        <f>HYPERLINK("http://www.lingerieopt.ru/item/9755-trusj-shortiki-ina-iz-setki/","9755")</f>
      </c>
      <c r="B7566" s="8" t="s">
        <v>7307</v>
      </c>
      <c r="C7566" s="9">
        <v>636</v>
      </c>
      <c r="D7566" s="0">
        <v>7</v>
      </c>
      <c r="E7566" s="10">
        <f>HYPERLINK("http://www.lingerieopt.ru/images/original/83c29789-20b6-4ccc-9223-1bcb9d51c305.jpg","Фото")</f>
      </c>
    </row>
    <row r="7567">
      <c r="A7567" s="7">
        <f>HYPERLINK("http://www.lingerieopt.ru/item/9755-trusj-shortiki-ina-iz-setki/","9755")</f>
      </c>
      <c r="B7567" s="8" t="s">
        <v>7308</v>
      </c>
      <c r="C7567" s="9">
        <v>636</v>
      </c>
      <c r="D7567" s="0">
        <v>8</v>
      </c>
      <c r="E7567" s="10">
        <f>HYPERLINK("http://www.lingerieopt.ru/images/original/83c29789-20b6-4ccc-9223-1bcb9d51c305.jpg","Фото")</f>
      </c>
    </row>
    <row r="7568">
      <c r="A7568" s="7">
        <f>HYPERLINK("http://www.lingerieopt.ru/item/9919-trusiki-stringi-athena-s-ekstra-nizkoi-posadkoi/","9919")</f>
      </c>
      <c r="B7568" s="8" t="s">
        <v>7309</v>
      </c>
      <c r="C7568" s="9">
        <v>636</v>
      </c>
      <c r="D7568" s="0">
        <v>8</v>
      </c>
      <c r="E7568" s="10">
        <f>HYPERLINK("http://www.lingerieopt.ru/images/original/0e423c28-72ba-44a4-a401-2383e37872f7.jpg","Фото")</f>
      </c>
    </row>
    <row r="7569">
      <c r="A7569" s="7">
        <f>HYPERLINK("http://www.lingerieopt.ru/item/9919-trusiki-stringi-athena-s-ekstra-nizkoi-posadkoi/","9919")</f>
      </c>
      <c r="B7569" s="8" t="s">
        <v>7310</v>
      </c>
      <c r="C7569" s="9">
        <v>636</v>
      </c>
      <c r="D7569" s="0">
        <v>11</v>
      </c>
      <c r="E7569" s="10">
        <f>HYPERLINK("http://www.lingerieopt.ru/images/original/0e423c28-72ba-44a4-a401-2383e37872f7.jpg","Фото")</f>
      </c>
    </row>
    <row r="7570">
      <c r="A7570" s="7">
        <f>HYPERLINK("http://www.lingerieopt.ru/item/9919-trusiki-stringi-athena-s-ekstra-nizkoi-posadkoi/","9919")</f>
      </c>
      <c r="B7570" s="8" t="s">
        <v>7311</v>
      </c>
      <c r="C7570" s="9">
        <v>636</v>
      </c>
      <c r="D7570" s="0">
        <v>13</v>
      </c>
      <c r="E7570" s="10">
        <f>HYPERLINK("http://www.lingerieopt.ru/images/original/0e423c28-72ba-44a4-a401-2383e37872f7.jpg","Фото")</f>
      </c>
    </row>
    <row r="7571">
      <c r="A7571" s="7">
        <f>HYPERLINK("http://www.lingerieopt.ru/item/9919-trusiki-stringi-athena-s-ekstra-nizkoi-posadkoi/","9919")</f>
      </c>
      <c r="B7571" s="8" t="s">
        <v>7312</v>
      </c>
      <c r="C7571" s="9">
        <v>636</v>
      </c>
      <c r="D7571" s="0">
        <v>11</v>
      </c>
      <c r="E7571" s="10">
        <f>HYPERLINK("http://www.lingerieopt.ru/images/original/0e423c28-72ba-44a4-a401-2383e37872f7.jpg","Фото")</f>
      </c>
    </row>
    <row r="7572">
      <c r="A7572" s="7">
        <f>HYPERLINK("http://www.lingerieopt.ru/item/10029-igrivje-trusiki-stringi-elisa-s-oborkami/","10029")</f>
      </c>
      <c r="B7572" s="8" t="s">
        <v>7313</v>
      </c>
      <c r="C7572" s="9">
        <v>636</v>
      </c>
      <c r="D7572" s="0">
        <v>3</v>
      </c>
      <c r="E7572" s="10">
        <f>HYPERLINK("http://www.lingerieopt.ru/images/original/3e9ece95-6503-444f-a230-a225832d7f25.jpg","Фото")</f>
      </c>
    </row>
    <row r="7573">
      <c r="A7573" s="7">
        <f>HYPERLINK("http://www.lingerieopt.ru/item/10029-igrivje-trusiki-stringi-elisa-s-oborkami/","10029")</f>
      </c>
      <c r="B7573" s="8" t="s">
        <v>7314</v>
      </c>
      <c r="C7573" s="9">
        <v>636</v>
      </c>
      <c r="D7573" s="0">
        <v>3</v>
      </c>
      <c r="E7573" s="10">
        <f>HYPERLINK("http://www.lingerieopt.ru/images/original/3e9ece95-6503-444f-a230-a225832d7f25.jpg","Фото")</f>
      </c>
    </row>
    <row r="7574">
      <c r="A7574" s="7">
        <f>HYPERLINK("http://www.lingerieopt.ru/item/10032-trusiki-shortiki-molly-so-shnurovkoi/","10032")</f>
      </c>
      <c r="B7574" s="8" t="s">
        <v>7315</v>
      </c>
      <c r="C7574" s="9">
        <v>720</v>
      </c>
      <c r="D7574" s="0">
        <v>3</v>
      </c>
      <c r="E7574" s="10">
        <f>HYPERLINK("http://www.lingerieopt.ru/images/original/90093417-0c41-459c-832d-c73798341bd1.jpg","Фото")</f>
      </c>
    </row>
    <row r="7575">
      <c r="A7575" s="7">
        <f>HYPERLINK("http://www.lingerieopt.ru/item/10032-trusiki-shortiki-molly-so-shnurovkoi/","10032")</f>
      </c>
      <c r="B7575" s="8" t="s">
        <v>7316</v>
      </c>
      <c r="C7575" s="9">
        <v>720</v>
      </c>
      <c r="D7575" s="0">
        <v>7</v>
      </c>
      <c r="E7575" s="10">
        <f>HYPERLINK("http://www.lingerieopt.ru/images/original/90093417-0c41-459c-832d-c73798341bd1.jpg","Фото")</f>
      </c>
    </row>
    <row r="7576">
      <c r="A7576" s="7">
        <f>HYPERLINK("http://www.lingerieopt.ru/item/10033-kruzhevnje-trusiki-stringi-nancy-iz-strep-lent/","10033")</f>
      </c>
      <c r="B7576" s="8" t="s">
        <v>7317</v>
      </c>
      <c r="C7576" s="9">
        <v>636</v>
      </c>
      <c r="D7576" s="0">
        <v>9</v>
      </c>
      <c r="E7576" s="10">
        <f>HYPERLINK("http://www.lingerieopt.ru/images/original/4aa29c67-9c1e-491c-9601-857524efb4cb.jpg","Фото")</f>
      </c>
    </row>
    <row r="7577">
      <c r="A7577" s="7">
        <f>HYPERLINK("http://www.lingerieopt.ru/item/10033-kruzhevnje-trusiki-stringi-nancy-iz-strep-lent/","10033")</f>
      </c>
      <c r="B7577" s="8" t="s">
        <v>7318</v>
      </c>
      <c r="C7577" s="9">
        <v>636</v>
      </c>
      <c r="D7577" s="0">
        <v>3</v>
      </c>
      <c r="E7577" s="10">
        <f>HYPERLINK("http://www.lingerieopt.ru/images/original/4aa29c67-9c1e-491c-9601-857524efb4cb.jpg","Фото")</f>
      </c>
    </row>
    <row r="7578">
      <c r="A7578" s="7">
        <f>HYPERLINK("http://www.lingerieopt.ru/item/10033-kruzhevnje-trusiki-stringi-nancy-iz-strep-lent/","10033")</f>
      </c>
      <c r="B7578" s="8" t="s">
        <v>7319</v>
      </c>
      <c r="C7578" s="9">
        <v>636</v>
      </c>
      <c r="D7578" s="0">
        <v>7</v>
      </c>
      <c r="E7578" s="10">
        <f>HYPERLINK("http://www.lingerieopt.ru/images/original/4aa29c67-9c1e-491c-9601-857524efb4cb.jpg","Фото")</f>
      </c>
    </row>
    <row r="7579">
      <c r="A7579" s="7">
        <f>HYPERLINK("http://www.lingerieopt.ru/item/10033-kruzhevnje-trusiki-stringi-nancy-iz-strep-lent/","10033")</f>
      </c>
      <c r="B7579" s="8" t="s">
        <v>7320</v>
      </c>
      <c r="C7579" s="9">
        <v>636</v>
      </c>
      <c r="D7579" s="0">
        <v>7</v>
      </c>
      <c r="E7579" s="10">
        <f>HYPERLINK("http://www.lingerieopt.ru/images/original/4aa29c67-9c1e-491c-9601-857524efb4cb.jpg","Фото")</f>
      </c>
    </row>
    <row r="7580">
      <c r="A7580" s="7">
        <f>HYPERLINK("http://www.lingerieopt.ru/item/10085-pikantnje-nityanje-trusiki-stringi-samantha/","10085")</f>
      </c>
      <c r="B7580" s="8" t="s">
        <v>7321</v>
      </c>
      <c r="C7580" s="9">
        <v>910</v>
      </c>
      <c r="D7580" s="0">
        <v>3</v>
      </c>
      <c r="E7580" s="10">
        <f>HYPERLINK("http://www.lingerieopt.ru/images/original/581dc8f1-eb3d-4363-ab22-7f68d187da90.jpg","Фото")</f>
      </c>
    </row>
    <row r="7581">
      <c r="A7581" s="7">
        <f>HYPERLINK("http://www.lingerieopt.ru/item/10085-pikantnje-nityanje-trusiki-stringi-samantha/","10085")</f>
      </c>
      <c r="B7581" s="8" t="s">
        <v>7322</v>
      </c>
      <c r="C7581" s="9">
        <v>910</v>
      </c>
      <c r="D7581" s="0">
        <v>10</v>
      </c>
      <c r="E7581" s="10">
        <f>HYPERLINK("http://www.lingerieopt.ru/images/original/581dc8f1-eb3d-4363-ab22-7f68d187da90.jpg","Фото")</f>
      </c>
    </row>
    <row r="7582">
      <c r="A7582" s="7">
        <f>HYPERLINK("http://www.lingerieopt.ru/item/10085-pikantnje-nityanje-trusiki-stringi-samantha/","10085")</f>
      </c>
      <c r="B7582" s="8" t="s">
        <v>7323</v>
      </c>
      <c r="C7582" s="9">
        <v>910</v>
      </c>
      <c r="D7582" s="0">
        <v>1</v>
      </c>
      <c r="E7582" s="10">
        <f>HYPERLINK("http://www.lingerieopt.ru/images/original/581dc8f1-eb3d-4363-ab22-7f68d187da90.jpg","Фото")</f>
      </c>
    </row>
    <row r="7583">
      <c r="A7583" s="7">
        <f>HYPERLINK("http://www.lingerieopt.ru/item/10085-pikantnje-nityanje-trusiki-stringi-samantha/","10085")</f>
      </c>
      <c r="B7583" s="8" t="s">
        <v>7324</v>
      </c>
      <c r="C7583" s="9">
        <v>910</v>
      </c>
      <c r="D7583" s="0">
        <v>6</v>
      </c>
      <c r="E7583" s="10">
        <f>HYPERLINK("http://www.lingerieopt.ru/images/original/581dc8f1-eb3d-4363-ab22-7f68d187da90.jpg","Фото")</f>
      </c>
    </row>
    <row r="7584">
      <c r="A7584" s="7">
        <f>HYPERLINK("http://www.lingerieopt.ru/item/10085-pikantnje-nityanje-trusiki-stringi-samantha/","10085")</f>
      </c>
      <c r="B7584" s="8" t="s">
        <v>7325</v>
      </c>
      <c r="C7584" s="9">
        <v>910</v>
      </c>
      <c r="D7584" s="0">
        <v>6</v>
      </c>
      <c r="E7584" s="10">
        <f>HYPERLINK("http://www.lingerieopt.ru/images/original/581dc8f1-eb3d-4363-ab22-7f68d187da90.jpg","Фото")</f>
      </c>
    </row>
    <row r="7585">
      <c r="A7585" s="7">
        <f>HYPERLINK("http://www.lingerieopt.ru/item/10086-nityanje-trusiki-stringi-samantha-plus-size/","10086")</f>
      </c>
      <c r="B7585" s="8" t="s">
        <v>7326</v>
      </c>
      <c r="C7585" s="9">
        <v>684</v>
      </c>
      <c r="D7585" s="0">
        <v>3</v>
      </c>
      <c r="E7585" s="10">
        <f>HYPERLINK("http://www.lingerieopt.ru/images/original/36f88d8f-143f-425e-8dc0-10dbcec32ae7.jpg","Фото")</f>
      </c>
    </row>
    <row r="7586">
      <c r="A7586" s="7">
        <f>HYPERLINK("http://www.lingerieopt.ru/item/10086-nityanje-trusiki-stringi-samantha-plus-size/","10086")</f>
      </c>
      <c r="B7586" s="8" t="s">
        <v>7327</v>
      </c>
      <c r="C7586" s="9">
        <v>684</v>
      </c>
      <c r="D7586" s="0">
        <v>2</v>
      </c>
      <c r="E7586" s="10">
        <f>HYPERLINK("http://www.lingerieopt.ru/images/original/36f88d8f-143f-425e-8dc0-10dbcec32ae7.jpg","Фото")</f>
      </c>
    </row>
    <row r="7587">
      <c r="A7587" s="7">
        <f>HYPERLINK("http://www.lingerieopt.ru/item/10147-trusiki-doris-metallic-s-otkrjtoi-popkoi/","10147")</f>
      </c>
      <c r="B7587" s="8" t="s">
        <v>3662</v>
      </c>
      <c r="C7587" s="9">
        <v>622</v>
      </c>
      <c r="D7587" s="0">
        <v>8</v>
      </c>
      <c r="E7587" s="10">
        <f>HYPERLINK("http://www.lingerieopt.ru/images/original/371d3b0b-5d4c-4c3b-9043-c3d13d655b46.jpg","Фото")</f>
      </c>
    </row>
    <row r="7588">
      <c r="A7588" s="7">
        <f>HYPERLINK("http://www.lingerieopt.ru/item/10147-trusiki-doris-metallic-s-otkrjtoi-popkoi/","10147")</f>
      </c>
      <c r="B7588" s="8" t="s">
        <v>3661</v>
      </c>
      <c r="C7588" s="9">
        <v>622</v>
      </c>
      <c r="D7588" s="0">
        <v>10</v>
      </c>
      <c r="E7588" s="10">
        <f>HYPERLINK("http://www.lingerieopt.ru/images/original/371d3b0b-5d4c-4c3b-9043-c3d13d655b46.jpg","Фото")</f>
      </c>
    </row>
    <row r="7589">
      <c r="A7589" s="7">
        <f>HYPERLINK("http://www.lingerieopt.ru/item/10155-kruzhevnje-stringi-mystique/","10155")</f>
      </c>
      <c r="B7589" s="8" t="s">
        <v>7328</v>
      </c>
      <c r="C7589" s="9">
        <v>559</v>
      </c>
      <c r="D7589" s="0">
        <v>7</v>
      </c>
      <c r="E7589" s="10">
        <f>HYPERLINK("http://www.lingerieopt.ru/images/original/795c8d99-11e7-4068-9c50-8c6da7a4692c.jpg","Фото")</f>
      </c>
    </row>
    <row r="7590">
      <c r="A7590" s="7">
        <f>HYPERLINK("http://www.lingerieopt.ru/item/10155-kruzhevnje-stringi-mystique/","10155")</f>
      </c>
      <c r="B7590" s="8" t="s">
        <v>7329</v>
      </c>
      <c r="C7590" s="9">
        <v>559</v>
      </c>
      <c r="D7590" s="0">
        <v>3</v>
      </c>
      <c r="E7590" s="10">
        <f>HYPERLINK("http://www.lingerieopt.ru/images/original/795c8d99-11e7-4068-9c50-8c6da7a4692c.jpg","Фото")</f>
      </c>
    </row>
    <row r="7591">
      <c r="A7591" s="7">
        <f>HYPERLINK("http://www.lingerieopt.ru/item/10155-kruzhevnje-stringi-mystique/","10155")</f>
      </c>
      <c r="B7591" s="8" t="s">
        <v>7330</v>
      </c>
      <c r="C7591" s="9">
        <v>559</v>
      </c>
      <c r="D7591" s="0">
        <v>5</v>
      </c>
      <c r="E7591" s="10">
        <f>HYPERLINK("http://www.lingerieopt.ru/images/original/795c8d99-11e7-4068-9c50-8c6da7a4692c.jpg","Фото")</f>
      </c>
    </row>
    <row r="7592">
      <c r="A7592" s="7">
        <f>HYPERLINK("http://www.lingerieopt.ru/item/10155-kruzhevnje-stringi-mystique/","10155")</f>
      </c>
      <c r="B7592" s="8" t="s">
        <v>7331</v>
      </c>
      <c r="C7592" s="9">
        <v>559</v>
      </c>
      <c r="D7592" s="0">
        <v>6</v>
      </c>
      <c r="E7592" s="10">
        <f>HYPERLINK("http://www.lingerieopt.ru/images/original/795c8d99-11e7-4068-9c50-8c6da7a4692c.jpg","Фото")</f>
      </c>
    </row>
    <row r="7593">
      <c r="A7593" s="7">
        <f>HYPERLINK("http://www.lingerieopt.ru/item/10165-kruzhevnje-stringi-s-yubochkoi-miriam/","10165")</f>
      </c>
      <c r="B7593" s="8" t="s">
        <v>7332</v>
      </c>
      <c r="C7593" s="9">
        <v>460</v>
      </c>
      <c r="D7593" s="0">
        <v>6</v>
      </c>
      <c r="E7593" s="10">
        <f>HYPERLINK("http://www.lingerieopt.ru/images/original/c4ec376a-7eb8-4906-905c-1785b49cfaa8.jpg","Фото")</f>
      </c>
    </row>
    <row r="7594">
      <c r="A7594" s="7">
        <f>HYPERLINK("http://www.lingerieopt.ru/item/10165-kruzhevnje-stringi-s-yubochkoi-miriam/","10165")</f>
      </c>
      <c r="B7594" s="8" t="s">
        <v>7333</v>
      </c>
      <c r="C7594" s="9">
        <v>460</v>
      </c>
      <c r="D7594" s="0">
        <v>1</v>
      </c>
      <c r="E7594" s="10">
        <f>HYPERLINK("http://www.lingerieopt.ru/images/original/c4ec376a-7eb8-4906-905c-1785b49cfaa8.jpg","Фото")</f>
      </c>
    </row>
    <row r="7595">
      <c r="A7595" s="7">
        <f>HYPERLINK("http://www.lingerieopt.ru/item/10165-kruzhevnje-stringi-s-yubochkoi-miriam/","10165")</f>
      </c>
      <c r="B7595" s="8" t="s">
        <v>7334</v>
      </c>
      <c r="C7595" s="9">
        <v>460</v>
      </c>
      <c r="D7595" s="0">
        <v>9</v>
      </c>
      <c r="E7595" s="10">
        <f>HYPERLINK("http://www.lingerieopt.ru/images/original/c4ec376a-7eb8-4906-905c-1785b49cfaa8.jpg","Фото")</f>
      </c>
    </row>
    <row r="7596">
      <c r="A7596" s="7">
        <f>HYPERLINK("http://www.lingerieopt.ru/item/10165-kruzhevnje-stringi-s-yubochkoi-miriam/","10165")</f>
      </c>
      <c r="B7596" s="8" t="s">
        <v>7335</v>
      </c>
      <c r="C7596" s="9">
        <v>460</v>
      </c>
      <c r="D7596" s="0">
        <v>1</v>
      </c>
      <c r="E7596" s="10">
        <f>HYPERLINK("http://www.lingerieopt.ru/images/original/c4ec376a-7eb8-4906-905c-1785b49cfaa8.jpg","Фото")</f>
      </c>
    </row>
    <row r="7597">
      <c r="A7597" s="7">
        <f>HYPERLINK("http://www.lingerieopt.ru/item/10223-kruzhevnje-trusiki-stringi-anhelina-plus-size-s-pikantnjmi-vjrezami-i-bantom-szadi/","10223")</f>
      </c>
      <c r="B7597" s="8" t="s">
        <v>7336</v>
      </c>
      <c r="C7597" s="9">
        <v>533</v>
      </c>
      <c r="D7597" s="0">
        <v>2</v>
      </c>
      <c r="E7597" s="10">
        <f>HYPERLINK("http://www.lingerieopt.ru/images/original/effadfcf-1634-417f-bf0f-0a77b263bd51.jpg","Фото")</f>
      </c>
    </row>
    <row r="7598">
      <c r="A7598" s="7">
        <f>HYPERLINK("http://www.lingerieopt.ru/item/10223-kruzhevnje-trusiki-stringi-anhelina-plus-size-s-pikantnjmi-vjrezami-i-bantom-szadi/","10223")</f>
      </c>
      <c r="B7598" s="8" t="s">
        <v>7337</v>
      </c>
      <c r="C7598" s="9">
        <v>533</v>
      </c>
      <c r="D7598" s="0">
        <v>2</v>
      </c>
      <c r="E7598" s="10">
        <f>HYPERLINK("http://www.lingerieopt.ru/images/original/effadfcf-1634-417f-bf0f-0a77b263bd51.jpg","Фото")</f>
      </c>
    </row>
    <row r="7599">
      <c r="A7599" s="7">
        <f>HYPERLINK("http://www.lingerieopt.ru/item/10223-kruzhevnje-trusiki-stringi-anhelina-plus-size-s-pikantnjmi-vjrezami-i-bantom-szadi/","10223")</f>
      </c>
      <c r="B7599" s="8" t="s">
        <v>7338</v>
      </c>
      <c r="C7599" s="9">
        <v>533</v>
      </c>
      <c r="D7599" s="0">
        <v>0</v>
      </c>
      <c r="E7599" s="10">
        <f>HYPERLINK("http://www.lingerieopt.ru/images/original/effadfcf-1634-417f-bf0f-0a77b263bd51.jpg","Фото")</f>
      </c>
    </row>
    <row r="7600">
      <c r="A7600" s="7">
        <f>HYPERLINK("http://www.lingerieopt.ru/item/10241-kruzhevnje-nezhnje-t-stringi/","10241")</f>
      </c>
      <c r="B7600" s="8" t="s">
        <v>7339</v>
      </c>
      <c r="C7600" s="9">
        <v>93</v>
      </c>
      <c r="D7600" s="0">
        <v>72</v>
      </c>
      <c r="E7600" s="10">
        <f>HYPERLINK("http://www.lingerieopt.ru/images/original/e1976ca8-802c-4ca3-8d25-fe5642bde1a3.jpg","Фото")</f>
      </c>
    </row>
    <row r="7601">
      <c r="A7601" s="7">
        <f>HYPERLINK("http://www.lingerieopt.ru/item/10242-nezhnje-azhurnje-t-stringi-s-cvetochnjm-uzorom/","10242")</f>
      </c>
      <c r="B7601" s="8" t="s">
        <v>7340</v>
      </c>
      <c r="C7601" s="9">
        <v>93</v>
      </c>
      <c r="D7601" s="0">
        <v>32</v>
      </c>
      <c r="E7601" s="10">
        <f>HYPERLINK("http://www.lingerieopt.ru/images/original/517400b2-5816-49a0-af57-93ea1a12c7a4.jpg","Фото")</f>
      </c>
    </row>
    <row r="7602">
      <c r="A7602" s="7">
        <f>HYPERLINK("http://www.lingerieopt.ru/item/10242-nezhnje-azhurnje-t-stringi-s-cvetochnjm-uzorom/","10242")</f>
      </c>
      <c r="B7602" s="8" t="s">
        <v>7341</v>
      </c>
      <c r="C7602" s="9">
        <v>93</v>
      </c>
      <c r="D7602" s="0">
        <v>39</v>
      </c>
      <c r="E7602" s="10">
        <f>HYPERLINK("http://www.lingerieopt.ru/images/original/517400b2-5816-49a0-af57-93ea1a12c7a4.jpg","Фото")</f>
      </c>
    </row>
    <row r="7603">
      <c r="A7603" s="7">
        <f>HYPERLINK("http://www.lingerieopt.ru/item/10243-matovje-odnotonnje-t-stringi/","10243")</f>
      </c>
      <c r="B7603" s="8" t="s">
        <v>7342</v>
      </c>
      <c r="C7603" s="9">
        <v>93</v>
      </c>
      <c r="D7603" s="0">
        <v>67</v>
      </c>
      <c r="E7603" s="10">
        <f>HYPERLINK("http://www.lingerieopt.ru/images/original/a57b5292-df0e-4e72-a556-81ba5b0ff4a3.jpg","Фото")</f>
      </c>
    </row>
    <row r="7604">
      <c r="A7604" s="7">
        <f>HYPERLINK("http://www.lingerieopt.ru/item/10244-setchatje-zhenskie-t-stringi/","10244")</f>
      </c>
      <c r="B7604" s="8" t="s">
        <v>7343</v>
      </c>
      <c r="C7604" s="9">
        <v>93</v>
      </c>
      <c r="D7604" s="0">
        <v>34</v>
      </c>
      <c r="E7604" s="10">
        <f>HYPERLINK("http://www.lingerieopt.ru/images/original/b2b1afbf-d467-4b35-bd51-65fc5cf2b356.jpg","Фото")</f>
      </c>
    </row>
    <row r="7605">
      <c r="A7605" s="7">
        <f>HYPERLINK("http://www.lingerieopt.ru/item/10244-setchatje-zhenskie-t-stringi/","10244")</f>
      </c>
      <c r="B7605" s="8" t="s">
        <v>7344</v>
      </c>
      <c r="C7605" s="9">
        <v>93</v>
      </c>
      <c r="D7605" s="0">
        <v>31</v>
      </c>
      <c r="E7605" s="10">
        <f>HYPERLINK("http://www.lingerieopt.ru/images/original/b2b1afbf-d467-4b35-bd51-65fc5cf2b356.jpg","Фото")</f>
      </c>
    </row>
    <row r="7606">
      <c r="A7606" s="7">
        <f>HYPERLINK("http://www.lingerieopt.ru/item/10254-originalnje-trusiki-shortj-gaja-so-semnjmi-garterami/","10254")</f>
      </c>
      <c r="B7606" s="8" t="s">
        <v>7345</v>
      </c>
      <c r="C7606" s="9">
        <v>1164</v>
      </c>
      <c r="D7606" s="0">
        <v>8</v>
      </c>
      <c r="E7606" s="10">
        <f>HYPERLINK("http://www.lingerieopt.ru/images/original/bdac5932-7f95-45c5-ad39-6eb19c1d128e.jpg","Фото")</f>
      </c>
    </row>
    <row r="7607">
      <c r="A7607" s="7">
        <f>HYPERLINK("http://www.lingerieopt.ru/item/10254-originalnje-trusiki-shortj-gaja-so-semnjmi-garterami/","10254")</f>
      </c>
      <c r="B7607" s="8" t="s">
        <v>7346</v>
      </c>
      <c r="C7607" s="9">
        <v>1164</v>
      </c>
      <c r="D7607" s="0">
        <v>4</v>
      </c>
      <c r="E7607" s="10">
        <f>HYPERLINK("http://www.lingerieopt.ru/images/original/bdac5932-7f95-45c5-ad39-6eb19c1d128e.jpg","Фото")</f>
      </c>
    </row>
    <row r="7608">
      <c r="A7608" s="7">
        <f>HYPERLINK("http://www.lingerieopt.ru/item/10254-originalnje-trusiki-shortj-gaja-so-semnjmi-garterami/","10254")</f>
      </c>
      <c r="B7608" s="8" t="s">
        <v>7347</v>
      </c>
      <c r="C7608" s="9">
        <v>1164</v>
      </c>
      <c r="D7608" s="0">
        <v>2</v>
      </c>
      <c r="E7608" s="10">
        <f>HYPERLINK("http://www.lingerieopt.ru/images/original/bdac5932-7f95-45c5-ad39-6eb19c1d128e.jpg","Фото")</f>
      </c>
    </row>
    <row r="7609">
      <c r="A7609" s="7">
        <f>HYPERLINK("http://www.lingerieopt.ru/item/10254-originalnje-trusiki-shortj-gaja-so-semnjmi-garterami/","10254")</f>
      </c>
      <c r="B7609" s="8" t="s">
        <v>7348</v>
      </c>
      <c r="C7609" s="9">
        <v>1164</v>
      </c>
      <c r="D7609" s="0">
        <v>4</v>
      </c>
      <c r="E7609" s="10">
        <f>HYPERLINK("http://www.lingerieopt.ru/images/original/bdac5932-7f95-45c5-ad39-6eb19c1d128e.jpg","Фото")</f>
      </c>
    </row>
    <row r="7610">
      <c r="A7610" s="7">
        <f>HYPERLINK("http://www.lingerieopt.ru/item/10254-originalnje-trusiki-shortj-gaja-so-semnjmi-garterami/","10254")</f>
      </c>
      <c r="B7610" s="8" t="s">
        <v>7349</v>
      </c>
      <c r="C7610" s="9">
        <v>1164</v>
      </c>
      <c r="D7610" s="0">
        <v>5</v>
      </c>
      <c r="E7610" s="10">
        <f>HYPERLINK("http://www.lingerieopt.ru/images/original/bdac5932-7f95-45c5-ad39-6eb19c1d128e.jpg","Фото")</f>
      </c>
    </row>
    <row r="7611">
      <c r="A7611" s="7">
        <f>HYPERLINK("http://www.lingerieopt.ru/item/10254-originalnje-trusiki-shortj-gaja-so-semnjmi-garterami/","10254")</f>
      </c>
      <c r="B7611" s="8" t="s">
        <v>7350</v>
      </c>
      <c r="C7611" s="9">
        <v>1164</v>
      </c>
      <c r="D7611" s="0">
        <v>5</v>
      </c>
      <c r="E7611" s="10">
        <f>HYPERLINK("http://www.lingerieopt.ru/images/original/bdac5932-7f95-45c5-ad39-6eb19c1d128e.jpg","Фото")</f>
      </c>
    </row>
    <row r="7612">
      <c r="A7612" s="7">
        <f>HYPERLINK("http://www.lingerieopt.ru/item/10255-originalnje-trusiki-shortj-gaja-plus-size-so-semnjmi-garterami/","10255")</f>
      </c>
      <c r="B7612" s="8" t="s">
        <v>4245</v>
      </c>
      <c r="C7612" s="9">
        <v>1164</v>
      </c>
      <c r="D7612" s="0">
        <v>3</v>
      </c>
      <c r="E7612" s="10">
        <f>HYPERLINK("http://www.lingerieopt.ru/images/original/a0555983-5d10-43f1-ae2c-fdd3a9726a7f.jpg","Фото")</f>
      </c>
    </row>
    <row r="7613">
      <c r="A7613" s="7">
        <f>HYPERLINK("http://www.lingerieopt.ru/item/10255-originalnje-trusiki-shortj-gaja-plus-size-so-semnjmi-garterami/","10255")</f>
      </c>
      <c r="B7613" s="8" t="s">
        <v>4244</v>
      </c>
      <c r="C7613" s="9">
        <v>1164</v>
      </c>
      <c r="D7613" s="0">
        <v>2</v>
      </c>
      <c r="E7613" s="10">
        <f>HYPERLINK("http://www.lingerieopt.ru/images/original/a0555983-5d10-43f1-ae2c-fdd3a9726a7f.jpg","Фото")</f>
      </c>
    </row>
    <row r="7614">
      <c r="A7614" s="7">
        <f>HYPERLINK("http://www.lingerieopt.ru/item/10255-originalnje-trusiki-shortj-gaja-plus-size-so-semnjmi-garterami/","10255")</f>
      </c>
      <c r="B7614" s="8" t="s">
        <v>4243</v>
      </c>
      <c r="C7614" s="9">
        <v>1164</v>
      </c>
      <c r="D7614" s="0">
        <v>2</v>
      </c>
      <c r="E7614" s="10">
        <f>HYPERLINK("http://www.lingerieopt.ru/images/original/a0555983-5d10-43f1-ae2c-fdd3a9726a7f.jpg","Фото")</f>
      </c>
    </row>
    <row r="7615">
      <c r="A7615" s="7">
        <f>HYPERLINK("http://www.lingerieopt.ru/item/10348-kruzhevnje-trusiki-stringi-nessa-plus-size-s-bantikami/","10348")</f>
      </c>
      <c r="B7615" s="8" t="s">
        <v>7351</v>
      </c>
      <c r="C7615" s="9">
        <v>413</v>
      </c>
      <c r="D7615" s="0">
        <v>3</v>
      </c>
      <c r="E7615" s="10">
        <f>HYPERLINK("http://www.lingerieopt.ru/images/original/2e2fd2ab-c1b6-40a6-bd32-d4d59aac2b43.jpg","Фото")</f>
      </c>
    </row>
    <row r="7616">
      <c r="A7616" s="7">
        <f>HYPERLINK("http://www.lingerieopt.ru/item/10348-kruzhevnje-trusiki-stringi-nessa-plus-size-s-bantikami/","10348")</f>
      </c>
      <c r="B7616" s="8" t="s">
        <v>7352</v>
      </c>
      <c r="C7616" s="9">
        <v>413</v>
      </c>
      <c r="D7616" s="0">
        <v>2</v>
      </c>
      <c r="E7616" s="10">
        <f>HYPERLINK("http://www.lingerieopt.ru/images/original/2e2fd2ab-c1b6-40a6-bd32-d4d59aac2b43.jpg","Фото")</f>
      </c>
    </row>
    <row r="7617">
      <c r="A7617" s="7">
        <f>HYPERLINK("http://www.lingerieopt.ru/item/10430-otkrjtje-szadi-trusiki-zoe/","10430")</f>
      </c>
      <c r="B7617" s="8" t="s">
        <v>7353</v>
      </c>
      <c r="C7617" s="9">
        <v>572</v>
      </c>
      <c r="D7617" s="0">
        <v>8</v>
      </c>
      <c r="E7617" s="10">
        <f>HYPERLINK("http://www.lingerieopt.ru/images/original/614c358c-75e0-4c6e-896f-91e0304b91a1.jpg","Фото")</f>
      </c>
    </row>
    <row r="7618">
      <c r="A7618" s="7">
        <f>HYPERLINK("http://www.lingerieopt.ru/item/10430-otkrjtje-szadi-trusiki-zoe/","10430")</f>
      </c>
      <c r="B7618" s="8" t="s">
        <v>7354</v>
      </c>
      <c r="C7618" s="9">
        <v>572</v>
      </c>
      <c r="D7618" s="0">
        <v>4</v>
      </c>
      <c r="E7618" s="10">
        <f>HYPERLINK("http://www.lingerieopt.ru/images/original/614c358c-75e0-4c6e-896f-91e0304b91a1.jpg","Фото")</f>
      </c>
    </row>
    <row r="7619">
      <c r="A7619" s="7">
        <f>HYPERLINK("http://www.lingerieopt.ru/item/10449-trusiki-stringi-mercedes/","10449")</f>
      </c>
      <c r="B7619" s="8" t="s">
        <v>7355</v>
      </c>
      <c r="C7619" s="9">
        <v>508</v>
      </c>
      <c r="D7619" s="0">
        <v>4</v>
      </c>
      <c r="E7619" s="10">
        <f>HYPERLINK("http://www.lingerieopt.ru/images/original/9ca71b0d-74e9-4f02-a42d-85dd4fcecd73.jpg","Фото")</f>
      </c>
    </row>
    <row r="7620">
      <c r="A7620" s="7">
        <f>HYPERLINK("http://www.lingerieopt.ru/item/10449-trusiki-stringi-mercedes/","10449")</f>
      </c>
      <c r="B7620" s="8" t="s">
        <v>7356</v>
      </c>
      <c r="C7620" s="9">
        <v>508</v>
      </c>
      <c r="D7620" s="0">
        <v>0</v>
      </c>
      <c r="E7620" s="10">
        <f>HYPERLINK("http://www.lingerieopt.ru/images/original/9ca71b0d-74e9-4f02-a42d-85dd4fcecd73.jpg","Фото")</f>
      </c>
    </row>
    <row r="7621">
      <c r="A7621" s="7">
        <f>HYPERLINK("http://www.lingerieopt.ru/item/10450-trusiki-stringi-mercedes-plus-size-s-nebolshim-okoshkom/","10450")</f>
      </c>
      <c r="B7621" s="8" t="s">
        <v>7357</v>
      </c>
      <c r="C7621" s="9">
        <v>508</v>
      </c>
      <c r="D7621" s="0">
        <v>4</v>
      </c>
      <c r="E7621" s="10">
        <f>HYPERLINK("http://www.lingerieopt.ru/images/original/1e6ac8a9-e856-4b53-946b-efc3e3eed609.jpg","Фото")</f>
      </c>
    </row>
    <row r="7622">
      <c r="A7622" s="7">
        <f>HYPERLINK("http://www.lingerieopt.ru/item/10451-trusiki-stringi-palmira-s-perepleteniem-bretelei/","10451")</f>
      </c>
      <c r="B7622" s="8" t="s">
        <v>7358</v>
      </c>
      <c r="C7622" s="9">
        <v>457</v>
      </c>
      <c r="D7622" s="0">
        <v>5</v>
      </c>
      <c r="E7622" s="10">
        <f>HYPERLINK("http://www.lingerieopt.ru/images/original/b48bf52f-9253-496e-89ba-65e012454cfb.jpg","Фото")</f>
      </c>
    </row>
    <row r="7623">
      <c r="A7623" s="7">
        <f>HYPERLINK("http://www.lingerieopt.ru/item/10451-trusiki-stringi-palmira-s-perepleteniem-bretelei/","10451")</f>
      </c>
      <c r="B7623" s="8" t="s">
        <v>7359</v>
      </c>
      <c r="C7623" s="9">
        <v>457</v>
      </c>
      <c r="D7623" s="0">
        <v>2</v>
      </c>
      <c r="E7623" s="10">
        <f>HYPERLINK("http://www.lingerieopt.ru/images/original/b48bf52f-9253-496e-89ba-65e012454cfb.jpg","Фото")</f>
      </c>
    </row>
    <row r="7624">
      <c r="A7624" s="7">
        <f>HYPERLINK("http://www.lingerieopt.ru/item/10451-trusiki-stringi-palmira-s-perepleteniem-bretelei/","10451")</f>
      </c>
      <c r="B7624" s="8" t="s">
        <v>7360</v>
      </c>
      <c r="C7624" s="9">
        <v>457</v>
      </c>
      <c r="D7624" s="0">
        <v>3</v>
      </c>
      <c r="E7624" s="10">
        <f>HYPERLINK("http://www.lingerieopt.ru/images/original/b48bf52f-9253-496e-89ba-65e012454cfb.jpg","Фото")</f>
      </c>
    </row>
    <row r="7625">
      <c r="A7625" s="7">
        <f>HYPERLINK("http://www.lingerieopt.ru/item/10451-trusiki-stringi-palmira-s-perepleteniem-bretelei/","10451")</f>
      </c>
      <c r="B7625" s="8" t="s">
        <v>7361</v>
      </c>
      <c r="C7625" s="9">
        <v>457</v>
      </c>
      <c r="D7625" s="0">
        <v>6</v>
      </c>
      <c r="E7625" s="10">
        <f>HYPERLINK("http://www.lingerieopt.ru/images/original/b48bf52f-9253-496e-89ba-65e012454cfb.jpg","Фото")</f>
      </c>
    </row>
    <row r="7626">
      <c r="A7626" s="7">
        <f>HYPERLINK("http://www.lingerieopt.ru/item/10451-trusiki-stringi-palmira-s-perepleteniem-bretelei/","10451")</f>
      </c>
      <c r="B7626" s="8" t="s">
        <v>7362</v>
      </c>
      <c r="C7626" s="9">
        <v>457</v>
      </c>
      <c r="D7626" s="0">
        <v>0</v>
      </c>
      <c r="E7626" s="10">
        <f>HYPERLINK("http://www.lingerieopt.ru/images/original/b48bf52f-9253-496e-89ba-65e012454cfb.jpg","Фото")</f>
      </c>
    </row>
    <row r="7627">
      <c r="A7627" s="7">
        <f>HYPERLINK("http://www.lingerieopt.ru/item/10451-trusiki-stringi-palmira-s-perepleteniem-bretelei/","10451")</f>
      </c>
      <c r="B7627" s="8" t="s">
        <v>7363</v>
      </c>
      <c r="C7627" s="9">
        <v>457</v>
      </c>
      <c r="D7627" s="0">
        <v>3</v>
      </c>
      <c r="E7627" s="10">
        <f>HYPERLINK("http://www.lingerieopt.ru/images/original/b48bf52f-9253-496e-89ba-65e012454cfb.jpg","Фото")</f>
      </c>
    </row>
    <row r="7628">
      <c r="A7628" s="7">
        <f>HYPERLINK("http://www.lingerieopt.ru/item/10452-trusiki-stringi-palmira-plus-size-s-perepleteniem-bretelei/","10452")</f>
      </c>
      <c r="B7628" s="8" t="s">
        <v>7364</v>
      </c>
      <c r="C7628" s="9">
        <v>457</v>
      </c>
      <c r="D7628" s="0">
        <v>2</v>
      </c>
      <c r="E7628" s="10">
        <f>HYPERLINK("http://www.lingerieopt.ru/images/original/1d305deb-5144-42f5-a673-3a5e2f308196.jpg","Фото")</f>
      </c>
    </row>
    <row r="7629">
      <c r="A7629" s="7">
        <f>HYPERLINK("http://www.lingerieopt.ru/item/10452-trusiki-stringi-palmira-plus-size-s-perepleteniem-bretelei/","10452")</f>
      </c>
      <c r="B7629" s="8" t="s">
        <v>7365</v>
      </c>
      <c r="C7629" s="9">
        <v>457</v>
      </c>
      <c r="D7629" s="0">
        <v>3</v>
      </c>
      <c r="E7629" s="10">
        <f>HYPERLINK("http://www.lingerieopt.ru/images/original/1d305deb-5144-42f5-a673-3a5e2f308196.jpg","Фото")</f>
      </c>
    </row>
    <row r="7630">
      <c r="A7630" s="7">
        <f>HYPERLINK("http://www.lingerieopt.ru/item/10452-trusiki-stringi-palmira-plus-size-s-perepleteniem-bretelei/","10452")</f>
      </c>
      <c r="B7630" s="8" t="s">
        <v>7366</v>
      </c>
      <c r="C7630" s="9">
        <v>457</v>
      </c>
      <c r="D7630" s="0">
        <v>3</v>
      </c>
      <c r="E7630" s="10">
        <f>HYPERLINK("http://www.lingerieopt.ru/images/original/1d305deb-5144-42f5-a673-3a5e2f308196.jpg","Фото")</f>
      </c>
    </row>
    <row r="7631">
      <c r="A7631" s="7">
        <f>HYPERLINK("http://www.lingerieopt.ru/item/10471-vjsokie-trusiki-stringi-vanda-iz-strep-lent/","10471")</f>
      </c>
      <c r="B7631" s="8" t="s">
        <v>7367</v>
      </c>
      <c r="C7631" s="9">
        <v>672</v>
      </c>
      <c r="D7631" s="0">
        <v>38</v>
      </c>
      <c r="E7631" s="10">
        <f>HYPERLINK("http://www.lingerieopt.ru/images/original/8256b0cc-8abb-4d87-b28a-ec667c155255.jpg","Фото")</f>
      </c>
    </row>
    <row r="7632">
      <c r="A7632" s="7">
        <f>HYPERLINK("http://www.lingerieopt.ru/item/10471-vjsokie-trusiki-stringi-vanda-iz-strep-lent/","10471")</f>
      </c>
      <c r="B7632" s="8" t="s">
        <v>7368</v>
      </c>
      <c r="C7632" s="9">
        <v>672</v>
      </c>
      <c r="D7632" s="0">
        <v>32</v>
      </c>
      <c r="E7632" s="10">
        <f>HYPERLINK("http://www.lingerieopt.ru/images/original/8256b0cc-8abb-4d87-b28a-ec667c155255.jpg","Фото")</f>
      </c>
    </row>
    <row r="7633">
      <c r="A7633" s="7">
        <f>HYPERLINK("http://www.lingerieopt.ru/item/10472-vjsokie-trusiki-stringi-vanda-plus-size-iz-strep-lent/","10472")</f>
      </c>
      <c r="B7633" s="8" t="s">
        <v>7369</v>
      </c>
      <c r="C7633" s="9">
        <v>672</v>
      </c>
      <c r="D7633" s="0">
        <v>24</v>
      </c>
      <c r="E7633" s="10">
        <f>HYPERLINK("http://www.lingerieopt.ru/images/original/f646becf-889e-4ca6-8672-a229b9f3d5a1.jpg","Фото")</f>
      </c>
    </row>
    <row r="7634">
      <c r="A7634" s="7">
        <f>HYPERLINK("http://www.lingerieopt.ru/item/10475-trusiki-stringi-valeria-v-komplekte-s-poyasom/","10475")</f>
      </c>
      <c r="B7634" s="8" t="s">
        <v>7370</v>
      </c>
      <c r="C7634" s="9">
        <v>924</v>
      </c>
      <c r="D7634" s="0">
        <v>9</v>
      </c>
      <c r="E7634" s="10">
        <f>HYPERLINK("http://www.lingerieopt.ru/images/original/2dc312b5-4209-45b9-949c-33f1eafe6668.jpg","Фото")</f>
      </c>
    </row>
    <row r="7635">
      <c r="A7635" s="7">
        <f>HYPERLINK("http://www.lingerieopt.ru/item/10475-trusiki-stringi-valeria-v-komplekte-s-poyasom/","10475")</f>
      </c>
      <c r="B7635" s="8" t="s">
        <v>7371</v>
      </c>
      <c r="C7635" s="9">
        <v>924</v>
      </c>
      <c r="D7635" s="0">
        <v>9</v>
      </c>
      <c r="E7635" s="10">
        <f>HYPERLINK("http://www.lingerieopt.ru/images/original/2dc312b5-4209-45b9-949c-33f1eafe6668.jpg","Фото")</f>
      </c>
    </row>
    <row r="7636">
      <c r="A7636" s="7">
        <f>HYPERLINK("http://www.lingerieopt.ru/item/10476-trusiki-stringi-valeria-plus-size-v-komplekte-s-poyasom-na-taliyu/","10476")</f>
      </c>
      <c r="B7636" s="8" t="s">
        <v>7372</v>
      </c>
      <c r="C7636" s="9">
        <v>924</v>
      </c>
      <c r="D7636" s="0">
        <v>2</v>
      </c>
      <c r="E7636" s="10">
        <f>HYPERLINK("http://www.lingerieopt.ru/images/original/0a771a72-7460-42d5-8f39-7fecedf3a2e1.jpg","Фото")</f>
      </c>
    </row>
    <row r="7637">
      <c r="A7637" s="7">
        <f>HYPERLINK("http://www.lingerieopt.ru/item/10485-originalnje-trusiki-patsy-s-oborkami/","10485")</f>
      </c>
      <c r="B7637" s="8" t="s">
        <v>7373</v>
      </c>
      <c r="C7637" s="9">
        <v>622</v>
      </c>
      <c r="D7637" s="0">
        <v>6</v>
      </c>
      <c r="E7637" s="10">
        <f>HYPERLINK("http://www.lingerieopt.ru/images/original/87c7f020-dcc6-4ed7-b679-de124655abe1.jpg","Фото")</f>
      </c>
    </row>
    <row r="7638">
      <c r="A7638" s="7">
        <f>HYPERLINK("http://www.lingerieopt.ru/item/10485-originalnje-trusiki-patsy-s-oborkami/","10485")</f>
      </c>
      <c r="B7638" s="8" t="s">
        <v>7374</v>
      </c>
      <c r="C7638" s="9">
        <v>622</v>
      </c>
      <c r="D7638" s="0">
        <v>8</v>
      </c>
      <c r="E7638" s="10">
        <f>HYPERLINK("http://www.lingerieopt.ru/images/original/87c7f020-dcc6-4ed7-b679-de124655abe1.jpg","Фото")</f>
      </c>
    </row>
    <row r="7639">
      <c r="A7639" s="7">
        <f>HYPERLINK("http://www.lingerieopt.ru/item/10493-pikantnje-trusiki-malvine-s-vjrezom-i-bantikom-szadi/","10493")</f>
      </c>
      <c r="B7639" s="8" t="s">
        <v>7375</v>
      </c>
      <c r="C7639" s="9">
        <v>559</v>
      </c>
      <c r="D7639" s="0">
        <v>7</v>
      </c>
      <c r="E7639" s="10">
        <f>HYPERLINK("http://www.lingerieopt.ru/images/original/8b5bbe62-4f51-4cff-91cf-8232c27bd45b.jpg","Фото")</f>
      </c>
    </row>
    <row r="7640">
      <c r="A7640" s="7">
        <f>HYPERLINK("http://www.lingerieopt.ru/item/10493-pikantnje-trusiki-malvine-s-vjrezom-i-bantikom-szadi/","10493")</f>
      </c>
      <c r="B7640" s="8" t="s">
        <v>7376</v>
      </c>
      <c r="C7640" s="9">
        <v>559</v>
      </c>
      <c r="D7640" s="0">
        <v>4</v>
      </c>
      <c r="E7640" s="10">
        <f>HYPERLINK("http://www.lingerieopt.ru/images/original/8b5bbe62-4f51-4cff-91cf-8232c27bd45b.jpg","Фото")</f>
      </c>
    </row>
    <row r="7641">
      <c r="A7641" s="7">
        <f>HYPERLINK("http://www.lingerieopt.ru/item/10509-kruzhevnje-trusiki-shortj-selena-s-cvetochnjm-uzorom/","10509")</f>
      </c>
      <c r="B7641" s="8" t="s">
        <v>7377</v>
      </c>
      <c r="C7641" s="9">
        <v>696</v>
      </c>
      <c r="D7641" s="0">
        <v>1</v>
      </c>
      <c r="E7641" s="10">
        <f>HYPERLINK("http://www.lingerieopt.ru/images/original/545652ca-f327-472b-816e-b807a0640aac.jpg","Фото")</f>
      </c>
    </row>
    <row r="7642">
      <c r="A7642" s="7">
        <f>HYPERLINK("http://www.lingerieopt.ru/item/10509-kruzhevnje-trusiki-shortj-selena-s-cvetochnjm-uzorom/","10509")</f>
      </c>
      <c r="B7642" s="8" t="s">
        <v>7378</v>
      </c>
      <c r="C7642" s="9">
        <v>696</v>
      </c>
      <c r="D7642" s="0">
        <v>2</v>
      </c>
      <c r="E7642" s="10">
        <f>HYPERLINK("http://www.lingerieopt.ru/images/original/545652ca-f327-472b-816e-b807a0640aac.jpg","Фото")</f>
      </c>
    </row>
    <row r="7643">
      <c r="A7643" s="7">
        <f>HYPERLINK("http://www.lingerieopt.ru/item/10512-kruzhevnje-trusiki-selina-s-bantikom/","10512")</f>
      </c>
      <c r="B7643" s="8" t="s">
        <v>7379</v>
      </c>
      <c r="C7643" s="9">
        <v>622</v>
      </c>
      <c r="D7643" s="0">
        <v>6</v>
      </c>
      <c r="E7643" s="10">
        <f>HYPERLINK("http://www.lingerieopt.ru/images/original/d0b92b31-b57c-45ca-8318-b26bbf2e6a7e.jpg","Фото")</f>
      </c>
    </row>
    <row r="7644">
      <c r="A7644" s="7">
        <f>HYPERLINK("http://www.lingerieopt.ru/item/10512-kruzhevnje-trusiki-selina-s-bantikom/","10512")</f>
      </c>
      <c r="B7644" s="8" t="s">
        <v>7380</v>
      </c>
      <c r="C7644" s="9">
        <v>622</v>
      </c>
      <c r="D7644" s="0">
        <v>8</v>
      </c>
      <c r="E7644" s="10">
        <f>HYPERLINK("http://www.lingerieopt.ru/images/original/d0b92b31-b57c-45ca-8318-b26bbf2e6a7e.jpg","Фото")</f>
      </c>
    </row>
    <row r="7645">
      <c r="A7645" s="7">
        <f>HYPERLINK("http://www.lingerieopt.ru/item/10596-soblaznitelnje-trusiki-tong-s-bantikom-i-podveskoi/","10596")</f>
      </c>
      <c r="B7645" s="8" t="s">
        <v>7381</v>
      </c>
      <c r="C7645" s="9">
        <v>684</v>
      </c>
      <c r="D7645" s="0">
        <v>7</v>
      </c>
      <c r="E7645" s="10">
        <f>HYPERLINK("http://www.lingerieopt.ru/images/original/05a3dd6b-d2e6-4918-8cfe-c69d29ba71a5.jpg","Фото")</f>
      </c>
    </row>
    <row r="7646">
      <c r="A7646" s="7">
        <f>HYPERLINK("http://www.lingerieopt.ru/item/10596-soblaznitelnje-trusiki-tong-s-bantikom-i-podveskoi/","10596")</f>
      </c>
      <c r="B7646" s="8" t="s">
        <v>7382</v>
      </c>
      <c r="C7646" s="9">
        <v>684</v>
      </c>
      <c r="D7646" s="0">
        <v>5</v>
      </c>
      <c r="E7646" s="10">
        <f>HYPERLINK("http://www.lingerieopt.ru/images/original/05a3dd6b-d2e6-4918-8cfe-c69d29ba71a5.jpg","Фото")</f>
      </c>
    </row>
    <row r="7647">
      <c r="A7647" s="7">
        <f>HYPERLINK("http://www.lingerieopt.ru/item/10598-izjskannje-trusiki-antonina-s-kruzhevami/","10598")</f>
      </c>
      <c r="B7647" s="8" t="s">
        <v>7383</v>
      </c>
      <c r="C7647" s="9">
        <v>636</v>
      </c>
      <c r="D7647" s="0">
        <v>0</v>
      </c>
      <c r="E7647" s="10">
        <f>HYPERLINK("http://www.lingerieopt.ru/images/original/9a64daa0-a72f-49ef-9229-a1521d494c21.jpg","Фото")</f>
      </c>
    </row>
    <row r="7648">
      <c r="A7648" s="7">
        <f>HYPERLINK("http://www.lingerieopt.ru/item/10598-izjskannje-trusiki-antonina-s-kruzhevami/","10598")</f>
      </c>
      <c r="B7648" s="8" t="s">
        <v>7384</v>
      </c>
      <c r="C7648" s="9">
        <v>636</v>
      </c>
      <c r="D7648" s="0">
        <v>5</v>
      </c>
      <c r="E7648" s="10">
        <f>HYPERLINK("http://www.lingerieopt.ru/images/original/9a64daa0-a72f-49ef-9229-a1521d494c21.jpg","Фото")</f>
      </c>
    </row>
    <row r="7649">
      <c r="A7649" s="7">
        <f>HYPERLINK("http://www.lingerieopt.ru/item/10599-izjskannje-trusiki-s-kruzhevami-antonina-plus-size/","10599")</f>
      </c>
      <c r="B7649" s="8" t="s">
        <v>7385</v>
      </c>
      <c r="C7649" s="9">
        <v>636</v>
      </c>
      <c r="D7649" s="0">
        <v>1</v>
      </c>
      <c r="E7649" s="10">
        <f>HYPERLINK("http://www.lingerieopt.ru/images/original/2d2e9731-8ed0-4079-9e9d-92d880f24cc9.jpg","Фото")</f>
      </c>
    </row>
    <row r="7650">
      <c r="A7650" s="7">
        <f>HYPERLINK("http://www.lingerieopt.ru/item/10600-ocharovatelnje-trusiki-dalida-s-nezhnjm-kruzhevom/","10600")</f>
      </c>
      <c r="B7650" s="8" t="s">
        <v>7386</v>
      </c>
      <c r="C7650" s="9">
        <v>636</v>
      </c>
      <c r="D7650" s="0">
        <v>7</v>
      </c>
      <c r="E7650" s="10">
        <f>HYPERLINK("http://www.lingerieopt.ru/images/original/5cf44f46-242e-41b5-969c-077340694dc2.jpg","Фото")</f>
      </c>
    </row>
    <row r="7651">
      <c r="A7651" s="7">
        <f>HYPERLINK("http://www.lingerieopt.ru/item/10600-ocharovatelnje-trusiki-dalida-s-nezhnjm-kruzhevom/","10600")</f>
      </c>
      <c r="B7651" s="8" t="s">
        <v>7387</v>
      </c>
      <c r="C7651" s="9">
        <v>636</v>
      </c>
      <c r="D7651" s="0">
        <v>7</v>
      </c>
      <c r="E7651" s="10">
        <f>HYPERLINK("http://www.lingerieopt.ru/images/original/5cf44f46-242e-41b5-969c-077340694dc2.jpg","Фото")</f>
      </c>
    </row>
    <row r="7652">
      <c r="A7652" s="7">
        <f>HYPERLINK("http://www.lingerieopt.ru/item/10601-dvuhcvetnje-trusiki-eleonor-s-kruzhavchikami/","10601")</f>
      </c>
      <c r="B7652" s="8" t="s">
        <v>7388</v>
      </c>
      <c r="C7652" s="9">
        <v>636</v>
      </c>
      <c r="D7652" s="0">
        <v>4</v>
      </c>
      <c r="E7652" s="10">
        <f>HYPERLINK("http://www.lingerieopt.ru/images/original/9eb20456-a560-4848-b4f0-3112fa828088.jpg","Фото")</f>
      </c>
    </row>
    <row r="7653">
      <c r="A7653" s="7">
        <f>HYPERLINK("http://www.lingerieopt.ru/item/10601-dvuhcvetnje-trusiki-eleonor-s-kruzhavchikami/","10601")</f>
      </c>
      <c r="B7653" s="8" t="s">
        <v>7389</v>
      </c>
      <c r="C7653" s="9">
        <v>636</v>
      </c>
      <c r="D7653" s="0">
        <v>8</v>
      </c>
      <c r="E7653" s="10">
        <f>HYPERLINK("http://www.lingerieopt.ru/images/original/9eb20456-a560-4848-b4f0-3112fa828088.jpg","Фото")</f>
      </c>
    </row>
    <row r="7654">
      <c r="A7654" s="7">
        <f>HYPERLINK("http://www.lingerieopt.ru/item/10602-dvuhcvetnje-trusiki-eleonor-plus-size-s-kruzhavchikami/","10602")</f>
      </c>
      <c r="B7654" s="8" t="s">
        <v>7390</v>
      </c>
      <c r="C7654" s="9">
        <v>636</v>
      </c>
      <c r="D7654" s="0">
        <v>1</v>
      </c>
      <c r="E7654" s="10">
        <f>HYPERLINK("http://www.lingerieopt.ru/images/original/2d4db8b3-3b73-4868-9983-d792afccc3f9.jpg","Фото")</f>
      </c>
    </row>
    <row r="7655">
      <c r="A7655" s="7">
        <f>HYPERLINK("http://www.lingerieopt.ru/item/10603-poluprozrachnje-trusiki-jully-s-kruzhevnoi-otdelkoi/","10603")</f>
      </c>
      <c r="B7655" s="8" t="s">
        <v>7391</v>
      </c>
      <c r="C7655" s="9">
        <v>636</v>
      </c>
      <c r="D7655" s="0">
        <v>6</v>
      </c>
      <c r="E7655" s="10">
        <f>HYPERLINK("http://www.lingerieopt.ru/images/original/58cf99f7-09ab-4b30-9205-902ffd8c31b3.jpg","Фото")</f>
      </c>
    </row>
    <row r="7656">
      <c r="A7656" s="7">
        <f>HYPERLINK("http://www.lingerieopt.ru/item/10603-poluprozrachnje-trusiki-jully-s-kruzhevnoi-otdelkoi/","10603")</f>
      </c>
      <c r="B7656" s="8" t="s">
        <v>7392</v>
      </c>
      <c r="C7656" s="9">
        <v>636</v>
      </c>
      <c r="D7656" s="0">
        <v>4</v>
      </c>
      <c r="E7656" s="10">
        <f>HYPERLINK("http://www.lingerieopt.ru/images/original/58cf99f7-09ab-4b30-9205-902ffd8c31b3.jpg","Фото")</f>
      </c>
    </row>
    <row r="7657">
      <c r="A7657" s="7">
        <f>HYPERLINK("http://www.lingerieopt.ru/item/10604-poluprozrachnje-trusiki-jully-plus-size-s-kruzhevnoi-otdelkoi/","10604")</f>
      </c>
      <c r="B7657" s="8" t="s">
        <v>7393</v>
      </c>
      <c r="C7657" s="9">
        <v>636</v>
      </c>
      <c r="D7657" s="0">
        <v>2</v>
      </c>
      <c r="E7657" s="10">
        <f>HYPERLINK("http://www.lingerieopt.ru/images/original/dfee7fd1-a3bc-47d8-b56d-c7867f504326.jpg","Фото")</f>
      </c>
    </row>
    <row r="7658">
      <c r="A7658" s="7">
        <f>HYPERLINK("http://www.lingerieopt.ru/item/10605-effektnje-trusiki-linette-s-troinjmi-bretelyami-s-odnoi-storonj/","10605")</f>
      </c>
      <c r="B7658" s="8" t="s">
        <v>7394</v>
      </c>
      <c r="C7658" s="9">
        <v>636</v>
      </c>
      <c r="D7658" s="0">
        <v>5</v>
      </c>
      <c r="E7658" s="10">
        <f>HYPERLINK("http://www.lingerieopt.ru/images/original/7be726a1-7cd0-4cbf-9ac0-9e7995840a98.jpg","Фото")</f>
      </c>
    </row>
    <row r="7659">
      <c r="A7659" s="7">
        <f>HYPERLINK("http://www.lingerieopt.ru/item/10605-effektnje-trusiki-linette-s-troinjmi-bretelyami-s-odnoi-storonj/","10605")</f>
      </c>
      <c r="B7659" s="8" t="s">
        <v>7395</v>
      </c>
      <c r="C7659" s="9">
        <v>636</v>
      </c>
      <c r="D7659" s="0">
        <v>2</v>
      </c>
      <c r="E7659" s="10">
        <f>HYPERLINK("http://www.lingerieopt.ru/images/original/7be726a1-7cd0-4cbf-9ac0-9e7995840a98.jpg","Фото")</f>
      </c>
    </row>
    <row r="7660">
      <c r="A7660" s="7">
        <f>HYPERLINK("http://www.lingerieopt.ru/item/10606-originalnje-trusiki-lotte-s-otkrjtjmi-yagodicami/","10606")</f>
      </c>
      <c r="B7660" s="8" t="s">
        <v>7396</v>
      </c>
      <c r="C7660" s="9">
        <v>636</v>
      </c>
      <c r="D7660" s="0">
        <v>4</v>
      </c>
      <c r="E7660" s="10">
        <f>HYPERLINK("http://www.lingerieopt.ru/images/original/4d1d86b1-463b-4904-b06d-7c94fae7c40e.jpg","Фото")</f>
      </c>
    </row>
    <row r="7661">
      <c r="A7661" s="7">
        <f>HYPERLINK("http://www.lingerieopt.ru/item/10606-originalnje-trusiki-lotte-s-otkrjtjmi-yagodicami/","10606")</f>
      </c>
      <c r="B7661" s="8" t="s">
        <v>7397</v>
      </c>
      <c r="C7661" s="9">
        <v>636</v>
      </c>
      <c r="D7661" s="0">
        <v>2</v>
      </c>
      <c r="E7661" s="10">
        <f>HYPERLINK("http://www.lingerieopt.ru/images/original/4d1d86b1-463b-4904-b06d-7c94fae7c40e.jpg","Фото")</f>
      </c>
    </row>
    <row r="7662">
      <c r="A7662" s="7">
        <f>HYPERLINK("http://www.lingerieopt.ru/item/10607-koketlivje-trusiki-matilde-s-prozrachnoi-zadnei-chastyu/","10607")</f>
      </c>
      <c r="B7662" s="8" t="s">
        <v>7398</v>
      </c>
      <c r="C7662" s="9">
        <v>636</v>
      </c>
      <c r="D7662" s="0">
        <v>5</v>
      </c>
      <c r="E7662" s="10">
        <f>HYPERLINK("http://www.lingerieopt.ru/images/original/08d344a0-2b53-40db-8632-5e6eb060a7cb.jpg","Фото")</f>
      </c>
    </row>
    <row r="7663">
      <c r="A7663" s="7">
        <f>HYPERLINK("http://www.lingerieopt.ru/item/10607-koketlivje-trusiki-matilde-s-prozrachnoi-zadnei-chastyu/","10607")</f>
      </c>
      <c r="B7663" s="8" t="s">
        <v>7399</v>
      </c>
      <c r="C7663" s="9">
        <v>636</v>
      </c>
      <c r="D7663" s="0">
        <v>5</v>
      </c>
      <c r="E7663" s="10">
        <f>HYPERLINK("http://www.lingerieopt.ru/images/original/08d344a0-2b53-40db-8632-5e6eb060a7cb.jpg","Фото")</f>
      </c>
    </row>
    <row r="7664">
      <c r="A7664" s="7">
        <f>HYPERLINK("http://www.lingerieopt.ru/item/10608-nezhnje-trusiki-miranda-s-imitaciei-banta-szadi/","10608")</f>
      </c>
      <c r="B7664" s="8" t="s">
        <v>7400</v>
      </c>
      <c r="C7664" s="9">
        <v>636</v>
      </c>
      <c r="D7664" s="0">
        <v>6</v>
      </c>
      <c r="E7664" s="10">
        <f>HYPERLINK("http://www.lingerieopt.ru/images/original/2c9573e7-902b-46ea-992d-5c7844cdf3cc.jpg","Фото")</f>
      </c>
    </row>
    <row r="7665">
      <c r="A7665" s="7">
        <f>HYPERLINK("http://www.lingerieopt.ru/item/10608-nezhnje-trusiki-miranda-s-imitaciei-banta-szadi/","10608")</f>
      </c>
      <c r="B7665" s="8" t="s">
        <v>7401</v>
      </c>
      <c r="C7665" s="9">
        <v>636</v>
      </c>
      <c r="D7665" s="0">
        <v>6</v>
      </c>
      <c r="E7665" s="10">
        <f>HYPERLINK("http://www.lingerieopt.ru/images/original/2c9573e7-902b-46ea-992d-5c7844cdf3cc.jpg","Фото")</f>
      </c>
    </row>
    <row r="7666">
      <c r="A7666" s="7">
        <f>HYPERLINK("http://www.lingerieopt.ru/item/10609-nezhnje-trusiki-miranda-plus-size-s-imitaciei-banta-szadi/","10609")</f>
      </c>
      <c r="B7666" s="8" t="s">
        <v>7402</v>
      </c>
      <c r="C7666" s="9">
        <v>636</v>
      </c>
      <c r="D7666" s="0">
        <v>2</v>
      </c>
      <c r="E7666" s="10">
        <f>HYPERLINK("http://www.lingerieopt.ru/images/original/65361683-a95e-4ce2-98f9-f7ed533eaf30.jpg","Фото")</f>
      </c>
    </row>
    <row r="7667">
      <c r="A7667" s="7">
        <f>HYPERLINK("http://www.lingerieopt.ru/item/10610-provokacionnje-trusiki-omena-so-shnurovkoi-na-pope/","10610")</f>
      </c>
      <c r="B7667" s="8" t="s">
        <v>7403</v>
      </c>
      <c r="C7667" s="9">
        <v>636</v>
      </c>
      <c r="D7667" s="0">
        <v>6</v>
      </c>
      <c r="E7667" s="10">
        <f>HYPERLINK("http://www.lingerieopt.ru/images/original/3286c298-d481-4ce7-80d4-57684a61f3a9.jpg","Фото")</f>
      </c>
    </row>
    <row r="7668">
      <c r="A7668" s="7">
        <f>HYPERLINK("http://www.lingerieopt.ru/item/10610-provokacionnje-trusiki-omena-so-shnurovkoi-na-pope/","10610")</f>
      </c>
      <c r="B7668" s="8" t="s">
        <v>7404</v>
      </c>
      <c r="C7668" s="9">
        <v>636</v>
      </c>
      <c r="D7668" s="0">
        <v>6</v>
      </c>
      <c r="E7668" s="10">
        <f>HYPERLINK("http://www.lingerieopt.ru/images/original/3286c298-d481-4ce7-80d4-57684a61f3a9.jpg","Фото")</f>
      </c>
    </row>
    <row r="7669">
      <c r="A7669" s="7">
        <f>HYPERLINK("http://www.lingerieopt.ru/item/10611-chudesnje-kontaktnje-trusiki-otilla-na-troinjh-bretelyah/","10611")</f>
      </c>
      <c r="B7669" s="8" t="s">
        <v>7405</v>
      </c>
      <c r="C7669" s="9">
        <v>636</v>
      </c>
      <c r="D7669" s="0">
        <v>6</v>
      </c>
      <c r="E7669" s="10">
        <f>HYPERLINK("http://www.lingerieopt.ru/images/original/21c77314-f40c-4fea-a99b-b7b510c5d15c.jpg","Фото")</f>
      </c>
    </row>
    <row r="7670">
      <c r="A7670" s="7">
        <f>HYPERLINK("http://www.lingerieopt.ru/item/10611-chudesnje-kontaktnje-trusiki-otilla-na-troinjh-bretelyah/","10611")</f>
      </c>
      <c r="B7670" s="8" t="s">
        <v>7406</v>
      </c>
      <c r="C7670" s="9">
        <v>636</v>
      </c>
      <c r="D7670" s="0">
        <v>3</v>
      </c>
      <c r="E7670" s="10">
        <f>HYPERLINK("http://www.lingerieopt.ru/images/original/21c77314-f40c-4fea-a99b-b7b510c5d15c.jpg","Фото")</f>
      </c>
    </row>
    <row r="7671">
      <c r="A7671" s="7">
        <f>HYPERLINK("http://www.lingerieopt.ru/item/10612-chudesnje-kontaktnje-trusiki-otilla-plus-size-na-troinjh-bretelyah/","10612")</f>
      </c>
      <c r="B7671" s="8" t="s">
        <v>7407</v>
      </c>
      <c r="C7671" s="9">
        <v>636</v>
      </c>
      <c r="D7671" s="0">
        <v>4</v>
      </c>
      <c r="E7671" s="10">
        <f>HYPERLINK("http://www.lingerieopt.ru/images/original/c33c5f4a-abab-4b93-ab33-8cabea004465.jpg","Фото")</f>
      </c>
    </row>
    <row r="7672">
      <c r="A7672" s="7">
        <f>HYPERLINK("http://www.lingerieopt.ru/item/10613-soblaznitelnje-trusiki-ramira-s-razrezami-szadi/","10613")</f>
      </c>
      <c r="B7672" s="8" t="s">
        <v>7408</v>
      </c>
      <c r="C7672" s="9">
        <v>636</v>
      </c>
      <c r="D7672" s="0">
        <v>8</v>
      </c>
      <c r="E7672" s="10">
        <f>HYPERLINK("http://www.lingerieopt.ru/images/original/05adfccf-36ad-460b-b386-4675db574b3f.jpg","Фото")</f>
      </c>
    </row>
    <row r="7673">
      <c r="A7673" s="7">
        <f>HYPERLINK("http://www.lingerieopt.ru/item/10613-soblaznitelnje-trusiki-ramira-s-razrezami-szadi/","10613")</f>
      </c>
      <c r="B7673" s="8" t="s">
        <v>7409</v>
      </c>
      <c r="C7673" s="9">
        <v>636</v>
      </c>
      <c r="D7673" s="0">
        <v>5</v>
      </c>
      <c r="E7673" s="10">
        <f>HYPERLINK("http://www.lingerieopt.ru/images/original/05adfccf-36ad-460b-b386-4675db574b3f.jpg","Фото")</f>
      </c>
    </row>
    <row r="7674">
      <c r="A7674" s="7">
        <f>HYPERLINK("http://www.lingerieopt.ru/item/10614-soblaznitelnje-trusiki-ramira-plus-size-s-razrezami-szadi/","10614")</f>
      </c>
      <c r="B7674" s="8" t="s">
        <v>7410</v>
      </c>
      <c r="C7674" s="9">
        <v>636</v>
      </c>
      <c r="D7674" s="0">
        <v>2</v>
      </c>
      <c r="E7674" s="10">
        <f>HYPERLINK("http://www.lingerieopt.ru/images/original/16062047-c32c-445c-853a-2d26a8a268c2.jpg","Фото")</f>
      </c>
    </row>
    <row r="7675">
      <c r="A7675" s="7">
        <f>HYPERLINK("http://www.lingerieopt.ru/item/10615-pikantnje-kontaktnje-trusiki-trini-s-kruzhevami/","10615")</f>
      </c>
      <c r="B7675" s="8" t="s">
        <v>7411</v>
      </c>
      <c r="C7675" s="9">
        <v>636</v>
      </c>
      <c r="D7675" s="0">
        <v>5</v>
      </c>
      <c r="E7675" s="10">
        <f>HYPERLINK("http://www.lingerieopt.ru/images/original/e77e52d4-0062-41a3-9e09-e941105dd5ae.jpg","Фото")</f>
      </c>
    </row>
    <row r="7676">
      <c r="A7676" s="7">
        <f>HYPERLINK("http://www.lingerieopt.ru/item/10615-pikantnje-kontaktnje-trusiki-trini-s-kruzhevami/","10615")</f>
      </c>
      <c r="B7676" s="8" t="s">
        <v>7412</v>
      </c>
      <c r="C7676" s="9">
        <v>636</v>
      </c>
      <c r="D7676" s="0">
        <v>3</v>
      </c>
      <c r="E7676" s="10">
        <f>HYPERLINK("http://www.lingerieopt.ru/images/original/e77e52d4-0062-41a3-9e09-e941105dd5ae.jpg","Фото")</f>
      </c>
    </row>
    <row r="7677">
      <c r="A7677" s="7">
        <f>HYPERLINK("http://www.lingerieopt.ru/item/10616-kontaktnje-trusiki-verita-s-kruzhevami/","10616")</f>
      </c>
      <c r="B7677" s="8" t="s">
        <v>7413</v>
      </c>
      <c r="C7677" s="9">
        <v>636</v>
      </c>
      <c r="D7677" s="0">
        <v>7</v>
      </c>
      <c r="E7677" s="10">
        <f>HYPERLINK("http://www.lingerieopt.ru/images/original/ab928334-f1ce-47be-b941-321a1416e1df.jpg","Фото")</f>
      </c>
    </row>
    <row r="7678">
      <c r="A7678" s="7">
        <f>HYPERLINK("http://www.lingerieopt.ru/item/10616-kontaktnje-trusiki-verita-s-kruzhevami/","10616")</f>
      </c>
      <c r="B7678" s="8" t="s">
        <v>7414</v>
      </c>
      <c r="C7678" s="9">
        <v>636</v>
      </c>
      <c r="D7678" s="0">
        <v>4</v>
      </c>
      <c r="E7678" s="10">
        <f>HYPERLINK("http://www.lingerieopt.ru/images/original/ab928334-f1ce-47be-b941-321a1416e1df.jpg","Фото")</f>
      </c>
    </row>
    <row r="7679">
      <c r="A7679" s="7">
        <f>HYPERLINK("http://www.lingerieopt.ru/item/10617-roskoshnje-kontaktnje-trusiki-stringi-violante-s-vjshivkoi/","10617")</f>
      </c>
      <c r="B7679" s="8" t="s">
        <v>7415</v>
      </c>
      <c r="C7679" s="9">
        <v>636</v>
      </c>
      <c r="D7679" s="0">
        <v>6</v>
      </c>
      <c r="E7679" s="10">
        <f>HYPERLINK("http://www.lingerieopt.ru/images/original/6f3fd08b-a7ed-49e0-aa40-3eb7f8a025bf.jpg","Фото")</f>
      </c>
    </row>
    <row r="7680">
      <c r="A7680" s="7">
        <f>HYPERLINK("http://www.lingerieopt.ru/item/10617-roskoshnje-kontaktnje-trusiki-stringi-violante-s-vjshivkoi/","10617")</f>
      </c>
      <c r="B7680" s="8" t="s">
        <v>7416</v>
      </c>
      <c r="C7680" s="9">
        <v>636</v>
      </c>
      <c r="D7680" s="0">
        <v>8</v>
      </c>
      <c r="E7680" s="10">
        <f>HYPERLINK("http://www.lingerieopt.ru/images/original/6f3fd08b-a7ed-49e0-aa40-3eb7f8a025bf.jpg","Фото")</f>
      </c>
    </row>
    <row r="7681">
      <c r="A7681" s="7">
        <f>HYPERLINK("http://www.lingerieopt.ru/item/10618-soblaznitelnje-trusiki-zita-na-zavyazkah-po-bokam/","10618")</f>
      </c>
      <c r="B7681" s="8" t="s">
        <v>7417</v>
      </c>
      <c r="C7681" s="9">
        <v>636</v>
      </c>
      <c r="D7681" s="0">
        <v>5</v>
      </c>
      <c r="E7681" s="10">
        <f>HYPERLINK("http://www.lingerieopt.ru/images/original/3db2fe40-bb26-415a-aa4c-5fd7a01bab00.jpg","Фото")</f>
      </c>
    </row>
    <row r="7682">
      <c r="A7682" s="7">
        <f>HYPERLINK("http://www.lingerieopt.ru/item/10618-soblaznitelnje-trusiki-zita-na-zavyazkah-po-bokam/","10618")</f>
      </c>
      <c r="B7682" s="8" t="s">
        <v>7418</v>
      </c>
      <c r="C7682" s="9">
        <v>636</v>
      </c>
      <c r="D7682" s="0">
        <v>2</v>
      </c>
      <c r="E7682" s="10">
        <f>HYPERLINK("http://www.lingerieopt.ru/images/original/3db2fe40-bb26-415a-aa4c-5fd7a01bab00.jpg","Фото")</f>
      </c>
    </row>
    <row r="7683">
      <c r="A7683" s="7">
        <f>HYPERLINK("http://www.lingerieopt.ru/item/10619-soblaznitelnje-trusiki-zita-plus-size-na-zavyazkah-po-bokam/","10619")</f>
      </c>
      <c r="B7683" s="8" t="s">
        <v>7419</v>
      </c>
      <c r="C7683" s="9">
        <v>636</v>
      </c>
      <c r="D7683" s="0">
        <v>1</v>
      </c>
      <c r="E7683" s="10">
        <f>HYPERLINK("http://www.lingerieopt.ru/images/original/a058922d-eb33-4964-9293-43588c83ffb1.jpg","Фото")</f>
      </c>
    </row>
    <row r="7684">
      <c r="A7684" s="7">
        <f>HYPERLINK("http://www.lingerieopt.ru/item/10620-kontaktnje-trusiki-stringi-na-molnii-monroe/","10620")</f>
      </c>
      <c r="B7684" s="8" t="s">
        <v>7420</v>
      </c>
      <c r="C7684" s="9">
        <v>533</v>
      </c>
      <c r="D7684" s="0">
        <v>4</v>
      </c>
      <c r="E7684" s="10">
        <f>HYPERLINK("http://www.lingerieopt.ru/images/original/f37ffa17-ea4f-4f69-9d5c-43870ee07e42.jpg","Фото")</f>
      </c>
    </row>
    <row r="7685">
      <c r="A7685" s="7">
        <f>HYPERLINK("http://www.lingerieopt.ru/item/10620-kontaktnje-trusiki-stringi-na-molnii-monroe/","10620")</f>
      </c>
      <c r="B7685" s="8" t="s">
        <v>7421</v>
      </c>
      <c r="C7685" s="9">
        <v>533</v>
      </c>
      <c r="D7685" s="0">
        <v>4</v>
      </c>
      <c r="E7685" s="10">
        <f>HYPERLINK("http://www.lingerieopt.ru/images/original/f37ffa17-ea4f-4f69-9d5c-43870ee07e42.jpg","Фото")</f>
      </c>
    </row>
    <row r="7686">
      <c r="A7686" s="7">
        <f>HYPERLINK("http://www.lingerieopt.ru/item/10620-kontaktnje-trusiki-stringi-na-molnii-monroe/","10620")</f>
      </c>
      <c r="B7686" s="8" t="s">
        <v>7422</v>
      </c>
      <c r="C7686" s="9">
        <v>533</v>
      </c>
      <c r="D7686" s="0">
        <v>5</v>
      </c>
      <c r="E7686" s="10">
        <f>HYPERLINK("http://www.lingerieopt.ru/images/original/f37ffa17-ea4f-4f69-9d5c-43870ee07e42.jpg","Фото")</f>
      </c>
    </row>
    <row r="7687">
      <c r="A7687" s="7">
        <f>HYPERLINK("http://www.lingerieopt.ru/item/10620-kontaktnje-trusiki-stringi-na-molnii-monroe/","10620")</f>
      </c>
      <c r="B7687" s="8" t="s">
        <v>7423</v>
      </c>
      <c r="C7687" s="9">
        <v>533</v>
      </c>
      <c r="D7687" s="0">
        <v>5</v>
      </c>
      <c r="E7687" s="10">
        <f>HYPERLINK("http://www.lingerieopt.ru/images/original/f37ffa17-ea4f-4f69-9d5c-43870ee07e42.jpg","Фото")</f>
      </c>
    </row>
    <row r="7688">
      <c r="A7688" s="7">
        <f>HYPERLINK("http://www.lingerieopt.ru/item/10620-kontaktnje-trusiki-stringi-na-molnii-monroe/","10620")</f>
      </c>
      <c r="B7688" s="8" t="s">
        <v>7424</v>
      </c>
      <c r="C7688" s="9">
        <v>533</v>
      </c>
      <c r="D7688" s="0">
        <v>3</v>
      </c>
      <c r="E7688" s="10">
        <f>HYPERLINK("http://www.lingerieopt.ru/images/original/f37ffa17-ea4f-4f69-9d5c-43870ee07e42.jpg","Фото")</f>
      </c>
    </row>
    <row r="7689">
      <c r="A7689" s="7">
        <f>HYPERLINK("http://www.lingerieopt.ru/item/10620-kontaktnje-trusiki-stringi-na-molnii-monroe/","10620")</f>
      </c>
      <c r="B7689" s="8" t="s">
        <v>7425</v>
      </c>
      <c r="C7689" s="9">
        <v>533</v>
      </c>
      <c r="D7689" s="0">
        <v>4</v>
      </c>
      <c r="E7689" s="10">
        <f>HYPERLINK("http://www.lingerieopt.ru/images/original/f37ffa17-ea4f-4f69-9d5c-43870ee07e42.jpg","Фото")</f>
      </c>
    </row>
    <row r="7690">
      <c r="A7690" s="7">
        <f>HYPERLINK("http://www.lingerieopt.ru/item/10638-trusj-shortiki-iz-setki-ina-plus-size/","10638")</f>
      </c>
      <c r="B7690" s="8" t="s">
        <v>7426</v>
      </c>
      <c r="C7690" s="9">
        <v>636</v>
      </c>
      <c r="D7690" s="0">
        <v>3</v>
      </c>
      <c r="E7690" s="10">
        <f>HYPERLINK("http://www.lingerieopt.ru/images/original/8591886c-e950-44c4-8207-ad0668e312fd.jpg","Фото")</f>
      </c>
    </row>
    <row r="7691">
      <c r="A7691" s="7">
        <f>HYPERLINK("http://www.lingerieopt.ru/item/10642-originalnje-otkrjtje-szadi-trusiki-zoe-plus-size/","10642")</f>
      </c>
      <c r="B7691" s="8" t="s">
        <v>7427</v>
      </c>
      <c r="C7691" s="9">
        <v>572</v>
      </c>
      <c r="D7691" s="0">
        <v>4</v>
      </c>
      <c r="E7691" s="10">
        <f>HYPERLINK("http://www.lingerieopt.ru/images/original/e1b436c5-7b3f-488a-9f3f-19bc185972f5.jpg","Фото")</f>
      </c>
    </row>
    <row r="7692">
      <c r="A7692" s="7">
        <f>HYPERLINK("http://www.lingerieopt.ru/item/10792-azhurnje-trusiki-slipj-s-dostupom-i-poluotkrjtoi-popkoi/","10792")</f>
      </c>
      <c r="B7692" s="8" t="s">
        <v>7428</v>
      </c>
      <c r="C7692" s="9">
        <v>498</v>
      </c>
      <c r="D7692" s="0">
        <v>0</v>
      </c>
      <c r="E7692" s="10">
        <f>HYPERLINK("http://www.lingerieopt.ru/images/original/7d8f7c4e-881a-475b-b7ec-35c045aab8f8.jpg","Фото")</f>
      </c>
    </row>
    <row r="7693">
      <c r="A7693" s="7">
        <f>HYPERLINK("http://www.lingerieopt.ru/item/10792-azhurnje-trusiki-slipj-s-dostupom-i-poluotkrjtoi-popkoi/","10792")</f>
      </c>
      <c r="B7693" s="8" t="s">
        <v>7429</v>
      </c>
      <c r="C7693" s="9">
        <v>498</v>
      </c>
      <c r="D7693" s="0">
        <v>0</v>
      </c>
      <c r="E7693" s="10">
        <f>HYPERLINK("http://www.lingerieopt.ru/images/original/7d8f7c4e-881a-475b-b7ec-35c045aab8f8.jpg","Фото")</f>
      </c>
    </row>
    <row r="7694">
      <c r="A7694" s="7">
        <f>HYPERLINK("http://www.lingerieopt.ru/item/10792-azhurnje-trusiki-slipj-s-dostupom-i-poluotkrjtoi-popkoi/","10792")</f>
      </c>
      <c r="B7694" s="8" t="s">
        <v>7430</v>
      </c>
      <c r="C7694" s="9">
        <v>498</v>
      </c>
      <c r="D7694" s="0">
        <v>0</v>
      </c>
      <c r="E7694" s="10">
        <f>HYPERLINK("http://www.lingerieopt.ru/images/original/7d8f7c4e-881a-475b-b7ec-35c045aab8f8.jpg","Фото")</f>
      </c>
    </row>
    <row r="7695">
      <c r="A7695" s="7">
        <f>HYPERLINK("http://www.lingerieopt.ru/item/10792-azhurnje-trusiki-slipj-s-dostupom-i-poluotkrjtoi-popkoi/","10792")</f>
      </c>
      <c r="B7695" s="8" t="s">
        <v>7431</v>
      </c>
      <c r="C7695" s="9">
        <v>498</v>
      </c>
      <c r="D7695" s="0">
        <v>0</v>
      </c>
      <c r="E7695" s="10">
        <f>HYPERLINK("http://www.lingerieopt.ru/images/original/7d8f7c4e-881a-475b-b7ec-35c045aab8f8.jpg","Фото")</f>
      </c>
    </row>
    <row r="7696">
      <c r="A7696" s="7">
        <f>HYPERLINK("http://www.lingerieopt.ru/item/10792-azhurnje-trusiki-slipj-s-dostupom-i-poluotkrjtoi-popkoi/","10792")</f>
      </c>
      <c r="B7696" s="8" t="s">
        <v>7432</v>
      </c>
      <c r="C7696" s="9">
        <v>498</v>
      </c>
      <c r="D7696" s="0">
        <v>0</v>
      </c>
      <c r="E7696" s="10">
        <f>HYPERLINK("http://www.lingerieopt.ru/images/original/7d8f7c4e-881a-475b-b7ec-35c045aab8f8.jpg","Фото")</f>
      </c>
    </row>
    <row r="7697">
      <c r="A7697" s="7">
        <f>HYPERLINK("http://www.lingerieopt.ru/item/10792-azhurnje-trusiki-slipj-s-dostupom-i-poluotkrjtoi-popkoi/","10792")</f>
      </c>
      <c r="B7697" s="8" t="s">
        <v>7433</v>
      </c>
      <c r="C7697" s="9">
        <v>498</v>
      </c>
      <c r="D7697" s="0">
        <v>1</v>
      </c>
      <c r="E7697" s="10">
        <f>HYPERLINK("http://www.lingerieopt.ru/images/original/7d8f7c4e-881a-475b-b7ec-35c045aab8f8.jpg","Фото")</f>
      </c>
    </row>
    <row r="7698">
      <c r="A7698" s="7">
        <f>HYPERLINK("http://www.lingerieopt.ru/item/10804-kontaktnje-trusiki-stringi-monroe-plus-size-na-molnii/","10804")</f>
      </c>
      <c r="B7698" s="8" t="s">
        <v>7434</v>
      </c>
      <c r="C7698" s="9">
        <v>533</v>
      </c>
      <c r="D7698" s="0">
        <v>2</v>
      </c>
      <c r="E7698" s="10">
        <f>HYPERLINK("http://www.lingerieopt.ru/images/original/dc89a82c-047e-4af8-8a9b-d132b25857eb.jpg","Фото")</f>
      </c>
    </row>
    <row r="7699">
      <c r="A7699" s="7">
        <f>HYPERLINK("http://www.lingerieopt.ru/item/10804-kontaktnje-trusiki-stringi-monroe-plus-size-na-molnii/","10804")</f>
      </c>
      <c r="B7699" s="8" t="s">
        <v>7435</v>
      </c>
      <c r="C7699" s="9">
        <v>533</v>
      </c>
      <c r="D7699" s="0">
        <v>3</v>
      </c>
      <c r="E7699" s="10">
        <f>HYPERLINK("http://www.lingerieopt.ru/images/original/dc89a82c-047e-4af8-8a9b-d132b25857eb.jpg","Фото")</f>
      </c>
    </row>
    <row r="7700">
      <c r="A7700" s="7">
        <f>HYPERLINK("http://www.lingerieopt.ru/item/10804-kontaktnje-trusiki-stringi-monroe-plus-size-na-molnii/","10804")</f>
      </c>
      <c r="B7700" s="8" t="s">
        <v>7436</v>
      </c>
      <c r="C7700" s="9">
        <v>533</v>
      </c>
      <c r="D7700" s="0">
        <v>2</v>
      </c>
      <c r="E7700" s="10">
        <f>HYPERLINK("http://www.lingerieopt.ru/images/original/dc89a82c-047e-4af8-8a9b-d132b25857eb.jpg","Фото")</f>
      </c>
    </row>
    <row r="7701">
      <c r="A7701" s="7">
        <f>HYPERLINK("http://www.lingerieopt.ru/item/10829-nezhnje-poluprozrachnje-azhurnje-trusiki-stringi/","10829")</f>
      </c>
      <c r="B7701" s="8" t="s">
        <v>7437</v>
      </c>
      <c r="C7701" s="9">
        <v>508</v>
      </c>
      <c r="D7701" s="0">
        <v>2</v>
      </c>
      <c r="E7701" s="10">
        <f>HYPERLINK("http://www.lingerieopt.ru/images/original/1592ba98-c43d-47e1-81ab-0178e8bbf409.jpg","Фото")</f>
      </c>
    </row>
    <row r="7702">
      <c r="A7702" s="7">
        <f>HYPERLINK("http://www.lingerieopt.ru/item/10829-nezhnje-poluprozrachnje-azhurnje-trusiki-stringi/","10829")</f>
      </c>
      <c r="B7702" s="8" t="s">
        <v>7438</v>
      </c>
      <c r="C7702" s="9">
        <v>508</v>
      </c>
      <c r="D7702" s="0">
        <v>0</v>
      </c>
      <c r="E7702" s="10">
        <f>HYPERLINK("http://www.lingerieopt.ru/images/original/1592ba98-c43d-47e1-81ab-0178e8bbf409.jpg","Фото")</f>
      </c>
    </row>
    <row r="7703">
      <c r="A7703" s="7">
        <f>HYPERLINK("http://www.lingerieopt.ru/item/10845-krasivje-trusiki-stringi-s-cvetochnjm-kruzhevom-cveta-malinj/","10845")</f>
      </c>
      <c r="B7703" s="8" t="s">
        <v>7439</v>
      </c>
      <c r="C7703" s="9">
        <v>610</v>
      </c>
      <c r="D7703" s="0">
        <v>3</v>
      </c>
      <c r="E7703" s="10">
        <f>HYPERLINK("http://www.lingerieopt.ru/images/original/6f3b3764-6829-4edc-8bdb-d0ff16371f0e.jpg","Фото")</f>
      </c>
    </row>
    <row r="7704">
      <c r="A7704" s="7">
        <f>HYPERLINK("http://www.lingerieopt.ru/item/10845-krasivje-trusiki-stringi-s-cvetochnjm-kruzhevom-cveta-malinj/","10845")</f>
      </c>
      <c r="B7704" s="8" t="s">
        <v>7440</v>
      </c>
      <c r="C7704" s="9">
        <v>610</v>
      </c>
      <c r="D7704" s="0">
        <v>1</v>
      </c>
      <c r="E7704" s="10">
        <f>HYPERLINK("http://www.lingerieopt.ru/images/original/6f3b3764-6829-4edc-8bdb-d0ff16371f0e.jpg","Фото")</f>
      </c>
    </row>
    <row r="7705">
      <c r="A7705" s="7">
        <f>HYPERLINK("http://www.lingerieopt.ru/item/10848-trusiki-s-treugolnjm-vjrezom-speredi/","10848")</f>
      </c>
      <c r="B7705" s="8" t="s">
        <v>7441</v>
      </c>
      <c r="C7705" s="9">
        <v>1102</v>
      </c>
      <c r="D7705" s="0">
        <v>19</v>
      </c>
      <c r="E7705" s="10">
        <f>HYPERLINK("http://www.lingerieopt.ru/images/original/5a5313cc-e671-48dc-8d5e-0cef4d08dd6d.jpg","Фото")</f>
      </c>
    </row>
    <row r="7706">
      <c r="A7706" s="7">
        <f>HYPERLINK("http://www.lingerieopt.ru/item/10848-trusiki-s-treugolnjm-vjrezom-speredi/","10848")</f>
      </c>
      <c r="B7706" s="8" t="s">
        <v>7442</v>
      </c>
      <c r="C7706" s="9">
        <v>1102</v>
      </c>
      <c r="D7706" s="0">
        <v>20</v>
      </c>
      <c r="E7706" s="10">
        <f>HYPERLINK("http://www.lingerieopt.ru/images/original/5a5313cc-e671-48dc-8d5e-0cef4d08dd6d.jpg","Фото")</f>
      </c>
    </row>
    <row r="7707">
      <c r="A7707" s="7">
        <f>HYPERLINK("http://www.lingerieopt.ru/item/10848-trusiki-s-treugolnjm-vjrezom-speredi/","10848")</f>
      </c>
      <c r="B7707" s="8" t="s">
        <v>7443</v>
      </c>
      <c r="C7707" s="9">
        <v>1102</v>
      </c>
      <c r="D7707" s="0">
        <v>20</v>
      </c>
      <c r="E7707" s="10">
        <f>HYPERLINK("http://www.lingerieopt.ru/images/original/5a5313cc-e671-48dc-8d5e-0cef4d08dd6d.jpg","Фото")</f>
      </c>
    </row>
    <row r="7708">
      <c r="A7708" s="7">
        <f>HYPERLINK("http://www.lingerieopt.ru/item/10849-vjsokie-trusiki-s-dekorativnoi-shnurovkoi-szadi/","10849")</f>
      </c>
      <c r="B7708" s="8" t="s">
        <v>7444</v>
      </c>
      <c r="C7708" s="9">
        <v>1223</v>
      </c>
      <c r="D7708" s="0">
        <v>25</v>
      </c>
      <c r="E7708" s="10">
        <f>HYPERLINK("http://www.lingerieopt.ru/images/original/4e62c639-4dc0-47b4-9ccf-72ae95536bae.jpg","Фото")</f>
      </c>
    </row>
    <row r="7709">
      <c r="A7709" s="7">
        <f>HYPERLINK("http://www.lingerieopt.ru/item/10849-vjsokie-trusiki-s-dekorativnoi-shnurovkoi-szadi/","10849")</f>
      </c>
      <c r="B7709" s="8" t="s">
        <v>7445</v>
      </c>
      <c r="C7709" s="9">
        <v>1223</v>
      </c>
      <c r="D7709" s="0">
        <v>23</v>
      </c>
      <c r="E7709" s="10">
        <f>HYPERLINK("http://www.lingerieopt.ru/images/original/4e62c639-4dc0-47b4-9ccf-72ae95536bae.jpg","Фото")</f>
      </c>
    </row>
    <row r="7710">
      <c r="A7710" s="7">
        <f>HYPERLINK("http://www.lingerieopt.ru/item/10849-vjsokie-trusiki-s-dekorativnoi-shnurovkoi-szadi/","10849")</f>
      </c>
      <c r="B7710" s="8" t="s">
        <v>7446</v>
      </c>
      <c r="C7710" s="9">
        <v>1223</v>
      </c>
      <c r="D7710" s="0">
        <v>24</v>
      </c>
      <c r="E7710" s="10">
        <f>HYPERLINK("http://www.lingerieopt.ru/images/original/4e62c639-4dc0-47b4-9ccf-72ae95536bae.jpg","Фото")</f>
      </c>
    </row>
    <row r="7711">
      <c r="A7711" s="7">
        <f>HYPERLINK("http://www.lingerieopt.ru/item/10850-miniatyurnje-trusiki-stringi-iz-kruzhev/","10850")</f>
      </c>
      <c r="B7711" s="8" t="s">
        <v>7447</v>
      </c>
      <c r="C7711" s="9">
        <v>864</v>
      </c>
      <c r="D7711" s="0">
        <v>20</v>
      </c>
      <c r="E7711" s="10">
        <f>HYPERLINK("http://www.lingerieopt.ru/images/original/c8fa7ec9-8e68-40bf-a4c3-ca1c6efe34dd.jpg","Фото")</f>
      </c>
    </row>
    <row r="7712">
      <c r="A7712" s="7">
        <f>HYPERLINK("http://www.lingerieopt.ru/item/10850-miniatyurnje-trusiki-stringi-iz-kruzhev/","10850")</f>
      </c>
      <c r="B7712" s="8" t="s">
        <v>7448</v>
      </c>
      <c r="C7712" s="9">
        <v>864</v>
      </c>
      <c r="D7712" s="0">
        <v>20</v>
      </c>
      <c r="E7712" s="10">
        <f>HYPERLINK("http://www.lingerieopt.ru/images/original/c8fa7ec9-8e68-40bf-a4c3-ca1c6efe34dd.jpg","Фото")</f>
      </c>
    </row>
    <row r="7713">
      <c r="A7713" s="7">
        <f>HYPERLINK("http://www.lingerieopt.ru/item/10850-miniatyurnje-trusiki-stringi-iz-kruzhev/","10850")</f>
      </c>
      <c r="B7713" s="8" t="s">
        <v>7449</v>
      </c>
      <c r="C7713" s="9">
        <v>864</v>
      </c>
      <c r="D7713" s="0">
        <v>20</v>
      </c>
      <c r="E7713" s="10">
        <f>HYPERLINK("http://www.lingerieopt.ru/images/original/c8fa7ec9-8e68-40bf-a4c3-ca1c6efe34dd.jpg","Фото")</f>
      </c>
    </row>
    <row r="7714">
      <c r="A7714" s="7">
        <f>HYPERLINK("http://www.lingerieopt.ru/item/10850-miniatyurnje-trusiki-stringi-iz-kruzhev/","10850")</f>
      </c>
      <c r="B7714" s="8" t="s">
        <v>7450</v>
      </c>
      <c r="C7714" s="9">
        <v>864</v>
      </c>
      <c r="D7714" s="0">
        <v>20</v>
      </c>
      <c r="E7714" s="10">
        <f>HYPERLINK("http://www.lingerieopt.ru/images/original/c8fa7ec9-8e68-40bf-a4c3-ca1c6efe34dd.jpg","Фото")</f>
      </c>
    </row>
    <row r="7715">
      <c r="A7715" s="7">
        <f>HYPERLINK("http://www.lingerieopt.ru/item/10850-miniatyurnje-trusiki-stringi-iz-kruzhev/","10850")</f>
      </c>
      <c r="B7715" s="8" t="s">
        <v>7451</v>
      </c>
      <c r="C7715" s="9">
        <v>864</v>
      </c>
      <c r="D7715" s="0">
        <v>20</v>
      </c>
      <c r="E7715" s="10">
        <f>HYPERLINK("http://www.lingerieopt.ru/images/original/c8fa7ec9-8e68-40bf-a4c3-ca1c6efe34dd.jpg","Фото")</f>
      </c>
    </row>
    <row r="7716">
      <c r="A7716" s="7">
        <f>HYPERLINK("http://www.lingerieopt.ru/item/10850-miniatyurnje-trusiki-stringi-iz-kruzhev/","10850")</f>
      </c>
      <c r="B7716" s="8" t="s">
        <v>7452</v>
      </c>
      <c r="C7716" s="9">
        <v>864</v>
      </c>
      <c r="D7716" s="0">
        <v>20</v>
      </c>
      <c r="E7716" s="10">
        <f>HYPERLINK("http://www.lingerieopt.ru/images/original/c8fa7ec9-8e68-40bf-a4c3-ca1c6efe34dd.jpg","Фото")</f>
      </c>
    </row>
    <row r="7717">
      <c r="A7717" s="7">
        <f>HYPERLINK("http://www.lingerieopt.ru/item/10851-intriguyuschie-trusiki-iz-kruzhev/","10851")</f>
      </c>
      <c r="B7717" s="8" t="s">
        <v>7453</v>
      </c>
      <c r="C7717" s="9">
        <v>1335</v>
      </c>
      <c r="D7717" s="0">
        <v>18</v>
      </c>
      <c r="E7717" s="10">
        <f>HYPERLINK("http://www.lingerieopt.ru/images/original/2f79224b-0833-4066-9e55-0290343fb546.jpg","Фото")</f>
      </c>
    </row>
    <row r="7718">
      <c r="A7718" s="7">
        <f>HYPERLINK("http://www.lingerieopt.ru/item/10851-intriguyuschie-trusiki-iz-kruzhev/","10851")</f>
      </c>
      <c r="B7718" s="8" t="s">
        <v>7454</v>
      </c>
      <c r="C7718" s="9">
        <v>1335</v>
      </c>
      <c r="D7718" s="0">
        <v>18</v>
      </c>
      <c r="E7718" s="10">
        <f>HYPERLINK("http://www.lingerieopt.ru/images/original/2f79224b-0833-4066-9e55-0290343fb546.jpg","Фото")</f>
      </c>
    </row>
    <row r="7719">
      <c r="A7719" s="7">
        <f>HYPERLINK("http://www.lingerieopt.ru/item/10851-intriguyuschie-trusiki-iz-kruzhev/","10851")</f>
      </c>
      <c r="B7719" s="8" t="s">
        <v>7455</v>
      </c>
      <c r="C7719" s="9">
        <v>1335</v>
      </c>
      <c r="D7719" s="0">
        <v>20</v>
      </c>
      <c r="E7719" s="10">
        <f>HYPERLINK("http://www.lingerieopt.ru/images/original/2f79224b-0833-4066-9e55-0290343fb546.jpg","Фото")</f>
      </c>
    </row>
    <row r="7720">
      <c r="A7720" s="7">
        <f>HYPERLINK("http://www.lingerieopt.ru/item/10852-trusiki-stringi-so-sdvoennjmi-rezinkami/","10852")</f>
      </c>
      <c r="B7720" s="8" t="s">
        <v>7456</v>
      </c>
      <c r="C7720" s="9">
        <v>881</v>
      </c>
      <c r="D7720" s="0">
        <v>19</v>
      </c>
      <c r="E7720" s="10">
        <f>HYPERLINK("http://www.lingerieopt.ru/images/original/f3a9233b-2184-4705-800b-eb56549cade3.jpg","Фото")</f>
      </c>
    </row>
    <row r="7721">
      <c r="A7721" s="7">
        <f>HYPERLINK("http://www.lingerieopt.ru/item/10852-trusiki-stringi-so-sdvoennjmi-rezinkami/","10852")</f>
      </c>
      <c r="B7721" s="8" t="s">
        <v>7457</v>
      </c>
      <c r="C7721" s="9">
        <v>881</v>
      </c>
      <c r="D7721" s="0">
        <v>18</v>
      </c>
      <c r="E7721" s="10">
        <f>HYPERLINK("http://www.lingerieopt.ru/images/original/f3a9233b-2184-4705-800b-eb56549cade3.jpg","Фото")</f>
      </c>
    </row>
    <row r="7722">
      <c r="A7722" s="7">
        <f>HYPERLINK("http://www.lingerieopt.ru/item/10852-trusiki-stringi-so-sdvoennjmi-rezinkami/","10852")</f>
      </c>
      <c r="B7722" s="8" t="s">
        <v>7458</v>
      </c>
      <c r="C7722" s="9">
        <v>881</v>
      </c>
      <c r="D7722" s="0">
        <v>17</v>
      </c>
      <c r="E7722" s="10">
        <f>HYPERLINK("http://www.lingerieopt.ru/images/original/f3a9233b-2184-4705-800b-eb56549cade3.jpg","Фото")</f>
      </c>
    </row>
    <row r="7723">
      <c r="A7723" s="7">
        <f>HYPERLINK("http://www.lingerieopt.ru/item/10853-zhenskie-trusiki-s-vjrezom-szadi/","10853")</f>
      </c>
      <c r="B7723" s="8" t="s">
        <v>7459</v>
      </c>
      <c r="C7723" s="9">
        <v>1146</v>
      </c>
      <c r="D7723" s="0">
        <v>19</v>
      </c>
      <c r="E7723" s="10">
        <f>HYPERLINK("http://www.lingerieopt.ru/images/original/83af8dbf-fb02-46a6-ac61-dc6b7e5ba270.jpg","Фото")</f>
      </c>
    </row>
    <row r="7724">
      <c r="A7724" s="7">
        <f>HYPERLINK("http://www.lingerieopt.ru/item/10853-zhenskie-trusiki-s-vjrezom-szadi/","10853")</f>
      </c>
      <c r="B7724" s="8" t="s">
        <v>7460</v>
      </c>
      <c r="C7724" s="9">
        <v>1146</v>
      </c>
      <c r="D7724" s="0">
        <v>16</v>
      </c>
      <c r="E7724" s="10">
        <f>HYPERLINK("http://www.lingerieopt.ru/images/original/83af8dbf-fb02-46a6-ac61-dc6b7e5ba270.jpg","Фото")</f>
      </c>
    </row>
    <row r="7725">
      <c r="A7725" s="7">
        <f>HYPERLINK("http://www.lingerieopt.ru/item/10853-zhenskie-trusiki-s-vjrezom-szadi/","10853")</f>
      </c>
      <c r="B7725" s="8" t="s">
        <v>7461</v>
      </c>
      <c r="C7725" s="9">
        <v>1146</v>
      </c>
      <c r="D7725" s="0">
        <v>13</v>
      </c>
      <c r="E7725" s="10">
        <f>HYPERLINK("http://www.lingerieopt.ru/images/original/83af8dbf-fb02-46a6-ac61-dc6b7e5ba270.jpg","Фото")</f>
      </c>
    </row>
    <row r="7726">
      <c r="A7726" s="7">
        <f>HYPERLINK("http://www.lingerieopt.ru/item/10853-zhenskie-trusiki-s-vjrezom-szadi/","10853")</f>
      </c>
      <c r="B7726" s="8" t="s">
        <v>7462</v>
      </c>
      <c r="C7726" s="9">
        <v>1146</v>
      </c>
      <c r="D7726" s="0">
        <v>17</v>
      </c>
      <c r="E7726" s="10">
        <f>HYPERLINK("http://www.lingerieopt.ru/images/original/83af8dbf-fb02-46a6-ac61-dc6b7e5ba270.jpg","Фото")</f>
      </c>
    </row>
    <row r="7727">
      <c r="A7727" s="7">
        <f>HYPERLINK("http://www.lingerieopt.ru/item/10853-zhenskie-trusiki-s-vjrezom-szadi/","10853")</f>
      </c>
      <c r="B7727" s="8" t="s">
        <v>7463</v>
      </c>
      <c r="C7727" s="9">
        <v>1146</v>
      </c>
      <c r="D7727" s="0">
        <v>17</v>
      </c>
      <c r="E7727" s="10">
        <f>HYPERLINK("http://www.lingerieopt.ru/images/original/83af8dbf-fb02-46a6-ac61-dc6b7e5ba270.jpg","Фото")</f>
      </c>
    </row>
    <row r="7728">
      <c r="A7728" s="7">
        <f>HYPERLINK("http://www.lingerieopt.ru/item/10853-zhenskie-trusiki-s-vjrezom-szadi/","10853")</f>
      </c>
      <c r="B7728" s="8" t="s">
        <v>7464</v>
      </c>
      <c r="C7728" s="9">
        <v>1146</v>
      </c>
      <c r="D7728" s="0">
        <v>17</v>
      </c>
      <c r="E7728" s="10">
        <f>HYPERLINK("http://www.lingerieopt.ru/images/original/83af8dbf-fb02-46a6-ac61-dc6b7e5ba270.jpg","Фото")</f>
      </c>
    </row>
    <row r="7729">
      <c r="A7729" s="7">
        <f>HYPERLINK("http://www.lingerieopt.ru/item/10854-trusiki-stringi-s-troinjmi-reguliruemjmi-bretelyami/","10854")</f>
      </c>
      <c r="B7729" s="8" t="s">
        <v>7465</v>
      </c>
      <c r="C7729" s="9">
        <v>671</v>
      </c>
      <c r="D7729" s="0">
        <v>19</v>
      </c>
      <c r="E7729" s="10">
        <f>HYPERLINK("http://www.lingerieopt.ru/images/original/d1d42002-83b8-475c-a7fd-308680a722f0.jpg","Фото")</f>
      </c>
    </row>
    <row r="7730">
      <c r="A7730" s="7">
        <f>HYPERLINK("http://www.lingerieopt.ru/item/10854-trusiki-stringi-s-troinjmi-reguliruemjmi-bretelyami/","10854")</f>
      </c>
      <c r="B7730" s="8" t="s">
        <v>7466</v>
      </c>
      <c r="C7730" s="9">
        <v>671</v>
      </c>
      <c r="D7730" s="0">
        <v>17</v>
      </c>
      <c r="E7730" s="10">
        <f>HYPERLINK("http://www.lingerieopt.ru/images/original/d1d42002-83b8-475c-a7fd-308680a722f0.jpg","Фото")</f>
      </c>
    </row>
    <row r="7731">
      <c r="A7731" s="7">
        <f>HYPERLINK("http://www.lingerieopt.ru/item/10854-trusiki-stringi-s-troinjmi-reguliruemjmi-bretelyami/","10854")</f>
      </c>
      <c r="B7731" s="8" t="s">
        <v>7467</v>
      </c>
      <c r="C7731" s="9">
        <v>671</v>
      </c>
      <c r="D7731" s="0">
        <v>19</v>
      </c>
      <c r="E7731" s="10">
        <f>HYPERLINK("http://www.lingerieopt.ru/images/original/d1d42002-83b8-475c-a7fd-308680a722f0.jpg","Фото")</f>
      </c>
    </row>
    <row r="7732">
      <c r="A7732" s="7">
        <f>HYPERLINK("http://www.lingerieopt.ru/item/10855-trusiki-s-kruzhevnoi-otdelkoi/","10855")</f>
      </c>
      <c r="B7732" s="8" t="s">
        <v>7468</v>
      </c>
      <c r="C7732" s="9">
        <v>1091</v>
      </c>
      <c r="D7732" s="0">
        <v>17</v>
      </c>
      <c r="E7732" s="10">
        <f>HYPERLINK("http://www.lingerieopt.ru/images/original/dad95310-08ef-477c-80e1-f179502bbb37.jpg","Фото")</f>
      </c>
    </row>
    <row r="7733">
      <c r="A7733" s="7">
        <f>HYPERLINK("http://www.lingerieopt.ru/item/10855-trusiki-s-kruzhevnoi-otdelkoi/","10855")</f>
      </c>
      <c r="B7733" s="8" t="s">
        <v>7469</v>
      </c>
      <c r="C7733" s="9">
        <v>1091</v>
      </c>
      <c r="D7733" s="0">
        <v>19</v>
      </c>
      <c r="E7733" s="10">
        <f>HYPERLINK("http://www.lingerieopt.ru/images/original/dad95310-08ef-477c-80e1-f179502bbb37.jpg","Фото")</f>
      </c>
    </row>
    <row r="7734">
      <c r="A7734" s="7">
        <f>HYPERLINK("http://www.lingerieopt.ru/item/10855-trusiki-s-kruzhevnoi-otdelkoi/","10855")</f>
      </c>
      <c r="B7734" s="8" t="s">
        <v>7470</v>
      </c>
      <c r="C7734" s="9">
        <v>1091</v>
      </c>
      <c r="D7734" s="0">
        <v>19</v>
      </c>
      <c r="E7734" s="10">
        <f>HYPERLINK("http://www.lingerieopt.ru/images/original/dad95310-08ef-477c-80e1-f179502bbb37.jpg","Фото")</f>
      </c>
    </row>
    <row r="7735">
      <c r="A7735" s="7">
        <f>HYPERLINK("http://www.lingerieopt.ru/item/10856-trusiki-stringi-s-malenkimi-bantami-v-ton/","10856")</f>
      </c>
      <c r="B7735" s="8" t="s">
        <v>7471</v>
      </c>
      <c r="C7735" s="9">
        <v>784</v>
      </c>
      <c r="D7735" s="0">
        <v>19</v>
      </c>
      <c r="E7735" s="10">
        <f>HYPERLINK("http://www.lingerieopt.ru/images/original/f53cae96-4635-486c-8125-b8a877ec7c54.jpg","Фото")</f>
      </c>
    </row>
    <row r="7736">
      <c r="A7736" s="7">
        <f>HYPERLINK("http://www.lingerieopt.ru/item/10856-trusiki-stringi-s-malenkimi-bantami-v-ton/","10856")</f>
      </c>
      <c r="B7736" s="8" t="s">
        <v>7472</v>
      </c>
      <c r="C7736" s="9">
        <v>784</v>
      </c>
      <c r="D7736" s="0">
        <v>19</v>
      </c>
      <c r="E7736" s="10">
        <f>HYPERLINK("http://www.lingerieopt.ru/images/original/f53cae96-4635-486c-8125-b8a877ec7c54.jpg","Фото")</f>
      </c>
    </row>
    <row r="7737">
      <c r="A7737" s="7">
        <f>HYPERLINK("http://www.lingerieopt.ru/item/10856-trusiki-stringi-s-malenkimi-bantami-v-ton/","10856")</f>
      </c>
      <c r="B7737" s="8" t="s">
        <v>7473</v>
      </c>
      <c r="C7737" s="9">
        <v>784</v>
      </c>
      <c r="D7737" s="0">
        <v>19</v>
      </c>
      <c r="E7737" s="10">
        <f>HYPERLINK("http://www.lingerieopt.ru/images/original/f53cae96-4635-486c-8125-b8a877ec7c54.jpg","Фото")</f>
      </c>
    </row>
    <row r="7738">
      <c r="A7738" s="7">
        <f>HYPERLINK("http://www.lingerieopt.ru/item/10857-roskoshnje-trusiki-s-dostupom/","10857")</f>
      </c>
      <c r="B7738" s="8" t="s">
        <v>7474</v>
      </c>
      <c r="C7738" s="9">
        <v>1227</v>
      </c>
      <c r="D7738" s="0">
        <v>16</v>
      </c>
      <c r="E7738" s="10">
        <f>HYPERLINK("http://www.lingerieopt.ru/images/original/33ecc0ab-62fc-4d3f-9741-5e8bfc0aff32.jpg","Фото")</f>
      </c>
    </row>
    <row r="7739">
      <c r="A7739" s="7">
        <f>HYPERLINK("http://www.lingerieopt.ru/item/10857-roskoshnje-trusiki-s-dostupom/","10857")</f>
      </c>
      <c r="B7739" s="8" t="s">
        <v>7475</v>
      </c>
      <c r="C7739" s="9">
        <v>1227</v>
      </c>
      <c r="D7739" s="0">
        <v>17</v>
      </c>
      <c r="E7739" s="10">
        <f>HYPERLINK("http://www.lingerieopt.ru/images/original/33ecc0ab-62fc-4d3f-9741-5e8bfc0aff32.jpg","Фото")</f>
      </c>
    </row>
    <row r="7740">
      <c r="A7740" s="7">
        <f>HYPERLINK("http://www.lingerieopt.ru/item/10857-roskoshnje-trusiki-s-dostupom/","10857")</f>
      </c>
      <c r="B7740" s="8" t="s">
        <v>7476</v>
      </c>
      <c r="C7740" s="9">
        <v>1227</v>
      </c>
      <c r="D7740" s="0">
        <v>15</v>
      </c>
      <c r="E7740" s="10">
        <f>HYPERLINK("http://www.lingerieopt.ru/images/original/33ecc0ab-62fc-4d3f-9741-5e8bfc0aff32.jpg","Фото")</f>
      </c>
    </row>
    <row r="7741">
      <c r="A7741" s="7">
        <f>HYPERLINK("http://www.lingerieopt.ru/item/10863-izjskannje-trusiki-s-pazhami-dlya-chulok/","10863")</f>
      </c>
      <c r="B7741" s="8" t="s">
        <v>7477</v>
      </c>
      <c r="C7741" s="9">
        <v>1611</v>
      </c>
      <c r="D7741" s="0">
        <v>20</v>
      </c>
      <c r="E7741" s="10">
        <f>HYPERLINK("http://www.lingerieopt.ru/images/original/96f3885c-f26a-4b1e-ac69-fbd2a113d28d.jpg","Фото")</f>
      </c>
    </row>
    <row r="7742">
      <c r="A7742" s="7">
        <f>HYPERLINK("http://www.lingerieopt.ru/item/10863-izjskannje-trusiki-s-pazhami-dlya-chulok/","10863")</f>
      </c>
      <c r="B7742" s="8" t="s">
        <v>7478</v>
      </c>
      <c r="C7742" s="9">
        <v>1611</v>
      </c>
      <c r="D7742" s="0">
        <v>18</v>
      </c>
      <c r="E7742" s="10">
        <f>HYPERLINK("http://www.lingerieopt.ru/images/original/96f3885c-f26a-4b1e-ac69-fbd2a113d28d.jpg","Фото")</f>
      </c>
    </row>
    <row r="7743">
      <c r="A7743" s="7">
        <f>HYPERLINK("http://www.lingerieopt.ru/item/10863-izjskannje-trusiki-s-pazhami-dlya-chulok/","10863")</f>
      </c>
      <c r="B7743" s="8" t="s">
        <v>7479</v>
      </c>
      <c r="C7743" s="9">
        <v>1611</v>
      </c>
      <c r="D7743" s="0">
        <v>20</v>
      </c>
      <c r="E7743" s="10">
        <f>HYPERLINK("http://www.lingerieopt.ru/images/original/96f3885c-f26a-4b1e-ac69-fbd2a113d28d.jpg","Фото")</f>
      </c>
    </row>
    <row r="7744">
      <c r="A7744" s="7">
        <f>HYPERLINK("http://www.lingerieopt.ru/item/10872-ocharovatelnje-trusiki-dalida-plus-size-s-nezhnjm-kruzhevom/","10872")</f>
      </c>
      <c r="B7744" s="8" t="s">
        <v>7480</v>
      </c>
      <c r="C7744" s="9">
        <v>636</v>
      </c>
      <c r="D7744" s="0">
        <v>2</v>
      </c>
      <c r="E7744" s="10">
        <f>HYPERLINK("http://www.lingerieopt.ru/images/original/f4fb4a8a-fe77-4f83-8afe-0eaf6c62bf15.jpg","Фото")</f>
      </c>
    </row>
    <row r="7745">
      <c r="A7745" s="7">
        <f>HYPERLINK("http://www.lingerieopt.ru/item/10873-kruzhevnje-trusiki-elza-so-shnurovkoi/","10873")</f>
      </c>
      <c r="B7745" s="8" t="s">
        <v>7481</v>
      </c>
      <c r="C7745" s="9">
        <v>636</v>
      </c>
      <c r="D7745" s="0">
        <v>5</v>
      </c>
      <c r="E7745" s="10">
        <f>HYPERLINK("http://www.lingerieopt.ru/images/original/fdbbdf76-c98a-432a-bb3f-212f2146b047.jpg","Фото")</f>
      </c>
    </row>
    <row r="7746">
      <c r="A7746" s="7">
        <f>HYPERLINK("http://www.lingerieopt.ru/item/10873-kruzhevnje-trusiki-elza-so-shnurovkoi/","10873")</f>
      </c>
      <c r="B7746" s="8" t="s">
        <v>7482</v>
      </c>
      <c r="C7746" s="9">
        <v>636</v>
      </c>
      <c r="D7746" s="0">
        <v>1</v>
      </c>
      <c r="E7746" s="10">
        <f>HYPERLINK("http://www.lingerieopt.ru/images/original/fdbbdf76-c98a-432a-bb3f-212f2146b047.jpg","Фото")</f>
      </c>
    </row>
    <row r="7747">
      <c r="A7747" s="7">
        <f>HYPERLINK("http://www.lingerieopt.ru/item/10874-kruzhevnje-trusiki-elza-plus-size-so-shnurovkoi/","10874")</f>
      </c>
      <c r="B7747" s="8" t="s">
        <v>7483</v>
      </c>
      <c r="C7747" s="9">
        <v>636</v>
      </c>
      <c r="D7747" s="0">
        <v>1</v>
      </c>
      <c r="E7747" s="10">
        <f>HYPERLINK("http://www.lingerieopt.ru/images/original/3a446f65-45d8-4a8c-9ec2-f7ef840e8ef3.jpg","Фото")</f>
      </c>
    </row>
    <row r="7748">
      <c r="A7748" s="7">
        <f>HYPERLINK("http://www.lingerieopt.ru/item/10875-effektnje-trusiki-linette-plus-size-s-troinjmi-bretelyami-s-odnoi-storonj/","10875")</f>
      </c>
      <c r="B7748" s="8" t="s">
        <v>7484</v>
      </c>
      <c r="C7748" s="9">
        <v>636</v>
      </c>
      <c r="D7748" s="0">
        <v>2</v>
      </c>
      <c r="E7748" s="10">
        <f>HYPERLINK("http://www.lingerieopt.ru/images/original/12c5f95b-b3a5-43c9-a315-f49dbdb6fa33.jpg","Фото")</f>
      </c>
    </row>
    <row r="7749">
      <c r="A7749" s="7">
        <f>HYPERLINK("http://www.lingerieopt.ru/item/10876-originalnje-trusiki-lotte-plus-size-s-otkrjtjmi-yagodicami/","10876")</f>
      </c>
      <c r="B7749" s="8" t="s">
        <v>7485</v>
      </c>
      <c r="C7749" s="9">
        <v>636</v>
      </c>
      <c r="D7749" s="0">
        <v>2</v>
      </c>
      <c r="E7749" s="10">
        <f>HYPERLINK("http://www.lingerieopt.ru/images/original/4f34f256-2994-4bec-aa71-34e3c1581f39.jpg","Фото")</f>
      </c>
    </row>
    <row r="7750">
      <c r="A7750" s="7">
        <f>HYPERLINK("http://www.lingerieopt.ru/item/10877-koketlivje-trusiki-matilde-plus-size-s-prozrachnoi-zadnei-chastyu/","10877")</f>
      </c>
      <c r="B7750" s="8" t="s">
        <v>7486</v>
      </c>
      <c r="C7750" s="9">
        <v>636</v>
      </c>
      <c r="D7750" s="0">
        <v>1</v>
      </c>
      <c r="E7750" s="10">
        <f>HYPERLINK("http://www.lingerieopt.ru/images/original/c7bec2a2-7f82-4999-a000-d9fa75213e5e.jpg","Фото")</f>
      </c>
    </row>
    <row r="7751">
      <c r="A7751" s="7">
        <f>HYPERLINK("http://www.lingerieopt.ru/item/10878-pikantnje-kontaktnje-trusiki-trini-plus-size-s-kruzhevami/","10878")</f>
      </c>
      <c r="B7751" s="8" t="s">
        <v>7487</v>
      </c>
      <c r="C7751" s="9">
        <v>636</v>
      </c>
      <c r="D7751" s="0">
        <v>2</v>
      </c>
      <c r="E7751" s="10">
        <f>HYPERLINK("http://www.lingerieopt.ru/images/original/946a6951-8305-4384-8ded-bcce19b95202.jpg","Фото")</f>
      </c>
    </row>
    <row r="7752">
      <c r="A7752" s="7">
        <f>HYPERLINK("http://www.lingerieopt.ru/item/10879-roskoshnje-kontaktnje-trusiki-stringi-violante-plus-size-s-vjshivkoi/","10879")</f>
      </c>
      <c r="B7752" s="8" t="s">
        <v>7488</v>
      </c>
      <c r="C7752" s="9">
        <v>636</v>
      </c>
      <c r="D7752" s="0">
        <v>2</v>
      </c>
      <c r="E7752" s="10">
        <f>HYPERLINK("http://www.lingerieopt.ru/images/original/fcfc47a6-5406-4065-a144-ebe402455901.jpg","Фото")</f>
      </c>
    </row>
    <row r="7753">
      <c r="A7753" s="7">
        <f>HYPERLINK("http://www.lingerieopt.ru/item/10934-kontaktnje-trusiki-aretusa-plus-size-s-bahromoi/","10934")</f>
      </c>
      <c r="B7753" s="8" t="s">
        <v>7489</v>
      </c>
      <c r="C7753" s="9">
        <v>337</v>
      </c>
      <c r="D7753" s="0">
        <v>2</v>
      </c>
      <c r="E7753" s="10">
        <f>HYPERLINK("http://www.lingerieopt.ru/images/original/1de86c16-8164-4a8c-a562-48d5a835a6f9.jpg","Фото")</f>
      </c>
    </row>
    <row r="7754">
      <c r="A7754" s="7">
        <f>HYPERLINK("http://www.lingerieopt.ru/item/10934-kontaktnje-trusiki-aretusa-plus-size-s-bahromoi/","10934")</f>
      </c>
      <c r="B7754" s="8" t="s">
        <v>7490</v>
      </c>
      <c r="C7754" s="9">
        <v>337</v>
      </c>
      <c r="D7754" s="0">
        <v>3</v>
      </c>
      <c r="E7754" s="10">
        <f>HYPERLINK("http://www.lingerieopt.ru/images/original/1de86c16-8164-4a8c-a562-48d5a835a6f9.jpg","Фото")</f>
      </c>
    </row>
    <row r="7755">
      <c r="A7755" s="7">
        <f>HYPERLINK("http://www.lingerieopt.ru/item/10935-kontaktnje-trusiki-aretusa-s-bahromoi/","10935")</f>
      </c>
      <c r="B7755" s="8" t="s">
        <v>7491</v>
      </c>
      <c r="C7755" s="9">
        <v>337</v>
      </c>
      <c r="D7755" s="0">
        <v>2</v>
      </c>
      <c r="E7755" s="10">
        <f>HYPERLINK("http://www.lingerieopt.ru/images/original/bc4e8718-e489-476e-b688-9ab2dc93be37.jpg","Фото")</f>
      </c>
    </row>
    <row r="7756">
      <c r="A7756" s="7">
        <f>HYPERLINK("http://www.lingerieopt.ru/item/10935-kontaktnje-trusiki-aretusa-s-bahromoi/","10935")</f>
      </c>
      <c r="B7756" s="8" t="s">
        <v>7492</v>
      </c>
      <c r="C7756" s="9">
        <v>337</v>
      </c>
      <c r="D7756" s="0">
        <v>2</v>
      </c>
      <c r="E7756" s="10">
        <f>HYPERLINK("http://www.lingerieopt.ru/images/original/bc4e8718-e489-476e-b688-9ab2dc93be37.jpg","Фото")</f>
      </c>
    </row>
    <row r="7757">
      <c r="A7757" s="7">
        <f>HYPERLINK("http://www.lingerieopt.ru/item/10935-kontaktnje-trusiki-aretusa-s-bahromoi/","10935")</f>
      </c>
      <c r="B7757" s="8" t="s">
        <v>7493</v>
      </c>
      <c r="C7757" s="9">
        <v>337</v>
      </c>
      <c r="D7757" s="0">
        <v>4</v>
      </c>
      <c r="E7757" s="10">
        <f>HYPERLINK("http://www.lingerieopt.ru/images/original/bc4e8718-e489-476e-b688-9ab2dc93be37.jpg","Фото")</f>
      </c>
    </row>
    <row r="7758">
      <c r="A7758" s="7">
        <f>HYPERLINK("http://www.lingerieopt.ru/item/10935-kontaktnje-trusiki-aretusa-s-bahromoi/","10935")</f>
      </c>
      <c r="B7758" s="8" t="s">
        <v>7494</v>
      </c>
      <c r="C7758" s="9">
        <v>337</v>
      </c>
      <c r="D7758" s="0">
        <v>3</v>
      </c>
      <c r="E7758" s="10">
        <f>HYPERLINK("http://www.lingerieopt.ru/images/original/bc4e8718-e489-476e-b688-9ab2dc93be37.jpg","Фото")</f>
      </c>
    </row>
    <row r="7759">
      <c r="A7759" s="7">
        <f>HYPERLINK("http://www.lingerieopt.ru/item/10954-trusiki-bikini-iz-cepochek-zolotistogo-cveta/","10954")</f>
      </c>
      <c r="B7759" s="8" t="s">
        <v>7495</v>
      </c>
      <c r="C7759" s="9">
        <v>1977</v>
      </c>
      <c r="D7759" s="0">
        <v>12</v>
      </c>
      <c r="E7759" s="10">
        <f>HYPERLINK("http://www.lingerieopt.ru/images/original/6b57091f-c669-4e1c-9072-1d34a0708d7b.jpg","Фото")</f>
      </c>
    </row>
    <row r="7760">
      <c r="A7760" s="7">
        <f>HYPERLINK("http://www.lingerieopt.ru/item/10955-trusiki-bikini-iz-cepochek-serebristogo-cveta/","10955")</f>
      </c>
      <c r="B7760" s="8" t="s">
        <v>7496</v>
      </c>
      <c r="C7760" s="9">
        <v>1977</v>
      </c>
      <c r="D7760" s="0">
        <v>14</v>
      </c>
      <c r="E7760" s="10">
        <f>HYPERLINK("http://www.lingerieopt.ru/images/original/40a11b82-a8a8-4413-8ace-be9d8452d82d.jpg","Фото")</f>
      </c>
    </row>
    <row r="7761">
      <c r="A7761" s="7">
        <f>HYPERLINK("http://www.lingerieopt.ru/item/10973-zhenskie-trusiki-s-kistochkoi-na-licevoi-chasti-i-pikantnjm-vjrezom-na-pope/","10973")</f>
      </c>
      <c r="B7761" s="8" t="s">
        <v>7497</v>
      </c>
      <c r="C7761" s="9">
        <v>720</v>
      </c>
      <c r="D7761" s="0">
        <v>7</v>
      </c>
      <c r="E7761" s="10">
        <f>HYPERLINK("http://www.lingerieopt.ru/images/original/ee9fd9e0-0486-467a-b6f7-bf8867b29c5b.jpg","Фото")</f>
      </c>
    </row>
    <row r="7762">
      <c r="A7762" s="7">
        <f>HYPERLINK("http://www.lingerieopt.ru/item/10995-zhenskie-trusiki-stringi-s-nadpisyu-i-schekotalkoi/","10995")</f>
      </c>
      <c r="B7762" s="8" t="s">
        <v>7498</v>
      </c>
      <c r="C7762" s="9">
        <v>457</v>
      </c>
      <c r="D7762" s="0">
        <v>23</v>
      </c>
      <c r="E7762" s="10">
        <f>HYPERLINK("http://www.lingerieopt.ru/images/original/3e3a5036-4ae3-4e69-8a3d-244292ff6432.jpg","Фото")</f>
      </c>
    </row>
    <row r="7763">
      <c r="A7763" s="7">
        <f>HYPERLINK("http://www.lingerieopt.ru/item/11002-yarkie-trusiki-stringi-string-thing-fishnet-g-string/","11002")</f>
      </c>
      <c r="B7763" s="8" t="s">
        <v>7499</v>
      </c>
      <c r="C7763" s="9">
        <v>786</v>
      </c>
      <c r="D7763" s="0">
        <v>19</v>
      </c>
      <c r="E7763" s="10">
        <f>HYPERLINK("http://www.lingerieopt.ru/images/original/38c037a8-8f0f-45cc-86d1-92374d64f594.jpg","Фото")</f>
      </c>
    </row>
    <row r="7764">
      <c r="A7764" s="7">
        <f>HYPERLINK("http://www.lingerieopt.ru/item/11003-trusiki-stringi-na-bokovjh-zavyazkah-less-is-more-micro-g-string/","11003")</f>
      </c>
      <c r="B7764" s="8" t="s">
        <v>7500</v>
      </c>
      <c r="C7764" s="9">
        <v>786</v>
      </c>
      <c r="D7764" s="0">
        <v>18</v>
      </c>
      <c r="E7764" s="10">
        <f>HYPERLINK("http://www.lingerieopt.ru/images/original/5a3adf3a-a8ea-41c8-94ac-0e190e5ba58a.jpg","Фото")</f>
      </c>
    </row>
    <row r="7765">
      <c r="A7765" s="7">
        <f>HYPERLINK("http://www.lingerieopt.ru/item/11093-nezhnje-kruzhevnje-trusiki-s-cvetochnjm-uzorom/","11093")</f>
      </c>
      <c r="B7765" s="8" t="s">
        <v>7501</v>
      </c>
      <c r="C7765" s="9">
        <v>572</v>
      </c>
      <c r="D7765" s="0">
        <v>2</v>
      </c>
      <c r="E7765" s="10">
        <f>HYPERLINK("http://www.lingerieopt.ru/images/original/c1cafc23-c301-44b1-a08f-532c78686ef9.jpg","Фото")</f>
      </c>
    </row>
    <row r="7766">
      <c r="A7766" s="7">
        <f>HYPERLINK("http://www.lingerieopt.ru/item/11093-nezhnje-kruzhevnje-trusiki-s-cvetochnjm-uzorom/","11093")</f>
      </c>
      <c r="B7766" s="8" t="s">
        <v>7502</v>
      </c>
      <c r="C7766" s="9">
        <v>572</v>
      </c>
      <c r="D7766" s="0">
        <v>9</v>
      </c>
      <c r="E7766" s="10">
        <f>HYPERLINK("http://www.lingerieopt.ru/images/original/c1cafc23-c301-44b1-a08f-532c78686ef9.jpg","Фото")</f>
      </c>
    </row>
    <row r="7767">
      <c r="A7767" s="7">
        <f>HYPERLINK("http://www.lingerieopt.ru/item/11107-trusiki-s-kontrastnjm-uzorom-v-vide-voln/","11107")</f>
      </c>
      <c r="B7767" s="8" t="s">
        <v>7503</v>
      </c>
      <c r="C7767" s="9">
        <v>572</v>
      </c>
      <c r="D7767" s="0">
        <v>2</v>
      </c>
      <c r="E7767" s="10">
        <f>HYPERLINK("http://www.lingerieopt.ru/images/original/0a1a226d-3bf5-4707-bc0e-c14cdcb2970a.jpg","Фото")</f>
      </c>
    </row>
    <row r="7768">
      <c r="A7768" s="7">
        <f>HYPERLINK("http://www.lingerieopt.ru/item/11107-trusiki-s-kontrastnjm-uzorom-v-vide-voln/","11107")</f>
      </c>
      <c r="B7768" s="8" t="s">
        <v>7504</v>
      </c>
      <c r="C7768" s="9">
        <v>572</v>
      </c>
      <c r="D7768" s="0">
        <v>3</v>
      </c>
      <c r="E7768" s="10">
        <f>HYPERLINK("http://www.lingerieopt.ru/images/original/0a1a226d-3bf5-4707-bc0e-c14cdcb2970a.jpg","Фото")</f>
      </c>
    </row>
    <row r="7769">
      <c r="A7769" s="7">
        <f>HYPERLINK("http://www.lingerieopt.ru/item/11153-kruzhevnje-trusiki-stringi-mystique-plus-size/","11153")</f>
      </c>
      <c r="B7769" s="8" t="s">
        <v>7505</v>
      </c>
      <c r="C7769" s="9">
        <v>559</v>
      </c>
      <c r="D7769" s="0">
        <v>3</v>
      </c>
      <c r="E7769" s="10">
        <f>HYPERLINK("http://www.lingerieopt.ru/images/original/c96da321-288a-4a16-81bd-50c16bee46de.jpg","Фото")</f>
      </c>
    </row>
    <row r="7770">
      <c r="A7770" s="7">
        <f>HYPERLINK("http://www.lingerieopt.ru/item/11189-elegantnje-trusiki-s-cvetochnjm-risunkom/","11189")</f>
      </c>
      <c r="B7770" s="8" t="s">
        <v>7506</v>
      </c>
      <c r="C7770" s="9">
        <v>684</v>
      </c>
      <c r="D7770" s="0">
        <v>3</v>
      </c>
      <c r="E7770" s="10">
        <f>HYPERLINK("http://www.lingerieopt.ru/images/original/8ace5df5-3fb0-4414-8747-931a4030a702.jpg","Фото")</f>
      </c>
    </row>
    <row r="7771">
      <c r="A7771" s="7">
        <f>HYPERLINK("http://www.lingerieopt.ru/item/11189-elegantnje-trusiki-s-cvetochnjm-risunkom/","11189")</f>
      </c>
      <c r="B7771" s="8" t="s">
        <v>7507</v>
      </c>
      <c r="C7771" s="9">
        <v>684</v>
      </c>
      <c r="D7771" s="0">
        <v>1</v>
      </c>
      <c r="E7771" s="10">
        <f>HYPERLINK("http://www.lingerieopt.ru/images/original/8ace5df5-3fb0-4414-8747-931a4030a702.jpg","Фото")</f>
      </c>
    </row>
    <row r="7772">
      <c r="A7772" s="7">
        <f>HYPERLINK("http://www.lingerieopt.ru/item/11195-azhurnje-trusiki-stringi-s-podveskoi/","11195")</f>
      </c>
      <c r="B7772" s="8" t="s">
        <v>7508</v>
      </c>
      <c r="C7772" s="9">
        <v>684</v>
      </c>
      <c r="D7772" s="0">
        <v>4</v>
      </c>
      <c r="E7772" s="10">
        <f>HYPERLINK("http://www.lingerieopt.ru/images/original/ddc5c09c-b5a7-4390-b9d8-4851a7eecf62.jpg","Фото")</f>
      </c>
    </row>
    <row r="7773">
      <c r="A7773" s="7">
        <f>HYPERLINK("http://www.lingerieopt.ru/item/11195-azhurnje-trusiki-stringi-s-podveskoi/","11195")</f>
      </c>
      <c r="B7773" s="8" t="s">
        <v>7509</v>
      </c>
      <c r="C7773" s="9">
        <v>684</v>
      </c>
      <c r="D7773" s="0">
        <v>7</v>
      </c>
      <c r="E7773" s="10">
        <f>HYPERLINK("http://www.lingerieopt.ru/images/original/ddc5c09c-b5a7-4390-b9d8-4851a7eecf62.jpg","Фото")</f>
      </c>
    </row>
    <row r="7774">
      <c r="A7774" s="7">
        <f>HYPERLINK("http://www.lingerieopt.ru/item/11212-soblaznitelnje-kruzhevnje-trusiki-stringi/","11212")</f>
      </c>
      <c r="B7774" s="8" t="s">
        <v>7510</v>
      </c>
      <c r="C7774" s="9">
        <v>599</v>
      </c>
      <c r="D7774" s="0">
        <v>10</v>
      </c>
      <c r="E7774" s="10">
        <f>HYPERLINK("http://www.lingerieopt.ru/images/original/b6933751-50f9-4660-960a-3a407a4dcd17.jpg","Фото")</f>
      </c>
    </row>
    <row r="7775">
      <c r="A7775" s="7">
        <f>HYPERLINK("http://www.lingerieopt.ru/item/11212-soblaznitelnje-kruzhevnje-trusiki-stringi/","11212")</f>
      </c>
      <c r="B7775" s="8" t="s">
        <v>7511</v>
      </c>
      <c r="C7775" s="9">
        <v>599</v>
      </c>
      <c r="D7775" s="0">
        <v>10</v>
      </c>
      <c r="E7775" s="10">
        <f>HYPERLINK("http://www.lingerieopt.ru/images/original/b6933751-50f9-4660-960a-3a407a4dcd17.jpg","Фото")</f>
      </c>
    </row>
    <row r="7776">
      <c r="A7776" s="7">
        <f>HYPERLINK("http://www.lingerieopt.ru/item/11213-soblaznitelnje-kruzhevnje-trusiki-stringi-s-bantikom-i-podveskoi/","11213")</f>
      </c>
      <c r="B7776" s="8" t="s">
        <v>7512</v>
      </c>
      <c r="C7776" s="9">
        <v>721</v>
      </c>
      <c r="D7776" s="0">
        <v>6</v>
      </c>
      <c r="E7776" s="10">
        <f>HYPERLINK("http://www.lingerieopt.ru/images/original/f8160896-b384-46ad-9e20-9cf005b89bf2.jpg","Фото")</f>
      </c>
    </row>
    <row r="7777">
      <c r="A7777" s="7">
        <f>HYPERLINK("http://www.lingerieopt.ru/item/11213-soblaznitelnje-kruzhevnje-trusiki-stringi-s-bantikom-i-podveskoi/","11213")</f>
      </c>
      <c r="B7777" s="8" t="s">
        <v>7513</v>
      </c>
      <c r="C7777" s="9">
        <v>721</v>
      </c>
      <c r="D7777" s="0">
        <v>3</v>
      </c>
      <c r="E7777" s="10">
        <f>HYPERLINK("http://www.lingerieopt.ru/images/original/f8160896-b384-46ad-9e20-9cf005b89bf2.jpg","Фото")</f>
      </c>
    </row>
    <row r="7778">
      <c r="A7778" s="7">
        <f>HYPERLINK("http://www.lingerieopt.ru/item/11223-kontaktnje-trusiki-s-shirokim-kruzhevnjm-poyasom/","11223")</f>
      </c>
      <c r="B7778" s="8" t="s">
        <v>7514</v>
      </c>
      <c r="C7778" s="9">
        <v>812</v>
      </c>
      <c r="D7778" s="0">
        <v>10</v>
      </c>
      <c r="E7778" s="10">
        <f>HYPERLINK("http://www.lingerieopt.ru/images/original/8e515578-6275-4ca4-909a-b64524abb16a.jpg","Фото")</f>
      </c>
    </row>
    <row r="7779">
      <c r="A7779" s="7">
        <f>HYPERLINK("http://www.lingerieopt.ru/item/11223-kontaktnje-trusiki-s-shirokim-kruzhevnjm-poyasom/","11223")</f>
      </c>
      <c r="B7779" s="8" t="s">
        <v>7515</v>
      </c>
      <c r="C7779" s="9">
        <v>812</v>
      </c>
      <c r="D7779" s="0">
        <v>10</v>
      </c>
      <c r="E7779" s="10">
        <f>HYPERLINK("http://www.lingerieopt.ru/images/original/8e515578-6275-4ca4-909a-b64524abb16a.jpg","Фото")</f>
      </c>
    </row>
    <row r="7780">
      <c r="A7780" s="7">
        <f>HYPERLINK("http://www.lingerieopt.ru/item/11294-rozovje-zhenskie-trusiki-s-bantikami/","11294")</f>
      </c>
      <c r="B7780" s="8" t="s">
        <v>7516</v>
      </c>
      <c r="C7780" s="9">
        <v>274</v>
      </c>
      <c r="D7780" s="0">
        <v>70</v>
      </c>
      <c r="E7780" s="10">
        <f>HYPERLINK("http://www.lingerieopt.ru/images/original/bdea580b-7ceb-45d5-9b90-f48c74653928.jpg","Фото")</f>
      </c>
    </row>
    <row r="7781">
      <c r="A7781" s="7">
        <f>HYPERLINK("http://www.lingerieopt.ru/item/11302-soblaznitelnje-trusiki-stringi-s-dopolnitelnjmi-bretelyami/","11302")</f>
      </c>
      <c r="B7781" s="8" t="s">
        <v>7517</v>
      </c>
      <c r="C7781" s="9">
        <v>646</v>
      </c>
      <c r="D7781" s="0">
        <v>10</v>
      </c>
      <c r="E7781" s="10">
        <f>HYPERLINK("http://www.lingerieopt.ru/images/original/1fd8a06d-7c72-4444-bd3f-823f78553508.jpg","Фото")</f>
      </c>
    </row>
    <row r="7782">
      <c r="A7782" s="7">
        <f>HYPERLINK("http://www.lingerieopt.ru/item/11302-soblaznitelnje-trusiki-stringi-s-dopolnitelnjmi-bretelyami/","11302")</f>
      </c>
      <c r="B7782" s="8" t="s">
        <v>7518</v>
      </c>
      <c r="C7782" s="9">
        <v>646</v>
      </c>
      <c r="D7782" s="0">
        <v>8</v>
      </c>
      <c r="E7782" s="10">
        <f>HYPERLINK("http://www.lingerieopt.ru/images/original/1fd8a06d-7c72-4444-bd3f-823f78553508.jpg","Фото")</f>
      </c>
    </row>
    <row r="7783">
      <c r="A7783" s="7">
        <f>HYPERLINK("http://www.lingerieopt.ru/item/11313-soblaznitelnje-trusiki-stringi-iz-nezhnogo-kruzheva/","11313")</f>
      </c>
      <c r="B7783" s="8" t="s">
        <v>7519</v>
      </c>
      <c r="C7783" s="9">
        <v>610</v>
      </c>
      <c r="D7783" s="0">
        <v>10</v>
      </c>
      <c r="E7783" s="10">
        <f>HYPERLINK("http://www.lingerieopt.ru/images/original/89353f60-a6b2-4ee4-9f61-04dc3268d722.jpg","Фото")</f>
      </c>
    </row>
    <row r="7784">
      <c r="A7784" s="7">
        <f>HYPERLINK("http://www.lingerieopt.ru/item/11313-soblaznitelnje-trusiki-stringi-iz-nezhnogo-kruzheva/","11313")</f>
      </c>
      <c r="B7784" s="8" t="s">
        <v>7520</v>
      </c>
      <c r="C7784" s="9">
        <v>610</v>
      </c>
      <c r="D7784" s="0">
        <v>10</v>
      </c>
      <c r="E7784" s="10">
        <f>HYPERLINK("http://www.lingerieopt.ru/images/original/89353f60-a6b2-4ee4-9f61-04dc3268d722.jpg","Фото")</f>
      </c>
    </row>
    <row r="7785">
      <c r="A7785" s="7">
        <f>HYPERLINK("http://www.lingerieopt.ru/item/11375-trusiki-stringi-chantal-s-treugolnikom-iz-straz/","11375")</f>
      </c>
      <c r="B7785" s="8" t="s">
        <v>7521</v>
      </c>
      <c r="C7785" s="9">
        <v>620</v>
      </c>
      <c r="D7785" s="0">
        <v>47</v>
      </c>
      <c r="E7785" s="10">
        <f>HYPERLINK("http://www.lingerieopt.ru/images/original/ce044551-a42a-48de-9fae-42788fc3e339.jpg","Фото")</f>
      </c>
    </row>
    <row r="7786">
      <c r="A7786" s="7">
        <f>HYPERLINK("http://www.lingerieopt.ru/item/11375-trusiki-stringi-chantal-s-treugolnikom-iz-straz/","11375")</f>
      </c>
      <c r="B7786" s="8" t="s">
        <v>7522</v>
      </c>
      <c r="C7786" s="9">
        <v>620</v>
      </c>
      <c r="D7786" s="0">
        <v>48</v>
      </c>
      <c r="E7786" s="10">
        <f>HYPERLINK("http://www.lingerieopt.ru/images/original/ce044551-a42a-48de-9fae-42788fc3e339.jpg","Фото")</f>
      </c>
    </row>
    <row r="7787">
      <c r="A7787" s="7">
        <f>HYPERLINK("http://www.lingerieopt.ru/item/11375-trusiki-stringi-chantal-s-treugolnikom-iz-straz/","11375")</f>
      </c>
      <c r="B7787" s="8" t="s">
        <v>7523</v>
      </c>
      <c r="C7787" s="9">
        <v>620</v>
      </c>
      <c r="D7787" s="0">
        <v>54</v>
      </c>
      <c r="E7787" s="10">
        <f>HYPERLINK("http://www.lingerieopt.ru/images/original/ce044551-a42a-48de-9fae-42788fc3e339.jpg","Фото")</f>
      </c>
    </row>
    <row r="7788">
      <c r="A7788" s="7">
        <f>HYPERLINK("http://www.lingerieopt.ru/item/11376-trusiki-stringi-lillian-s-dekorom/","11376")</f>
      </c>
      <c r="B7788" s="8" t="s">
        <v>7524</v>
      </c>
      <c r="C7788" s="9">
        <v>428</v>
      </c>
      <c r="D7788" s="0">
        <v>52</v>
      </c>
      <c r="E7788" s="10">
        <f>HYPERLINK("http://www.lingerieopt.ru/images/original/590ee3d0-27a4-41e3-9ea1-0e58a90beecb.jpg","Фото")</f>
      </c>
    </row>
    <row r="7789">
      <c r="A7789" s="7">
        <f>HYPERLINK("http://www.lingerieopt.ru/item/11376-trusiki-stringi-lillian-s-dekorom/","11376")</f>
      </c>
      <c r="B7789" s="8" t="s">
        <v>7525</v>
      </c>
      <c r="C7789" s="9">
        <v>428</v>
      </c>
      <c r="D7789" s="0">
        <v>48</v>
      </c>
      <c r="E7789" s="10">
        <f>HYPERLINK("http://www.lingerieopt.ru/images/original/590ee3d0-27a4-41e3-9ea1-0e58a90beecb.jpg","Фото")</f>
      </c>
    </row>
    <row r="7790">
      <c r="A7790" s="7">
        <f>HYPERLINK("http://www.lingerieopt.ru/item/11376-trusiki-stringi-lillian-s-dekorom/","11376")</f>
      </c>
      <c r="B7790" s="8" t="s">
        <v>7526</v>
      </c>
      <c r="C7790" s="9">
        <v>428</v>
      </c>
      <c r="D7790" s="0">
        <v>46</v>
      </c>
      <c r="E7790" s="10">
        <f>HYPERLINK("http://www.lingerieopt.ru/images/original/590ee3d0-27a4-41e3-9ea1-0e58a90beecb.jpg","Фото")</f>
      </c>
    </row>
    <row r="7791">
      <c r="A7791" s="7">
        <f>HYPERLINK("http://www.lingerieopt.ru/item/11377-trusiki-stringi-janet-s-ukrasheniem-iz-straz-na-poyase/","11377")</f>
      </c>
      <c r="B7791" s="8" t="s">
        <v>7527</v>
      </c>
      <c r="C7791" s="9">
        <v>644</v>
      </c>
      <c r="D7791" s="0">
        <v>53</v>
      </c>
      <c r="E7791" s="10">
        <f>HYPERLINK("http://www.lingerieopt.ru/images/original/f29fff37-90ac-4285-bf40-8d2fe9201f4a.jpg","Фото")</f>
      </c>
    </row>
    <row r="7792">
      <c r="A7792" s="7">
        <f>HYPERLINK("http://www.lingerieopt.ru/item/11377-trusiki-stringi-janet-s-ukrasheniem-iz-straz-na-poyase/","11377")</f>
      </c>
      <c r="B7792" s="8" t="s">
        <v>7528</v>
      </c>
      <c r="C7792" s="9">
        <v>644</v>
      </c>
      <c r="D7792" s="0">
        <v>55</v>
      </c>
      <c r="E7792" s="10">
        <f>HYPERLINK("http://www.lingerieopt.ru/images/original/f29fff37-90ac-4285-bf40-8d2fe9201f4a.jpg","Фото")</f>
      </c>
    </row>
    <row r="7793">
      <c r="A7793" s="7">
        <f>HYPERLINK("http://www.lingerieopt.ru/item/11378-trusiki-stringi-belinda-so-strazami/","11378")</f>
      </c>
      <c r="B7793" s="8" t="s">
        <v>7529</v>
      </c>
      <c r="C7793" s="9">
        <v>516</v>
      </c>
      <c r="D7793" s="0">
        <v>19</v>
      </c>
      <c r="E7793" s="10">
        <f>HYPERLINK("http://www.lingerieopt.ru/images/original/4884e5af-c0e5-4ea4-b5dd-b9b34bc3efd0.jpg","Фото")</f>
      </c>
    </row>
    <row r="7794">
      <c r="A7794" s="7">
        <f>HYPERLINK("http://www.lingerieopt.ru/item/11378-trusiki-stringi-belinda-so-strazami/","11378")</f>
      </c>
      <c r="B7794" s="8" t="s">
        <v>7530</v>
      </c>
      <c r="C7794" s="9">
        <v>516</v>
      </c>
      <c r="D7794" s="0">
        <v>40</v>
      </c>
      <c r="E7794" s="10">
        <f>HYPERLINK("http://www.lingerieopt.ru/images/original/4884e5af-c0e5-4ea4-b5dd-b9b34bc3efd0.jpg","Фото")</f>
      </c>
    </row>
    <row r="7795">
      <c r="A7795" s="7">
        <f>HYPERLINK("http://www.lingerieopt.ru/item/11379-trusiki-stringi-candice-s-bahromoi-iz-strazov/","11379")</f>
      </c>
      <c r="B7795" s="8" t="s">
        <v>7531</v>
      </c>
      <c r="C7795" s="9">
        <v>568</v>
      </c>
      <c r="D7795" s="0">
        <v>42</v>
      </c>
      <c r="E7795" s="10">
        <f>HYPERLINK("http://www.lingerieopt.ru/images/original/206ad080-4d3a-4dd8-8999-323b3ed0d979.jpg","Фото")</f>
      </c>
    </row>
    <row r="7796">
      <c r="A7796" s="7">
        <f>HYPERLINK("http://www.lingerieopt.ru/item/11380-trusiki-stringi-stella-s-cepochkami-i-strazami/","11380")</f>
      </c>
      <c r="B7796" s="8" t="s">
        <v>7532</v>
      </c>
      <c r="C7796" s="9">
        <v>542</v>
      </c>
      <c r="D7796" s="0">
        <v>47</v>
      </c>
      <c r="E7796" s="10">
        <f>HYPERLINK("http://www.lingerieopt.ru/images/original/c5b74601-8b5c-4fa1-a732-2c27e66b7a02.jpg","Фото")</f>
      </c>
    </row>
    <row r="7797">
      <c r="A7797" s="7">
        <f>HYPERLINK("http://www.lingerieopt.ru/item/11380-trusiki-stringi-stella-s-cepochkami-i-strazami/","11380")</f>
      </c>
      <c r="B7797" s="8" t="s">
        <v>7533</v>
      </c>
      <c r="C7797" s="9">
        <v>542</v>
      </c>
      <c r="D7797" s="0">
        <v>46</v>
      </c>
      <c r="E7797" s="10">
        <f>HYPERLINK("http://www.lingerieopt.ru/images/original/c5b74601-8b5c-4fa1-a732-2c27e66b7a02.jpg","Фото")</f>
      </c>
    </row>
    <row r="7798">
      <c r="A7798" s="7">
        <f>HYPERLINK("http://www.lingerieopt.ru/item/11381-trusiki-stringi-sheila-so-strazami/","11381")</f>
      </c>
      <c r="B7798" s="8" t="s">
        <v>7534</v>
      </c>
      <c r="C7798" s="9">
        <v>428</v>
      </c>
      <c r="D7798" s="0">
        <v>55</v>
      </c>
      <c r="E7798" s="10">
        <f>HYPERLINK("http://www.lingerieopt.ru/images/original/d11e02ea-b186-4002-ab89-621286b0d2cc.jpg","Фото")</f>
      </c>
    </row>
    <row r="7799">
      <c r="A7799" s="7">
        <f>HYPERLINK("http://www.lingerieopt.ru/item/11382-trusiki-stringi-denise-so-strazami-szadi/","11382")</f>
      </c>
      <c r="B7799" s="8" t="s">
        <v>7535</v>
      </c>
      <c r="C7799" s="9">
        <v>428</v>
      </c>
      <c r="D7799" s="0">
        <v>52</v>
      </c>
      <c r="E7799" s="10">
        <f>HYPERLINK("http://www.lingerieopt.ru/images/original/0487988a-a346-4767-a5e7-9d469d3ecf1a.jpg","Фото")</f>
      </c>
    </row>
    <row r="7800">
      <c r="A7800" s="7">
        <f>HYPERLINK("http://www.lingerieopt.ru/item/11383-trusiki-stringi-aileen-so-strazami-i-businami/","11383")</f>
      </c>
      <c r="B7800" s="8" t="s">
        <v>7536</v>
      </c>
      <c r="C7800" s="9">
        <v>516</v>
      </c>
      <c r="D7800" s="0">
        <v>55</v>
      </c>
      <c r="E7800" s="10">
        <f>HYPERLINK("http://www.lingerieopt.ru/images/original/e2d0de5f-e398-44df-ab70-33073bc3913a.jpg","Фото")</f>
      </c>
    </row>
    <row r="7801">
      <c r="A7801" s="7">
        <f>HYPERLINK("http://www.lingerieopt.ru/item/11383-trusiki-stringi-aileen-so-strazami-i-businami/","11383")</f>
      </c>
      <c r="B7801" s="8" t="s">
        <v>7537</v>
      </c>
      <c r="C7801" s="9">
        <v>516</v>
      </c>
      <c r="D7801" s="0">
        <v>55</v>
      </c>
      <c r="E7801" s="10">
        <f>HYPERLINK("http://www.lingerieopt.ru/images/original/e2d0de5f-e398-44df-ab70-33073bc3913a.jpg","Фото")</f>
      </c>
    </row>
    <row r="7802">
      <c r="A7802" s="7">
        <f>HYPERLINK("http://www.lingerieopt.ru/item/11384-trusiki-stringi-terri-so-strazami/","11384")</f>
      </c>
      <c r="B7802" s="8" t="s">
        <v>7538</v>
      </c>
      <c r="C7802" s="9">
        <v>367</v>
      </c>
      <c r="D7802" s="0">
        <v>41</v>
      </c>
      <c r="E7802" s="10">
        <f>HYPERLINK("http://www.lingerieopt.ru/images/original/9dceebbc-9631-4a4e-8e06-dac127c993d8.jpg","Фото")</f>
      </c>
    </row>
    <row r="7803">
      <c r="A7803" s="7">
        <f>HYPERLINK("http://www.lingerieopt.ru/item/11384-trusiki-stringi-terri-so-strazami/","11384")</f>
      </c>
      <c r="B7803" s="8" t="s">
        <v>7539</v>
      </c>
      <c r="C7803" s="9">
        <v>367</v>
      </c>
      <c r="D7803" s="0">
        <v>38</v>
      </c>
      <c r="E7803" s="10">
        <f>HYPERLINK("http://www.lingerieopt.ru/images/original/9dceebbc-9631-4a4e-8e06-dac127c993d8.jpg","Фото")</f>
      </c>
    </row>
    <row r="7804">
      <c r="A7804" s="7">
        <f>HYPERLINK("http://www.lingerieopt.ru/item/11384-trusiki-stringi-terri-so-strazami/","11384")</f>
      </c>
      <c r="B7804" s="8" t="s">
        <v>7540</v>
      </c>
      <c r="C7804" s="9">
        <v>367</v>
      </c>
      <c r="D7804" s="0">
        <v>49</v>
      </c>
      <c r="E7804" s="10">
        <f>HYPERLINK("http://www.lingerieopt.ru/images/original/9dceebbc-9631-4a4e-8e06-dac127c993d8.jpg","Фото")</f>
      </c>
    </row>
    <row r="7805">
      <c r="A7805" s="7">
        <f>HYPERLINK("http://www.lingerieopt.ru/item/11385-trusiki-stringi-pearl-so-strazami-i-zhemchuzhinkami/","11385")</f>
      </c>
      <c r="B7805" s="8" t="s">
        <v>7541</v>
      </c>
      <c r="C7805" s="9">
        <v>533</v>
      </c>
      <c r="D7805" s="0">
        <v>32</v>
      </c>
      <c r="E7805" s="10">
        <f>HYPERLINK("http://www.lingerieopt.ru/images/original/98810bcc-862d-4298-90c9-13f0b81b245a.jpg","Фото")</f>
      </c>
    </row>
    <row r="7806">
      <c r="A7806" s="7">
        <f>HYPERLINK("http://www.lingerieopt.ru/item/11386-trusiki-gina-so-strazami/","11386")</f>
      </c>
      <c r="B7806" s="8" t="s">
        <v>7542</v>
      </c>
      <c r="C7806" s="9">
        <v>476</v>
      </c>
      <c r="D7806" s="0">
        <v>56</v>
      </c>
      <c r="E7806" s="10">
        <f>HYPERLINK("http://www.lingerieopt.ru/images/original/ccb1abf6-a91c-409a-bb86-1e94727da6de.jpg","Фото")</f>
      </c>
    </row>
    <row r="7807">
      <c r="A7807" s="7">
        <f>HYPERLINK("http://www.lingerieopt.ru/item/11386-trusiki-gina-so-strazami/","11386")</f>
      </c>
      <c r="B7807" s="8" t="s">
        <v>7543</v>
      </c>
      <c r="C7807" s="9">
        <v>476</v>
      </c>
      <c r="D7807" s="0">
        <v>54</v>
      </c>
      <c r="E7807" s="10">
        <f>HYPERLINK("http://www.lingerieopt.ru/images/original/ccb1abf6-a91c-409a-bb86-1e94727da6de.jpg","Фото")</f>
      </c>
    </row>
    <row r="7808">
      <c r="A7808" s="7">
        <f>HYPERLINK("http://www.lingerieopt.ru/item/11386-trusiki-gina-so-strazami/","11386")</f>
      </c>
      <c r="B7808" s="8" t="s">
        <v>7544</v>
      </c>
      <c r="C7808" s="9">
        <v>476</v>
      </c>
      <c r="D7808" s="0">
        <v>56</v>
      </c>
      <c r="E7808" s="10">
        <f>HYPERLINK("http://www.lingerieopt.ru/images/original/ccb1abf6-a91c-409a-bb86-1e94727da6de.jpg","Фото")</f>
      </c>
    </row>
    <row r="7809">
      <c r="A7809" s="7">
        <f>HYPERLINK("http://www.lingerieopt.ru/item/11387-trusiki-stringi-fiona-so-strazami-na-poyase/","11387")</f>
      </c>
      <c r="B7809" s="8" t="s">
        <v>7545</v>
      </c>
      <c r="C7809" s="9">
        <v>446</v>
      </c>
      <c r="D7809" s="0">
        <v>55</v>
      </c>
      <c r="E7809" s="10">
        <f>HYPERLINK("http://www.lingerieopt.ru/images/original/04058560-84b2-4f21-bb73-0d2dbc85d4d2.jpg","Фото")</f>
      </c>
    </row>
    <row r="7810">
      <c r="A7810" s="7">
        <f>HYPERLINK("http://www.lingerieopt.ru/item/11387-trusiki-stringi-fiona-so-strazami-na-poyase/","11387")</f>
      </c>
      <c r="B7810" s="8" t="s">
        <v>7546</v>
      </c>
      <c r="C7810" s="9">
        <v>446</v>
      </c>
      <c r="D7810" s="0">
        <v>56</v>
      </c>
      <c r="E7810" s="10">
        <f>HYPERLINK("http://www.lingerieopt.ru/images/original/04058560-84b2-4f21-bb73-0d2dbc85d4d2.jpg","Фото")</f>
      </c>
    </row>
    <row r="7811">
      <c r="A7811" s="7">
        <f>HYPERLINK("http://www.lingerieopt.ru/item/11388-trusiki-stringi-amber-so-strazami-i-kristallom-na-poyase/","11388")</f>
      </c>
      <c r="B7811" s="8" t="s">
        <v>7547</v>
      </c>
      <c r="C7811" s="9">
        <v>428</v>
      </c>
      <c r="D7811" s="0">
        <v>52</v>
      </c>
      <c r="E7811" s="10">
        <f>HYPERLINK("http://www.lingerieopt.ru/images/original/fc2d552b-24e8-4253-9e28-46c9510b41c8.jpg","Фото")</f>
      </c>
    </row>
    <row r="7812">
      <c r="A7812" s="7">
        <f>HYPERLINK("http://www.lingerieopt.ru/item/11388-trusiki-stringi-amber-so-strazami-i-kristallom-na-poyase/","11388")</f>
      </c>
      <c r="B7812" s="8" t="s">
        <v>7548</v>
      </c>
      <c r="C7812" s="9">
        <v>428</v>
      </c>
      <c r="D7812" s="0">
        <v>57</v>
      </c>
      <c r="E7812" s="10">
        <f>HYPERLINK("http://www.lingerieopt.ru/images/original/fc2d552b-24e8-4253-9e28-46c9510b41c8.jpg","Фото")</f>
      </c>
    </row>
    <row r="7813">
      <c r="A7813" s="7">
        <f>HYPERLINK("http://www.lingerieopt.ru/item/11389-trusiki-stringi-laura-s-ukrasheniem-iz-straz/","11389")</f>
      </c>
      <c r="B7813" s="8" t="s">
        <v>7549</v>
      </c>
      <c r="C7813" s="9">
        <v>367</v>
      </c>
      <c r="D7813" s="0">
        <v>47</v>
      </c>
      <c r="E7813" s="10">
        <f>HYPERLINK("http://www.lingerieopt.ru/images/original/e51aa05e-7cee-47ac-8d5c-ed176d6263ba.jpg","Фото")</f>
      </c>
    </row>
    <row r="7814">
      <c r="A7814" s="7">
        <f>HYPERLINK("http://www.lingerieopt.ru/item/11389-trusiki-stringi-laura-s-ukrasheniem-iz-straz/","11389")</f>
      </c>
      <c r="B7814" s="8" t="s">
        <v>7550</v>
      </c>
      <c r="C7814" s="9">
        <v>367</v>
      </c>
      <c r="D7814" s="0">
        <v>49</v>
      </c>
      <c r="E7814" s="10">
        <f>HYPERLINK("http://www.lingerieopt.ru/images/original/e51aa05e-7cee-47ac-8d5c-ed176d6263ba.jpg","Фото")</f>
      </c>
    </row>
    <row r="7815">
      <c r="A7815" s="7">
        <f>HYPERLINK("http://www.lingerieopt.ru/item/11389-trusiki-stringi-laura-s-ukrasheniem-iz-straz/","11389")</f>
      </c>
      <c r="B7815" s="8" t="s">
        <v>7551</v>
      </c>
      <c r="C7815" s="9">
        <v>367</v>
      </c>
      <c r="D7815" s="0">
        <v>51</v>
      </c>
      <c r="E7815" s="10">
        <f>HYPERLINK("http://www.lingerieopt.ru/images/original/e51aa05e-7cee-47ac-8d5c-ed176d6263ba.jpg","Фото")</f>
      </c>
    </row>
    <row r="7816">
      <c r="A7816" s="7">
        <f>HYPERLINK("http://www.lingerieopt.ru/item/11390-trusiki-stringi-valerie-s-dekorom-iz-straz/","11390")</f>
      </c>
      <c r="B7816" s="8" t="s">
        <v>7552</v>
      </c>
      <c r="C7816" s="9">
        <v>464</v>
      </c>
      <c r="D7816" s="0">
        <v>53</v>
      </c>
      <c r="E7816" s="10">
        <f>HYPERLINK("http://www.lingerieopt.ru/images/original/7e84b545-1f4e-4722-8a71-bbbf41c6c304.jpg","Фото")</f>
      </c>
    </row>
    <row r="7817">
      <c r="A7817" s="7">
        <f>HYPERLINK("http://www.lingerieopt.ru/item/11390-trusiki-stringi-valerie-s-dekorom-iz-straz/","11390")</f>
      </c>
      <c r="B7817" s="8" t="s">
        <v>7553</v>
      </c>
      <c r="C7817" s="9">
        <v>464</v>
      </c>
      <c r="D7817" s="0">
        <v>46</v>
      </c>
      <c r="E7817" s="10">
        <f>HYPERLINK("http://www.lingerieopt.ru/images/original/7e84b545-1f4e-4722-8a71-bbbf41c6c304.jpg","Фото")</f>
      </c>
    </row>
    <row r="7818">
      <c r="A7818" s="7">
        <f>HYPERLINK("http://www.lingerieopt.ru/item/11390-trusiki-stringi-valerie-s-dekorom-iz-straz/","11390")</f>
      </c>
      <c r="B7818" s="8" t="s">
        <v>7554</v>
      </c>
      <c r="C7818" s="9">
        <v>464</v>
      </c>
      <c r="D7818" s="0">
        <v>48</v>
      </c>
      <c r="E7818" s="10">
        <f>HYPERLINK("http://www.lingerieopt.ru/images/original/7e84b545-1f4e-4722-8a71-bbbf41c6c304.jpg","Фото")</f>
      </c>
    </row>
    <row r="7819">
      <c r="A7819" s="7">
        <f>HYPERLINK("http://www.lingerieopt.ru/item/11391-trusiki-stringi-jamie-s-serdechkom-iz-straz/","11391")</f>
      </c>
      <c r="B7819" s="8" t="s">
        <v>7555</v>
      </c>
      <c r="C7819" s="9">
        <v>340</v>
      </c>
      <c r="D7819" s="0">
        <v>41</v>
      </c>
      <c r="E7819" s="10">
        <f>HYPERLINK("http://www.lingerieopt.ru/images/original/64e94ab5-86e1-4114-b70e-efae48c220e9.jpg","Фото")</f>
      </c>
    </row>
    <row r="7820">
      <c r="A7820" s="7">
        <f>HYPERLINK("http://www.lingerieopt.ru/item/11391-trusiki-stringi-jamie-s-serdechkom-iz-straz/","11391")</f>
      </c>
      <c r="B7820" s="8" t="s">
        <v>7556</v>
      </c>
      <c r="C7820" s="9">
        <v>340</v>
      </c>
      <c r="D7820" s="0">
        <v>35</v>
      </c>
      <c r="E7820" s="10">
        <f>HYPERLINK("http://www.lingerieopt.ru/images/original/64e94ab5-86e1-4114-b70e-efae48c220e9.jpg","Фото")</f>
      </c>
    </row>
    <row r="7821">
      <c r="A7821" s="7">
        <f>HYPERLINK("http://www.lingerieopt.ru/item/11391-trusiki-stringi-jamie-s-serdechkom-iz-straz/","11391")</f>
      </c>
      <c r="B7821" s="8" t="s">
        <v>7557</v>
      </c>
      <c r="C7821" s="9">
        <v>340</v>
      </c>
      <c r="D7821" s="0">
        <v>49</v>
      </c>
      <c r="E7821" s="10">
        <f>HYPERLINK("http://www.lingerieopt.ru/images/original/64e94ab5-86e1-4114-b70e-efae48c220e9.jpg","Фото")</f>
      </c>
    </row>
    <row r="7822">
      <c r="A7822" s="7">
        <f>HYPERLINK("http://www.lingerieopt.ru/item/11392-trusiki-stringi-ella-s-peremjchkoi-iz-straz/","11392")</f>
      </c>
      <c r="B7822" s="8" t="s">
        <v>7558</v>
      </c>
      <c r="C7822" s="9">
        <v>428</v>
      </c>
      <c r="D7822" s="0">
        <v>50</v>
      </c>
      <c r="E7822" s="10">
        <f>HYPERLINK("http://www.lingerieopt.ru/images/original/6697ba18-c9ea-4b03-a992-b372bfa148be.jpg","Фото")</f>
      </c>
    </row>
    <row r="7823">
      <c r="A7823" s="7">
        <f>HYPERLINK("http://www.lingerieopt.ru/item/11392-trusiki-stringi-ella-s-peremjchkoi-iz-straz/","11392")</f>
      </c>
      <c r="B7823" s="8" t="s">
        <v>7559</v>
      </c>
      <c r="C7823" s="9">
        <v>428</v>
      </c>
      <c r="D7823" s="0">
        <v>53</v>
      </c>
      <c r="E7823" s="10">
        <f>HYPERLINK("http://www.lingerieopt.ru/images/original/6697ba18-c9ea-4b03-a992-b372bfa148be.jpg","Фото")</f>
      </c>
    </row>
    <row r="7824">
      <c r="A7824" s="7">
        <f>HYPERLINK("http://www.lingerieopt.ru/item/11393-trusiki-stringi-mia-so-strazami/","11393")</f>
      </c>
      <c r="B7824" s="8" t="s">
        <v>7560</v>
      </c>
      <c r="C7824" s="9">
        <v>516</v>
      </c>
      <c r="D7824" s="0">
        <v>53</v>
      </c>
      <c r="E7824" s="10">
        <f>HYPERLINK("http://www.lingerieopt.ru/images/original/ac4e7a4d-975b-4fa7-be06-b9529a86b0e9.jpg","Фото")</f>
      </c>
    </row>
    <row r="7825">
      <c r="A7825" s="7">
        <f>HYPERLINK("http://www.lingerieopt.ru/item/11443-kruzhevnje-trusiki-stringi/","11443")</f>
      </c>
      <c r="B7825" s="8" t="s">
        <v>7561</v>
      </c>
      <c r="C7825" s="9">
        <v>597</v>
      </c>
      <c r="D7825" s="0">
        <v>6</v>
      </c>
      <c r="E7825" s="10">
        <f>HYPERLINK("http://www.lingerieopt.ru/images/original/6079a0bb-95d3-4e42-8bf5-37178c0ea996.jpg","Фото")</f>
      </c>
    </row>
    <row r="7826">
      <c r="A7826" s="7">
        <f>HYPERLINK("http://www.lingerieopt.ru/item/11443-kruzhevnje-trusiki-stringi/","11443")</f>
      </c>
      <c r="B7826" s="8" t="s">
        <v>7562</v>
      </c>
      <c r="C7826" s="9">
        <v>597</v>
      </c>
      <c r="D7826" s="0">
        <v>3</v>
      </c>
      <c r="E7826" s="10">
        <f>HYPERLINK("http://www.lingerieopt.ru/images/original/6079a0bb-95d3-4e42-8bf5-37178c0ea996.jpg","Фото")</f>
      </c>
    </row>
    <row r="7827">
      <c r="A7827" s="7">
        <f>HYPERLINK("http://www.lingerieopt.ru/item/11444-azhurnje-kontaktnje-trusiki-stringi/","11444")</f>
      </c>
      <c r="B7827" s="8" t="s">
        <v>7563</v>
      </c>
      <c r="C7827" s="9">
        <v>527</v>
      </c>
      <c r="D7827" s="0">
        <v>10</v>
      </c>
      <c r="E7827" s="10">
        <f>HYPERLINK("http://www.lingerieopt.ru/images/original/5092b1f1-fbac-44aa-a089-42fde7806697.jpg","Фото")</f>
      </c>
    </row>
    <row r="7828">
      <c r="A7828" s="7">
        <f>HYPERLINK("http://www.lingerieopt.ru/item/11444-azhurnje-kontaktnje-trusiki-stringi/","11444")</f>
      </c>
      <c r="B7828" s="8" t="s">
        <v>7564</v>
      </c>
      <c r="C7828" s="9">
        <v>527</v>
      </c>
      <c r="D7828" s="0">
        <v>10</v>
      </c>
      <c r="E7828" s="10">
        <f>HYPERLINK("http://www.lingerieopt.ru/images/original/5092b1f1-fbac-44aa-a089-42fde7806697.jpg","Фото")</f>
      </c>
    </row>
    <row r="7829">
      <c r="A7829" s="7">
        <f>HYPERLINK("http://www.lingerieopt.ru/item/11454-roskoshnje-trusiki-stringi-iz-setochki-s-shirokim-kruzhevnjm-poyasom/","11454")</f>
      </c>
      <c r="B7829" s="8" t="s">
        <v>7565</v>
      </c>
      <c r="C7829" s="9">
        <v>684</v>
      </c>
      <c r="D7829" s="0">
        <v>10</v>
      </c>
      <c r="E7829" s="10">
        <f>HYPERLINK("http://www.lingerieopt.ru/images/original/5eb0fcf5-bacc-487f-a8a2-57d24e83a958.jpg","Фото")</f>
      </c>
    </row>
    <row r="7830">
      <c r="A7830" s="7">
        <f>HYPERLINK("http://www.lingerieopt.ru/item/11454-roskoshnje-trusiki-stringi-iz-setochki-s-shirokim-kruzhevnjm-poyasom/","11454")</f>
      </c>
      <c r="B7830" s="8" t="s">
        <v>7566</v>
      </c>
      <c r="C7830" s="9">
        <v>684</v>
      </c>
      <c r="D7830" s="0">
        <v>8</v>
      </c>
      <c r="E7830" s="10">
        <f>HYPERLINK("http://www.lingerieopt.ru/images/original/5eb0fcf5-bacc-487f-a8a2-57d24e83a958.jpg","Фото")</f>
      </c>
    </row>
    <row r="7831">
      <c r="A7831" s="7">
        <f>HYPERLINK("http://www.lingerieopt.ru/item/11455-kruzhevnje-trusiki-shortj-s-cvetochnjm-risunkom/","11455")</f>
      </c>
      <c r="B7831" s="8" t="s">
        <v>7567</v>
      </c>
      <c r="C7831" s="9">
        <v>623</v>
      </c>
      <c r="D7831" s="0">
        <v>10</v>
      </c>
      <c r="E7831" s="10">
        <f>HYPERLINK("http://www.lingerieopt.ru/images/original/d36d51c5-e6ca-44aa-bb62-f67bf8e97eb4.jpg","Фото")</f>
      </c>
    </row>
    <row r="7832">
      <c r="A7832" s="7">
        <f>HYPERLINK("http://www.lingerieopt.ru/item/11455-kruzhevnje-trusiki-shortj-s-cvetochnjm-risunkom/","11455")</f>
      </c>
      <c r="B7832" s="8" t="s">
        <v>7568</v>
      </c>
      <c r="C7832" s="9">
        <v>623</v>
      </c>
      <c r="D7832" s="0">
        <v>10</v>
      </c>
      <c r="E7832" s="10">
        <f>HYPERLINK("http://www.lingerieopt.ru/images/original/d36d51c5-e6ca-44aa-bb62-f67bf8e97eb4.jpg","Фото")</f>
      </c>
    </row>
    <row r="7833">
      <c r="A7833" s="7">
        <f>HYPERLINK("http://www.lingerieopt.ru/item/11456-azhurnje-trusiki-shortj-plus-size-s-cvetochnjm-risunkom/","11456")</f>
      </c>
      <c r="B7833" s="8" t="s">
        <v>7569</v>
      </c>
      <c r="C7833" s="9">
        <v>619</v>
      </c>
      <c r="D7833" s="0">
        <v>6</v>
      </c>
      <c r="E7833" s="10">
        <f>HYPERLINK("http://www.lingerieopt.ru/images/original/ae188a22-1ca1-4bc7-9697-bc48341657ef.jpg","Фото")</f>
      </c>
    </row>
    <row r="7834">
      <c r="A7834" s="5"/>
      <c r="B7834" s="6" t="s">
        <v>7570</v>
      </c>
      <c r="C7834" s="5"/>
      <c r="D7834" s="5"/>
      <c r="E7834" s="5"/>
    </row>
    <row r="7835">
      <c r="A7835" s="7">
        <f>HYPERLINK("http://www.lingerieopt.ru/item/406-kruzhevnoi-poyas-i-trusiki-stringi/","406")</f>
      </c>
      <c r="B7835" s="8" t="s">
        <v>7571</v>
      </c>
      <c r="C7835" s="9">
        <v>1115</v>
      </c>
      <c r="D7835" s="0">
        <v>3</v>
      </c>
      <c r="E7835" s="10">
        <f>HYPERLINK("http://www.lingerieopt.ru/images/original/6194a8e1-4c57-4333-b444-fcd6db656310.jpg","Фото")</f>
      </c>
    </row>
    <row r="7836">
      <c r="A7836" s="7">
        <f>HYPERLINK("http://www.lingerieopt.ru/item/406-kruzhevnoi-poyas-i-trusiki-stringi/","406")</f>
      </c>
      <c r="B7836" s="8" t="s">
        <v>7572</v>
      </c>
      <c r="C7836" s="9">
        <v>1115</v>
      </c>
      <c r="D7836" s="0">
        <v>0</v>
      </c>
      <c r="E7836" s="10">
        <f>HYPERLINK("http://www.lingerieopt.ru/images/original/6194a8e1-4c57-4333-b444-fcd6db656310.jpg","Фото")</f>
      </c>
    </row>
    <row r="7837">
      <c r="A7837" s="7">
        <f>HYPERLINK("http://www.lingerieopt.ru/item/406-kruzhevnoi-poyas-i-trusiki-stringi/","406")</f>
      </c>
      <c r="B7837" s="8" t="s">
        <v>7573</v>
      </c>
      <c r="C7837" s="9">
        <v>1115</v>
      </c>
      <c r="D7837" s="0">
        <v>6</v>
      </c>
      <c r="E7837" s="10">
        <f>HYPERLINK("http://www.lingerieopt.ru/images/original/6194a8e1-4c57-4333-b444-fcd6db656310.jpg","Фото")</f>
      </c>
    </row>
    <row r="7838">
      <c r="A7838" s="7">
        <f>HYPERLINK("http://www.lingerieopt.ru/item/406-kruzhevnoi-poyas-i-trusiki-stringi/","406")</f>
      </c>
      <c r="B7838" s="8" t="s">
        <v>7574</v>
      </c>
      <c r="C7838" s="9">
        <v>1115</v>
      </c>
      <c r="D7838" s="0">
        <v>8</v>
      </c>
      <c r="E7838" s="10">
        <f>HYPERLINK("http://www.lingerieopt.ru/images/original/6194a8e1-4c57-4333-b444-fcd6db656310.jpg","Фото")</f>
      </c>
    </row>
    <row r="7839">
      <c r="A7839" s="7">
        <f>HYPERLINK("http://www.lingerieopt.ru/item/407-kruzhevnoi-poyas-dlya-chulok/","407")</f>
      </c>
      <c r="B7839" s="8" t="s">
        <v>7575</v>
      </c>
      <c r="C7839" s="9">
        <v>912</v>
      </c>
      <c r="D7839" s="0">
        <v>5</v>
      </c>
      <c r="E7839" s="10">
        <f>HYPERLINK("http://www.lingerieopt.ru/images/original/6f1e4a23-a861-4e83-aae3-2cabb42dcdbf.jpg","Фото")</f>
      </c>
    </row>
    <row r="7840">
      <c r="A7840" s="7">
        <f>HYPERLINK("http://www.lingerieopt.ru/item/407-kruzhevnoi-poyas-dlya-chulok/","407")</f>
      </c>
      <c r="B7840" s="8" t="s">
        <v>7576</v>
      </c>
      <c r="C7840" s="9">
        <v>912</v>
      </c>
      <c r="D7840" s="0">
        <v>3</v>
      </c>
      <c r="E7840" s="10">
        <f>HYPERLINK("http://www.lingerieopt.ru/images/original/6f1e4a23-a861-4e83-aae3-2cabb42dcdbf.jpg","Фото")</f>
      </c>
    </row>
    <row r="7841">
      <c r="A7841" s="7">
        <f>HYPERLINK("http://www.lingerieopt.ru/item/407-kruzhevnoi-poyas-dlya-chulok/","407")</f>
      </c>
      <c r="B7841" s="8" t="s">
        <v>7577</v>
      </c>
      <c r="C7841" s="9">
        <v>912</v>
      </c>
      <c r="D7841" s="0">
        <v>2</v>
      </c>
      <c r="E7841" s="10">
        <f>HYPERLINK("http://www.lingerieopt.ru/images/original/6f1e4a23-a861-4e83-aae3-2cabb42dcdbf.jpg","Фото")</f>
      </c>
    </row>
    <row r="7842">
      <c r="A7842" s="7">
        <f>HYPERLINK("http://www.lingerieopt.ru/item/407-kruzhevnoi-poyas-dlya-chulok/","407")</f>
      </c>
      <c r="B7842" s="8" t="s">
        <v>7578</v>
      </c>
      <c r="C7842" s="9">
        <v>912</v>
      </c>
      <c r="D7842" s="0">
        <v>2</v>
      </c>
      <c r="E7842" s="10">
        <f>HYPERLINK("http://www.lingerieopt.ru/images/original/6f1e4a23-a861-4e83-aae3-2cabb42dcdbf.jpg","Фото")</f>
      </c>
    </row>
    <row r="7843">
      <c r="A7843" s="7">
        <f>HYPERLINK("http://www.lingerieopt.ru/item/425-kruzhevnje-chulki-i-poyas/","425")</f>
      </c>
      <c r="B7843" s="8" t="s">
        <v>7579</v>
      </c>
      <c r="C7843" s="9">
        <v>1177</v>
      </c>
      <c r="D7843" s="0">
        <v>9</v>
      </c>
      <c r="E7843" s="10">
        <f>HYPERLINK("http://www.lingerieopt.ru/images/original/316ef194-7f30-4c77-942f-6a23094cde69.jpg","Фото")</f>
      </c>
    </row>
    <row r="7844">
      <c r="A7844" s="7">
        <f>HYPERLINK("http://www.lingerieopt.ru/item/425-kruzhevnje-chulki-i-poyas/","425")</f>
      </c>
      <c r="B7844" s="8" t="s">
        <v>7580</v>
      </c>
      <c r="C7844" s="9">
        <v>1177</v>
      </c>
      <c r="D7844" s="0">
        <v>6</v>
      </c>
      <c r="E7844" s="10">
        <f>HYPERLINK("http://www.lingerieopt.ru/images/original/316ef194-7f30-4c77-942f-6a23094cde69.jpg","Фото")</f>
      </c>
    </row>
    <row r="7845">
      <c r="A7845" s="7">
        <f>HYPERLINK("http://www.lingerieopt.ru/item/425-kruzhevnje-chulki-i-poyas/","425")</f>
      </c>
      <c r="B7845" s="8" t="s">
        <v>7581</v>
      </c>
      <c r="C7845" s="9">
        <v>1177</v>
      </c>
      <c r="D7845" s="0">
        <v>7</v>
      </c>
      <c r="E7845" s="10">
        <f>HYPERLINK("http://www.lingerieopt.ru/images/original/316ef194-7f30-4c77-942f-6a23094cde69.jpg","Фото")</f>
      </c>
    </row>
    <row r="7846">
      <c r="A7846" s="7">
        <f>HYPERLINK("http://www.lingerieopt.ru/item/425-kruzhevnje-chulki-i-poyas/","425")</f>
      </c>
      <c r="B7846" s="8" t="s">
        <v>7582</v>
      </c>
      <c r="C7846" s="9">
        <v>1177</v>
      </c>
      <c r="D7846" s="0">
        <v>12</v>
      </c>
      <c r="E7846" s="10">
        <f>HYPERLINK("http://www.lingerieopt.ru/images/original/316ef194-7f30-4c77-942f-6a23094cde69.jpg","Фото")</f>
      </c>
    </row>
    <row r="7847">
      <c r="A7847" s="7">
        <f>HYPERLINK("http://www.lingerieopt.ru/item/425-kruzhevnje-chulki-i-poyas/","425")</f>
      </c>
      <c r="B7847" s="8" t="s">
        <v>7583</v>
      </c>
      <c r="C7847" s="9">
        <v>1177</v>
      </c>
      <c r="D7847" s="0">
        <v>5</v>
      </c>
      <c r="E7847" s="10">
        <f>HYPERLINK("http://www.lingerieopt.ru/images/original/316ef194-7f30-4c77-942f-6a23094cde69.jpg","Фото")</f>
      </c>
    </row>
    <row r="7848">
      <c r="A7848" s="7">
        <f>HYPERLINK("http://www.lingerieopt.ru/item/425-kruzhevnje-chulki-i-poyas/","425")</f>
      </c>
      <c r="B7848" s="8" t="s">
        <v>7584</v>
      </c>
      <c r="C7848" s="9">
        <v>1177</v>
      </c>
      <c r="D7848" s="0">
        <v>3</v>
      </c>
      <c r="E7848" s="10">
        <f>HYPERLINK("http://www.lingerieopt.ru/images/original/316ef194-7f30-4c77-942f-6a23094cde69.jpg","Фото")</f>
      </c>
    </row>
    <row r="7849">
      <c r="A7849" s="7">
        <f>HYPERLINK("http://www.lingerieopt.ru/item/425-kruzhevnje-chulki-i-poyas/","425")</f>
      </c>
      <c r="B7849" s="8" t="s">
        <v>7585</v>
      </c>
      <c r="C7849" s="9">
        <v>1177</v>
      </c>
      <c r="D7849" s="0">
        <v>6</v>
      </c>
      <c r="E7849" s="10">
        <f>HYPERLINK("http://www.lingerieopt.ru/images/original/316ef194-7f30-4c77-942f-6a23094cde69.jpg","Фото")</f>
      </c>
    </row>
    <row r="7850">
      <c r="A7850" s="7">
        <f>HYPERLINK("http://www.lingerieopt.ru/item/425-kruzhevnje-chulki-i-poyas/","425")</f>
      </c>
      <c r="B7850" s="8" t="s">
        <v>7586</v>
      </c>
      <c r="C7850" s="9">
        <v>1177</v>
      </c>
      <c r="D7850" s="0">
        <v>7</v>
      </c>
      <c r="E7850" s="10">
        <f>HYPERLINK("http://www.lingerieopt.ru/images/original/316ef194-7f30-4c77-942f-6a23094cde69.jpg","Фото")</f>
      </c>
    </row>
    <row r="7851">
      <c r="A7851" s="7">
        <f>HYPERLINK("http://www.lingerieopt.ru/item/425-kruzhevnje-chulki-i-poyas/","425")</f>
      </c>
      <c r="B7851" s="8" t="s">
        <v>7587</v>
      </c>
      <c r="C7851" s="9">
        <v>1177</v>
      </c>
      <c r="D7851" s="0">
        <v>5</v>
      </c>
      <c r="E7851" s="10">
        <f>HYPERLINK("http://www.lingerieopt.ru/images/original/316ef194-7f30-4c77-942f-6a23094cde69.jpg","Фото")</f>
      </c>
    </row>
    <row r="7852">
      <c r="A7852" s="7">
        <f>HYPERLINK("http://www.lingerieopt.ru/item/425-kruzhevnje-chulki-i-poyas/","425")</f>
      </c>
      <c r="B7852" s="8" t="s">
        <v>7588</v>
      </c>
      <c r="C7852" s="9">
        <v>1177</v>
      </c>
      <c r="D7852" s="0">
        <v>0</v>
      </c>
      <c r="E7852" s="10">
        <f>HYPERLINK("http://www.lingerieopt.ru/images/original/316ef194-7f30-4c77-942f-6a23094cde69.jpg","Фото")</f>
      </c>
    </row>
    <row r="7853">
      <c r="A7853" s="7">
        <f>HYPERLINK("http://www.lingerieopt.ru/item/425-kruzhevnje-chulki-i-poyas/","425")</f>
      </c>
      <c r="B7853" s="8" t="s">
        <v>7589</v>
      </c>
      <c r="C7853" s="9">
        <v>1177</v>
      </c>
      <c r="D7853" s="0">
        <v>0</v>
      </c>
      <c r="E7853" s="10">
        <f>HYPERLINK("http://www.lingerieopt.ru/images/original/316ef194-7f30-4c77-942f-6a23094cde69.jpg","Фото")</f>
      </c>
    </row>
    <row r="7854">
      <c r="A7854" s="7">
        <f>HYPERLINK("http://www.lingerieopt.ru/item/425-kruzhevnje-chulki-i-poyas/","425")</f>
      </c>
      <c r="B7854" s="8" t="s">
        <v>7590</v>
      </c>
      <c r="C7854" s="9">
        <v>1177</v>
      </c>
      <c r="D7854" s="0">
        <v>0</v>
      </c>
      <c r="E7854" s="10">
        <f>HYPERLINK("http://www.lingerieopt.ru/images/original/316ef194-7f30-4c77-942f-6a23094cde69.jpg","Фото")</f>
      </c>
    </row>
    <row r="7855">
      <c r="A7855" s="7">
        <f>HYPERLINK("http://www.lingerieopt.ru/item/426-chulki-s-kruzhevnoi-rezinkoi/","426")</f>
      </c>
      <c r="B7855" s="8" t="s">
        <v>7591</v>
      </c>
      <c r="C7855" s="9">
        <v>569</v>
      </c>
      <c r="D7855" s="0">
        <v>5</v>
      </c>
      <c r="E7855" s="10">
        <f>HYPERLINK("http://www.lingerieopt.ru/images/original/061451a9-e07c-4121-afc1-7a5751962be7.jpg","Фото")</f>
      </c>
    </row>
    <row r="7856">
      <c r="A7856" s="7">
        <f>HYPERLINK("http://www.lingerieopt.ru/item/426-chulki-s-kruzhevnoi-rezinkoi/","426")</f>
      </c>
      <c r="B7856" s="8" t="s">
        <v>7592</v>
      </c>
      <c r="C7856" s="9">
        <v>569</v>
      </c>
      <c r="D7856" s="0">
        <v>19</v>
      </c>
      <c r="E7856" s="10">
        <f>HYPERLINK("http://www.lingerieopt.ru/images/original/061451a9-e07c-4121-afc1-7a5751962be7.jpg","Фото")</f>
      </c>
    </row>
    <row r="7857">
      <c r="A7857" s="7">
        <f>HYPERLINK("http://www.lingerieopt.ru/item/426-chulki-s-kruzhevnoi-rezinkoi/","426")</f>
      </c>
      <c r="B7857" s="8" t="s">
        <v>7593</v>
      </c>
      <c r="C7857" s="9">
        <v>569</v>
      </c>
      <c r="D7857" s="0">
        <v>8</v>
      </c>
      <c r="E7857" s="10">
        <f>HYPERLINK("http://www.lingerieopt.ru/images/original/061451a9-e07c-4121-afc1-7a5751962be7.jpg","Фото")</f>
      </c>
    </row>
    <row r="7858">
      <c r="A7858" s="7">
        <f>HYPERLINK("http://www.lingerieopt.ru/item/426-chulki-s-kruzhevnoi-rezinkoi/","426")</f>
      </c>
      <c r="B7858" s="8" t="s">
        <v>7594</v>
      </c>
      <c r="C7858" s="9">
        <v>569</v>
      </c>
      <c r="D7858" s="0">
        <v>3</v>
      </c>
      <c r="E7858" s="10">
        <f>HYPERLINK("http://www.lingerieopt.ru/images/original/061451a9-e07c-4121-afc1-7a5751962be7.jpg","Фото")</f>
      </c>
    </row>
    <row r="7859">
      <c r="A7859" s="7">
        <f>HYPERLINK("http://www.lingerieopt.ru/item/426-chulki-s-kruzhevnoi-rezinkoi/","426")</f>
      </c>
      <c r="B7859" s="8" t="s">
        <v>7595</v>
      </c>
      <c r="C7859" s="9">
        <v>569</v>
      </c>
      <c r="D7859" s="0">
        <v>4</v>
      </c>
      <c r="E7859" s="10">
        <f>HYPERLINK("http://www.lingerieopt.ru/images/original/061451a9-e07c-4121-afc1-7a5751962be7.jpg","Фото")</f>
      </c>
    </row>
    <row r="7860">
      <c r="A7860" s="7">
        <f>HYPERLINK("http://www.lingerieopt.ru/item/426-chulki-s-kruzhevnoi-rezinkoi/","426")</f>
      </c>
      <c r="B7860" s="8" t="s">
        <v>7596</v>
      </c>
      <c r="C7860" s="9">
        <v>569</v>
      </c>
      <c r="D7860" s="0">
        <v>8</v>
      </c>
      <c r="E7860" s="10">
        <f>HYPERLINK("http://www.lingerieopt.ru/images/original/061451a9-e07c-4121-afc1-7a5751962be7.jpg","Фото")</f>
      </c>
    </row>
    <row r="7861">
      <c r="A7861" s="7">
        <f>HYPERLINK("http://www.lingerieopt.ru/item/426-chulki-s-kruzhevnoi-rezinkoi/","426")</f>
      </c>
      <c r="B7861" s="8" t="s">
        <v>7597</v>
      </c>
      <c r="C7861" s="9">
        <v>569</v>
      </c>
      <c r="D7861" s="0">
        <v>14</v>
      </c>
      <c r="E7861" s="10">
        <f>HYPERLINK("http://www.lingerieopt.ru/images/original/061451a9-e07c-4121-afc1-7a5751962be7.jpg","Фото")</f>
      </c>
    </row>
    <row r="7862">
      <c r="A7862" s="7">
        <f>HYPERLINK("http://www.lingerieopt.ru/item/426-chulki-s-kruzhevnoi-rezinkoi/","426")</f>
      </c>
      <c r="B7862" s="8" t="s">
        <v>7598</v>
      </c>
      <c r="C7862" s="9">
        <v>569</v>
      </c>
      <c r="D7862" s="0">
        <v>10</v>
      </c>
      <c r="E7862" s="10">
        <f>HYPERLINK("http://www.lingerieopt.ru/images/original/061451a9-e07c-4121-afc1-7a5751962be7.jpg","Фото")</f>
      </c>
    </row>
    <row r="7863">
      <c r="A7863" s="7">
        <f>HYPERLINK("http://www.lingerieopt.ru/item/426-chulki-s-kruzhevnoi-rezinkoi/","426")</f>
      </c>
      <c r="B7863" s="8" t="s">
        <v>7599</v>
      </c>
      <c r="C7863" s="9">
        <v>569</v>
      </c>
      <c r="D7863" s="0">
        <v>7</v>
      </c>
      <c r="E7863" s="10">
        <f>HYPERLINK("http://www.lingerieopt.ru/images/original/061451a9-e07c-4121-afc1-7a5751962be7.jpg","Фото")</f>
      </c>
    </row>
    <row r="7864">
      <c r="A7864" s="7">
        <f>HYPERLINK("http://www.lingerieopt.ru/item/427-chulki-v-setku-s-kruzhevnoi-rezinkoi/","427")</f>
      </c>
      <c r="B7864" s="8" t="s">
        <v>7600</v>
      </c>
      <c r="C7864" s="9">
        <v>512</v>
      </c>
      <c r="D7864" s="0">
        <v>13</v>
      </c>
      <c r="E7864" s="10">
        <f>HYPERLINK("http://www.lingerieopt.ru/images/original/1b96167e-35c2-4b5d-9817-fe5759922812.jpg","Фото")</f>
      </c>
    </row>
    <row r="7865">
      <c r="A7865" s="7">
        <f>HYPERLINK("http://www.lingerieopt.ru/item/427-chulki-v-setku-s-kruzhevnoi-rezinkoi/","427")</f>
      </c>
      <c r="B7865" s="8" t="s">
        <v>7601</v>
      </c>
      <c r="C7865" s="9">
        <v>512</v>
      </c>
      <c r="D7865" s="0">
        <v>4</v>
      </c>
      <c r="E7865" s="10">
        <f>HYPERLINK("http://www.lingerieopt.ru/images/original/1b96167e-35c2-4b5d-9817-fe5759922812.jpg","Фото")</f>
      </c>
    </row>
    <row r="7866">
      <c r="A7866" s="7">
        <f>HYPERLINK("http://www.lingerieopt.ru/item/427-chulki-v-setku-s-kruzhevnoi-rezinkoi/","427")</f>
      </c>
      <c r="B7866" s="8" t="s">
        <v>7602</v>
      </c>
      <c r="C7866" s="9">
        <v>512</v>
      </c>
      <c r="D7866" s="0">
        <v>10</v>
      </c>
      <c r="E7866" s="10">
        <f>HYPERLINK("http://www.lingerieopt.ru/images/original/1b96167e-35c2-4b5d-9817-fe5759922812.jpg","Фото")</f>
      </c>
    </row>
    <row r="7867">
      <c r="A7867" s="7">
        <f>HYPERLINK("http://www.lingerieopt.ru/item/427-chulki-v-setku-s-kruzhevnoi-rezinkoi/","427")</f>
      </c>
      <c r="B7867" s="8" t="s">
        <v>7603</v>
      </c>
      <c r="C7867" s="9">
        <v>512</v>
      </c>
      <c r="D7867" s="0">
        <v>16</v>
      </c>
      <c r="E7867" s="10">
        <f>HYPERLINK("http://www.lingerieopt.ru/images/original/1b96167e-35c2-4b5d-9817-fe5759922812.jpg","Фото")</f>
      </c>
    </row>
    <row r="7868">
      <c r="A7868" s="7">
        <f>HYPERLINK("http://www.lingerieopt.ru/item/427-chulki-v-setku-s-kruzhevnoi-rezinkoi/","427")</f>
      </c>
      <c r="B7868" s="8" t="s">
        <v>7604</v>
      </c>
      <c r="C7868" s="9">
        <v>512</v>
      </c>
      <c r="D7868" s="0">
        <v>6</v>
      </c>
      <c r="E7868" s="10">
        <f>HYPERLINK("http://www.lingerieopt.ru/images/original/1b96167e-35c2-4b5d-9817-fe5759922812.jpg","Фото")</f>
      </c>
    </row>
    <row r="7869">
      <c r="A7869" s="7">
        <f>HYPERLINK("http://www.lingerieopt.ru/item/427-chulki-v-setku-s-kruzhevnoi-rezinkoi/","427")</f>
      </c>
      <c r="B7869" s="8" t="s">
        <v>7605</v>
      </c>
      <c r="C7869" s="9">
        <v>512</v>
      </c>
      <c r="D7869" s="0">
        <v>9</v>
      </c>
      <c r="E7869" s="10">
        <f>HYPERLINK("http://www.lingerieopt.ru/images/original/1b96167e-35c2-4b5d-9817-fe5759922812.jpg","Фото")</f>
      </c>
    </row>
    <row r="7870">
      <c r="A7870" s="7">
        <f>HYPERLINK("http://www.lingerieopt.ru/item/427-chulki-v-setku-s-kruzhevnoi-rezinkoi/","427")</f>
      </c>
      <c r="B7870" s="8" t="s">
        <v>7606</v>
      </c>
      <c r="C7870" s="9">
        <v>512</v>
      </c>
      <c r="D7870" s="0">
        <v>8</v>
      </c>
      <c r="E7870" s="10">
        <f>HYPERLINK("http://www.lingerieopt.ru/images/original/1b96167e-35c2-4b5d-9817-fe5759922812.jpg","Фото")</f>
      </c>
    </row>
    <row r="7871">
      <c r="A7871" s="7">
        <f>HYPERLINK("http://www.lingerieopt.ru/item/427-chulki-v-setku-s-kruzhevnoi-rezinkoi/","427")</f>
      </c>
      <c r="B7871" s="8" t="s">
        <v>7607</v>
      </c>
      <c r="C7871" s="9">
        <v>512</v>
      </c>
      <c r="D7871" s="0">
        <v>11</v>
      </c>
      <c r="E7871" s="10">
        <f>HYPERLINK("http://www.lingerieopt.ru/images/original/1b96167e-35c2-4b5d-9817-fe5759922812.jpg","Фото")</f>
      </c>
    </row>
    <row r="7872">
      <c r="A7872" s="7">
        <f>HYPERLINK("http://www.lingerieopt.ru/item/427-chulki-v-setku-s-kruzhevnoi-rezinkoi/","427")</f>
      </c>
      <c r="B7872" s="8" t="s">
        <v>7608</v>
      </c>
      <c r="C7872" s="9">
        <v>512</v>
      </c>
      <c r="D7872" s="0">
        <v>6</v>
      </c>
      <c r="E7872" s="10">
        <f>HYPERLINK("http://www.lingerieopt.ru/images/original/1b96167e-35c2-4b5d-9817-fe5759922812.jpg","Фото")</f>
      </c>
    </row>
    <row r="7873">
      <c r="A7873" s="7">
        <f>HYPERLINK("http://www.lingerieopt.ru/item/429-poyas-s-chulkoderzhatelyami-i-chulki-v-setku/","429")</f>
      </c>
      <c r="B7873" s="8" t="s">
        <v>7609</v>
      </c>
      <c r="C7873" s="9">
        <v>1186</v>
      </c>
      <c r="D7873" s="0">
        <v>13</v>
      </c>
      <c r="E7873" s="10">
        <f>HYPERLINK("http://www.lingerieopt.ru/images/original/52664e41-85ec-4d34-a3ff-636581b733df.jpg","Фото")</f>
      </c>
    </row>
    <row r="7874">
      <c r="A7874" s="7">
        <f>HYPERLINK("http://www.lingerieopt.ru/item/429-poyas-s-chulkoderzhatelyami-i-chulki-v-setku/","429")</f>
      </c>
      <c r="B7874" s="8" t="s">
        <v>7610</v>
      </c>
      <c r="C7874" s="9">
        <v>1186</v>
      </c>
      <c r="D7874" s="0">
        <v>17</v>
      </c>
      <c r="E7874" s="10">
        <f>HYPERLINK("http://www.lingerieopt.ru/images/original/52664e41-85ec-4d34-a3ff-636581b733df.jpg","Фото")</f>
      </c>
    </row>
    <row r="7875">
      <c r="A7875" s="7">
        <f>HYPERLINK("http://www.lingerieopt.ru/item/429-poyas-s-chulkoderzhatelyami-i-chulki-v-setku/","429")</f>
      </c>
      <c r="B7875" s="8" t="s">
        <v>7611</v>
      </c>
      <c r="C7875" s="9">
        <v>1186</v>
      </c>
      <c r="D7875" s="0">
        <v>0</v>
      </c>
      <c r="E7875" s="10">
        <f>HYPERLINK("http://www.lingerieopt.ru/images/original/52664e41-85ec-4d34-a3ff-636581b733df.jpg","Фото")</f>
      </c>
    </row>
    <row r="7876">
      <c r="A7876" s="7">
        <f>HYPERLINK("http://www.lingerieopt.ru/item/429-poyas-s-chulkoderzhatelyami-i-chulki-v-setku/","429")</f>
      </c>
      <c r="B7876" s="8" t="s">
        <v>7612</v>
      </c>
      <c r="C7876" s="9">
        <v>1186</v>
      </c>
      <c r="D7876" s="0">
        <v>10</v>
      </c>
      <c r="E7876" s="10">
        <f>HYPERLINK("http://www.lingerieopt.ru/images/original/52664e41-85ec-4d34-a3ff-636581b733df.jpg","Фото")</f>
      </c>
    </row>
    <row r="7877">
      <c r="A7877" s="7">
        <f>HYPERLINK("http://www.lingerieopt.ru/item/456-kruzhevnoi-poyas-dlya-chulok-s-trusikami-string/","456")</f>
      </c>
      <c r="B7877" s="8" t="s">
        <v>7613</v>
      </c>
      <c r="C7877" s="9">
        <v>1037</v>
      </c>
      <c r="D7877" s="0">
        <v>0</v>
      </c>
      <c r="E7877" s="10">
        <f>HYPERLINK("http://www.lingerieopt.ru/images/original/a9cb4fed-f764-4a67-a1b8-0fd780bee7d1.jpg","Фото")</f>
      </c>
    </row>
    <row r="7878">
      <c r="A7878" s="7">
        <f>HYPERLINK("http://www.lingerieopt.ru/item/456-kruzhevnoi-poyas-dlya-chulok-s-trusikami-string/","456")</f>
      </c>
      <c r="B7878" s="8" t="s">
        <v>7614</v>
      </c>
      <c r="C7878" s="9">
        <v>1037</v>
      </c>
      <c r="D7878" s="0">
        <v>9</v>
      </c>
      <c r="E7878" s="10">
        <f>HYPERLINK("http://www.lingerieopt.ru/images/original/a9cb4fed-f764-4a67-a1b8-0fd780bee7d1.jpg","Фото")</f>
      </c>
    </row>
    <row r="7879">
      <c r="A7879" s="7">
        <f>HYPERLINK("http://www.lingerieopt.ru/item/456-kruzhevnoi-poyas-dlya-chulok-s-trusikami-string/","456")</f>
      </c>
      <c r="B7879" s="8" t="s">
        <v>7615</v>
      </c>
      <c r="C7879" s="9">
        <v>1037</v>
      </c>
      <c r="D7879" s="0">
        <v>2</v>
      </c>
      <c r="E7879" s="10">
        <f>HYPERLINK("http://www.lingerieopt.ru/images/original/a9cb4fed-f764-4a67-a1b8-0fd780bee7d1.jpg","Фото")</f>
      </c>
    </row>
    <row r="7880">
      <c r="A7880" s="7">
        <f>HYPERLINK("http://www.lingerieopt.ru/item/456-kruzhevnoi-poyas-dlya-chulok-s-trusikami-string/","456")</f>
      </c>
      <c r="B7880" s="8" t="s">
        <v>7616</v>
      </c>
      <c r="C7880" s="9">
        <v>1037</v>
      </c>
      <c r="D7880" s="0">
        <v>5</v>
      </c>
      <c r="E7880" s="10">
        <f>HYPERLINK("http://www.lingerieopt.ru/images/original/a9cb4fed-f764-4a67-a1b8-0fd780bee7d1.jpg","Фото")</f>
      </c>
    </row>
    <row r="7881">
      <c r="A7881" s="7">
        <f>HYPERLINK("http://www.lingerieopt.ru/item/887-chulki-s-krasnjmi-bantami-doktor/","887")</f>
      </c>
      <c r="B7881" s="8" t="s">
        <v>7617</v>
      </c>
      <c r="C7881" s="9">
        <v>450</v>
      </c>
      <c r="D7881" s="0">
        <v>12</v>
      </c>
      <c r="E7881" s="10">
        <f>HYPERLINK("http://www.lingerieopt.ru/images/original/e8ce43d2-e883-466e-b3ad-b84b087007e6.jpg","Фото")</f>
      </c>
    </row>
    <row r="7882">
      <c r="A7882" s="7">
        <f>HYPERLINK("http://www.lingerieopt.ru/item/888-chernje-chulki-v-setku-so-znachkom-police/","888")</f>
      </c>
      <c r="B7882" s="8" t="s">
        <v>7618</v>
      </c>
      <c r="C7882" s="9">
        <v>505</v>
      </c>
      <c r="D7882" s="0">
        <v>2</v>
      </c>
      <c r="E7882" s="10">
        <f>HYPERLINK("http://www.lingerieopt.ru/images/original/e572ef30-0137-491e-994d-350987cd9369.jpg","Фото")</f>
      </c>
    </row>
    <row r="7883">
      <c r="A7883" s="7">
        <f>HYPERLINK("http://www.lingerieopt.ru/item/890-belje-chulki-c-beljmi-bantami-i-oborkami/","890")</f>
      </c>
      <c r="B7883" s="8" t="s">
        <v>7619</v>
      </c>
      <c r="C7883" s="9">
        <v>415</v>
      </c>
      <c r="D7883" s="0">
        <v>13</v>
      </c>
      <c r="E7883" s="10">
        <f>HYPERLINK("http://www.lingerieopt.ru/images/original/10797d03-e0ff-4c33-984d-e97569fd64aa.jpg","Фото")</f>
      </c>
    </row>
    <row r="7884">
      <c r="A7884" s="7">
        <f>HYPERLINK("http://www.lingerieopt.ru/item/892-novogodnie-chulki-s-bantami/","892")</f>
      </c>
      <c r="B7884" s="8" t="s">
        <v>7620</v>
      </c>
      <c r="C7884" s="9">
        <v>415</v>
      </c>
      <c r="D7884" s="0">
        <v>1</v>
      </c>
      <c r="E7884" s="10">
        <f>HYPERLINK("http://www.lingerieopt.ru/images/original/b67f7230-ed76-48ee-9dcd-abc8f6c22af3.jpg","Фото")</f>
      </c>
    </row>
    <row r="7885">
      <c r="A7885" s="7">
        <f>HYPERLINK("http://www.lingerieopt.ru/item/896-novogodnie-chulki-v-krupnuyu-setku/","896")</f>
      </c>
      <c r="B7885" s="8" t="s">
        <v>7621</v>
      </c>
      <c r="C7885" s="9">
        <v>415</v>
      </c>
      <c r="D7885" s="0">
        <v>2</v>
      </c>
      <c r="E7885" s="10">
        <f>HYPERLINK("http://www.lingerieopt.ru/images/original/0a23588a-31fa-4a12-ab07-623a9caa5b46.jpg","Фото")</f>
      </c>
    </row>
    <row r="7886">
      <c r="A7886" s="7">
        <f>HYPERLINK("http://www.lingerieopt.ru/item/897-chernje-chulki-s-gladkoi-rezinkoi/","897")</f>
      </c>
      <c r="B7886" s="8" t="s">
        <v>7622</v>
      </c>
      <c r="C7886" s="9">
        <v>316</v>
      </c>
      <c r="D7886" s="0">
        <v>1</v>
      </c>
      <c r="E7886" s="10">
        <f>HYPERLINK("http://www.lingerieopt.ru/images/original/29c17a20-b4e9-48dd-8fdb-863026e87655.jpg","Фото")</f>
      </c>
    </row>
    <row r="7887">
      <c r="A7887" s="7">
        <f>HYPERLINK("http://www.lingerieopt.ru/item/899-chernje-chulki-c-figurnjm-vjrezom-szadi/","899")</f>
      </c>
      <c r="B7887" s="8" t="s">
        <v>7623</v>
      </c>
      <c r="C7887" s="9">
        <v>415</v>
      </c>
      <c r="D7887" s="0">
        <v>4</v>
      </c>
      <c r="E7887" s="10">
        <f>HYPERLINK("http://www.lingerieopt.ru/images/original/5ea92af4-f663-4f46-8caa-e9e17c4d0e08.jpg","Фото")</f>
      </c>
    </row>
    <row r="7888">
      <c r="A7888" s="7">
        <f>HYPERLINK("http://www.lingerieopt.ru/item/900-chernje-chulki-c-bantami-i-oborkami/","900")</f>
      </c>
      <c r="B7888" s="8" t="s">
        <v>7624</v>
      </c>
      <c r="C7888" s="9">
        <v>343</v>
      </c>
      <c r="D7888" s="0">
        <v>1</v>
      </c>
      <c r="E7888" s="10">
        <f>HYPERLINK("http://www.lingerieopt.ru/images/original/e73f1de0-4726-47a5-b987-e86ac0f37e23.jpg","Фото")</f>
      </c>
    </row>
    <row r="7889">
      <c r="A7889" s="7">
        <f>HYPERLINK("http://www.lingerieopt.ru/item/902-chernje-chulki-v-setku-c-beljm-kruzhevnjm-verhom/","902")</f>
      </c>
      <c r="B7889" s="8" t="s">
        <v>7625</v>
      </c>
      <c r="C7889" s="9">
        <v>457</v>
      </c>
      <c r="D7889" s="0">
        <v>1</v>
      </c>
      <c r="E7889" s="10">
        <f>HYPERLINK("http://www.lingerieopt.ru/images/original/11846d62-2d28-4e8e-9148-ff2c333b4093.jpg","Фото")</f>
      </c>
    </row>
    <row r="7890">
      <c r="A7890" s="7">
        <f>HYPERLINK("http://www.lingerieopt.ru/item/903-chernje-chulki-v-setku-c-krasnjm-kruzhevnjm-verhom/","903")</f>
      </c>
      <c r="B7890" s="8" t="s">
        <v>7626</v>
      </c>
      <c r="C7890" s="9">
        <v>333</v>
      </c>
      <c r="D7890" s="0">
        <v>32</v>
      </c>
      <c r="E7890" s="10">
        <f>HYPERLINK("http://www.lingerieopt.ru/images/original/c1bb4b89-d13c-4922-96fc-e002ceb1f035.jpg","Фото")</f>
      </c>
    </row>
    <row r="7891">
      <c r="A7891" s="7">
        <f>HYPERLINK("http://www.lingerieopt.ru/item/905-plotnje-chernje-chulki-so-strazami/","905")</f>
      </c>
      <c r="B7891" s="8" t="s">
        <v>7627</v>
      </c>
      <c r="C7891" s="9">
        <v>453</v>
      </c>
      <c r="D7891" s="0">
        <v>1</v>
      </c>
      <c r="E7891" s="10">
        <f>HYPERLINK("http://www.lingerieopt.ru/images/original/ebbdf5ef-fa2a-4382-a3cc-5413867b12ad.jpg","Фото")</f>
      </c>
    </row>
    <row r="7892">
      <c r="A7892" s="7">
        <f>HYPERLINK("http://www.lingerieopt.ru/item/1134-komplekt-iz-kruzhevnogo-poyasa-i-trusikov-string/","1134")</f>
      </c>
      <c r="B7892" s="8" t="s">
        <v>7628</v>
      </c>
      <c r="C7892" s="9">
        <v>1178</v>
      </c>
      <c r="D7892" s="0">
        <v>1</v>
      </c>
      <c r="E7892" s="10">
        <f>HYPERLINK("http://www.lingerieopt.ru/images/original/be03c45b-a559-4766-b36d-e04f23c03c4d.jpg","Фото")</f>
      </c>
    </row>
    <row r="7893">
      <c r="A7893" s="7">
        <f>HYPERLINK("http://www.lingerieopt.ru/item/1134-komplekt-iz-kruzhevnogo-poyasa-i-trusikov-string/","1134")</f>
      </c>
      <c r="B7893" s="8" t="s">
        <v>7629</v>
      </c>
      <c r="C7893" s="9">
        <v>1178</v>
      </c>
      <c r="D7893" s="0">
        <v>0</v>
      </c>
      <c r="E7893" s="10">
        <f>HYPERLINK("http://www.lingerieopt.ru/images/original/be03c45b-a559-4766-b36d-e04f23c03c4d.jpg","Фото")</f>
      </c>
    </row>
    <row r="7894">
      <c r="A7894" s="7">
        <f>HYPERLINK("http://www.lingerieopt.ru/item/1134-komplekt-iz-kruzhevnogo-poyasa-i-trusikov-string/","1134")</f>
      </c>
      <c r="B7894" s="8" t="s">
        <v>7630</v>
      </c>
      <c r="C7894" s="9">
        <v>1178</v>
      </c>
      <c r="D7894" s="0">
        <v>0</v>
      </c>
      <c r="E7894" s="10">
        <f>HYPERLINK("http://www.lingerieopt.ru/images/original/be03c45b-a559-4766-b36d-e04f23c03c4d.jpg","Фото")</f>
      </c>
    </row>
    <row r="7895">
      <c r="A7895" s="7">
        <f>HYPERLINK("http://www.lingerieopt.ru/item/1134-komplekt-iz-kruzhevnogo-poyasa-i-trusikov-string/","1134")</f>
      </c>
      <c r="B7895" s="8" t="s">
        <v>7631</v>
      </c>
      <c r="C7895" s="9">
        <v>1178</v>
      </c>
      <c r="D7895" s="0">
        <v>0</v>
      </c>
      <c r="E7895" s="10">
        <f>HYPERLINK("http://www.lingerieopt.ru/images/original/be03c45b-a559-4766-b36d-e04f23c03c4d.jpg","Фото")</f>
      </c>
    </row>
    <row r="7896">
      <c r="A7896" s="7">
        <f>HYPERLINK("http://www.lingerieopt.ru/item/1168-klassicheskie-chulki-s-kruzhevnoi-rezinkoi-na-silikone/","1168")</f>
      </c>
      <c r="B7896" s="8" t="s">
        <v>7632</v>
      </c>
      <c r="C7896" s="9">
        <v>725</v>
      </c>
      <c r="D7896" s="0">
        <v>15</v>
      </c>
      <c r="E7896" s="10">
        <f>HYPERLINK("http://www.lingerieopt.ru/images/original/fe57e818-0b89-4e9f-97cb-96bc82da2e81.jpg","Фото")</f>
      </c>
    </row>
    <row r="7897">
      <c r="A7897" s="7">
        <f>HYPERLINK("http://www.lingerieopt.ru/item/1168-klassicheskie-chulki-s-kruzhevnoi-rezinkoi-na-silikone/","1168")</f>
      </c>
      <c r="B7897" s="8" t="s">
        <v>7633</v>
      </c>
      <c r="C7897" s="9">
        <v>725</v>
      </c>
      <c r="D7897" s="0">
        <v>7</v>
      </c>
      <c r="E7897" s="10">
        <f>HYPERLINK("http://www.lingerieopt.ru/images/original/fe57e818-0b89-4e9f-97cb-96bc82da2e81.jpg","Фото")</f>
      </c>
    </row>
    <row r="7898">
      <c r="A7898" s="7">
        <f>HYPERLINK("http://www.lingerieopt.ru/item/1168-klassicheskie-chulki-s-kruzhevnoi-rezinkoi-na-silikone/","1168")</f>
      </c>
      <c r="B7898" s="8" t="s">
        <v>7634</v>
      </c>
      <c r="C7898" s="9">
        <v>725</v>
      </c>
      <c r="D7898" s="0">
        <v>17</v>
      </c>
      <c r="E7898" s="10">
        <f>HYPERLINK("http://www.lingerieopt.ru/images/original/fe57e818-0b89-4e9f-97cb-96bc82da2e81.jpg","Фото")</f>
      </c>
    </row>
    <row r="7899">
      <c r="A7899" s="7">
        <f>HYPERLINK("http://www.lingerieopt.ru/item/1168-klassicheskie-chulki-s-kruzhevnoi-rezinkoi-na-silikone/","1168")</f>
      </c>
      <c r="B7899" s="8" t="s">
        <v>7635</v>
      </c>
      <c r="C7899" s="9">
        <v>725</v>
      </c>
      <c r="D7899" s="0">
        <v>7</v>
      </c>
      <c r="E7899" s="10">
        <f>HYPERLINK("http://www.lingerieopt.ru/images/original/fe57e818-0b89-4e9f-97cb-96bc82da2e81.jpg","Фото")</f>
      </c>
    </row>
    <row r="7900">
      <c r="A7900" s="7">
        <f>HYPERLINK("http://www.lingerieopt.ru/item/1168-klassicheskie-chulki-s-kruzhevnoi-rezinkoi-na-silikone/","1168")</f>
      </c>
      <c r="B7900" s="8" t="s">
        <v>7636</v>
      </c>
      <c r="C7900" s="9">
        <v>725</v>
      </c>
      <c r="D7900" s="0">
        <v>7</v>
      </c>
      <c r="E7900" s="10">
        <f>HYPERLINK("http://www.lingerieopt.ru/images/original/fe57e818-0b89-4e9f-97cb-96bc82da2e81.jpg","Фото")</f>
      </c>
    </row>
    <row r="7901">
      <c r="A7901" s="7">
        <f>HYPERLINK("http://www.lingerieopt.ru/item/1168-klassicheskie-chulki-s-kruzhevnoi-rezinkoi-na-silikone/","1168")</f>
      </c>
      <c r="B7901" s="8" t="s">
        <v>7637</v>
      </c>
      <c r="C7901" s="9">
        <v>725</v>
      </c>
      <c r="D7901" s="0">
        <v>18</v>
      </c>
      <c r="E7901" s="10">
        <f>HYPERLINK("http://www.lingerieopt.ru/images/original/fe57e818-0b89-4e9f-97cb-96bc82da2e81.jpg","Фото")</f>
      </c>
    </row>
    <row r="7902">
      <c r="A7902" s="7">
        <f>HYPERLINK("http://www.lingerieopt.ru/item/1168-klassicheskie-chulki-s-kruzhevnoi-rezinkoi-na-silikone/","1168")</f>
      </c>
      <c r="B7902" s="8" t="s">
        <v>7638</v>
      </c>
      <c r="C7902" s="9">
        <v>725</v>
      </c>
      <c r="D7902" s="0">
        <v>4</v>
      </c>
      <c r="E7902" s="10">
        <f>HYPERLINK("http://www.lingerieopt.ru/images/original/fe57e818-0b89-4e9f-97cb-96bc82da2e81.jpg","Фото")</f>
      </c>
    </row>
    <row r="7903">
      <c r="A7903" s="7">
        <f>HYPERLINK("http://www.lingerieopt.ru/item/1168-klassicheskie-chulki-s-kruzhevnoi-rezinkoi-na-silikone/","1168")</f>
      </c>
      <c r="B7903" s="8" t="s">
        <v>7639</v>
      </c>
      <c r="C7903" s="9">
        <v>725</v>
      </c>
      <c r="D7903" s="0">
        <v>3</v>
      </c>
      <c r="E7903" s="10">
        <f>HYPERLINK("http://www.lingerieopt.ru/images/original/fe57e818-0b89-4e9f-97cb-96bc82da2e81.jpg","Фото")</f>
      </c>
    </row>
    <row r="7904">
      <c r="A7904" s="7">
        <f>HYPERLINK("http://www.lingerieopt.ru/item/1168-klassicheskie-chulki-s-kruzhevnoi-rezinkoi-na-silikone/","1168")</f>
      </c>
      <c r="B7904" s="8" t="s">
        <v>7640</v>
      </c>
      <c r="C7904" s="9">
        <v>725</v>
      </c>
      <c r="D7904" s="0">
        <v>3</v>
      </c>
      <c r="E7904" s="10">
        <f>HYPERLINK("http://www.lingerieopt.ru/images/original/fe57e818-0b89-4e9f-97cb-96bc82da2e81.jpg","Фото")</f>
      </c>
    </row>
    <row r="7905">
      <c r="A7905" s="7">
        <f>HYPERLINK("http://www.lingerieopt.ru/item/1170-chulki-s-rezinkoi-bez-risunka/","1170")</f>
      </c>
      <c r="B7905" s="8" t="s">
        <v>7641</v>
      </c>
      <c r="C7905" s="9">
        <v>519</v>
      </c>
      <c r="D7905" s="0">
        <v>0</v>
      </c>
      <c r="E7905" s="10">
        <f>HYPERLINK("http://www.lingerieopt.ru/images/original/128d460c-dca9-432c-bcd8-7cc00b96dc17.jpg","Фото")</f>
      </c>
    </row>
    <row r="7906">
      <c r="A7906" s="7">
        <f>HYPERLINK("http://www.lingerieopt.ru/item/1170-chulki-s-rezinkoi-bez-risunka/","1170")</f>
      </c>
      <c r="B7906" s="8" t="s">
        <v>7642</v>
      </c>
      <c r="C7906" s="9">
        <v>519</v>
      </c>
      <c r="D7906" s="0">
        <v>8</v>
      </c>
      <c r="E7906" s="10">
        <f>HYPERLINK("http://www.lingerieopt.ru/images/original/128d460c-dca9-432c-bcd8-7cc00b96dc17.jpg","Фото")</f>
      </c>
    </row>
    <row r="7907">
      <c r="A7907" s="7">
        <f>HYPERLINK("http://www.lingerieopt.ru/item/1170-chulki-s-rezinkoi-bez-risunka/","1170")</f>
      </c>
      <c r="B7907" s="8" t="s">
        <v>7643</v>
      </c>
      <c r="C7907" s="9">
        <v>519</v>
      </c>
      <c r="D7907" s="0">
        <v>11</v>
      </c>
      <c r="E7907" s="10">
        <f>HYPERLINK("http://www.lingerieopt.ru/images/original/128d460c-dca9-432c-bcd8-7cc00b96dc17.jpg","Фото")</f>
      </c>
    </row>
    <row r="7908">
      <c r="A7908" s="7">
        <f>HYPERLINK("http://www.lingerieopt.ru/item/1170-chulki-s-rezinkoi-bez-risunka/","1170")</f>
      </c>
      <c r="B7908" s="8" t="s">
        <v>7644</v>
      </c>
      <c r="C7908" s="9">
        <v>519</v>
      </c>
      <c r="D7908" s="0">
        <v>11</v>
      </c>
      <c r="E7908" s="10">
        <f>HYPERLINK("http://www.lingerieopt.ru/images/original/128d460c-dca9-432c-bcd8-7cc00b96dc17.jpg","Фото")</f>
      </c>
    </row>
    <row r="7909">
      <c r="A7909" s="7">
        <f>HYPERLINK("http://www.lingerieopt.ru/item/1170-chulki-s-rezinkoi-bez-risunka/","1170")</f>
      </c>
      <c r="B7909" s="8" t="s">
        <v>7645</v>
      </c>
      <c r="C7909" s="9">
        <v>519</v>
      </c>
      <c r="D7909" s="0">
        <v>0</v>
      </c>
      <c r="E7909" s="10">
        <f>HYPERLINK("http://www.lingerieopt.ru/images/original/128d460c-dca9-432c-bcd8-7cc00b96dc17.jpg","Фото")</f>
      </c>
    </row>
    <row r="7910">
      <c r="A7910" s="7">
        <f>HYPERLINK("http://www.lingerieopt.ru/item/1170-chulki-s-rezinkoi-bez-risunka/","1170")</f>
      </c>
      <c r="B7910" s="8" t="s">
        <v>7646</v>
      </c>
      <c r="C7910" s="9">
        <v>519</v>
      </c>
      <c r="D7910" s="0">
        <v>0</v>
      </c>
      <c r="E7910" s="10">
        <f>HYPERLINK("http://www.lingerieopt.ru/images/original/128d460c-dca9-432c-bcd8-7cc00b96dc17.jpg","Фото")</f>
      </c>
    </row>
    <row r="7911">
      <c r="A7911" s="7">
        <f>HYPERLINK("http://www.lingerieopt.ru/item/1170-chulki-s-rezinkoi-bez-risunka/","1170")</f>
      </c>
      <c r="B7911" s="8" t="s">
        <v>7647</v>
      </c>
      <c r="C7911" s="9">
        <v>519</v>
      </c>
      <c r="D7911" s="0">
        <v>0</v>
      </c>
      <c r="E7911" s="10">
        <f>HYPERLINK("http://www.lingerieopt.ru/images/original/128d460c-dca9-432c-bcd8-7cc00b96dc17.jpg","Фото")</f>
      </c>
    </row>
    <row r="7912">
      <c r="A7912" s="7">
        <f>HYPERLINK("http://www.lingerieopt.ru/item/1170-chulki-s-rezinkoi-bez-risunka/","1170")</f>
      </c>
      <c r="B7912" s="8" t="s">
        <v>7648</v>
      </c>
      <c r="C7912" s="9">
        <v>519</v>
      </c>
      <c r="D7912" s="0">
        <v>11</v>
      </c>
      <c r="E7912" s="10">
        <f>HYPERLINK("http://www.lingerieopt.ru/images/original/128d460c-dca9-432c-bcd8-7cc00b96dc17.jpg","Фото")</f>
      </c>
    </row>
    <row r="7913">
      <c r="A7913" s="7">
        <f>HYPERLINK("http://www.lingerieopt.ru/item/1170-chulki-s-rezinkoi-bez-risunka/","1170")</f>
      </c>
      <c r="B7913" s="8" t="s">
        <v>7649</v>
      </c>
      <c r="C7913" s="9">
        <v>519</v>
      </c>
      <c r="D7913" s="0">
        <v>8</v>
      </c>
      <c r="E7913" s="10">
        <f>HYPERLINK("http://www.lingerieopt.ru/images/original/128d460c-dca9-432c-bcd8-7cc00b96dc17.jpg","Фото")</f>
      </c>
    </row>
    <row r="7914">
      <c r="A7914" s="7">
        <f>HYPERLINK("http://www.lingerieopt.ru/item/1171-chulki-v-setku-na-kruzhevnoi-rezinke-s-silikonovjmi-poloskami/","1171")</f>
      </c>
      <c r="B7914" s="8" t="s">
        <v>7650</v>
      </c>
      <c r="C7914" s="9">
        <v>594</v>
      </c>
      <c r="D7914" s="0">
        <v>13</v>
      </c>
      <c r="E7914" s="10">
        <f>HYPERLINK("http://www.lingerieopt.ru/images/original/3c50b44a-5764-48e6-995f-e45999a7c02c.jpg","Фото")</f>
      </c>
    </row>
    <row r="7915">
      <c r="A7915" s="7">
        <f>HYPERLINK("http://www.lingerieopt.ru/item/1171-chulki-v-setku-na-kruzhevnoi-rezinke-s-silikonovjmi-poloskami/","1171")</f>
      </c>
      <c r="B7915" s="8" t="s">
        <v>7651</v>
      </c>
      <c r="C7915" s="9">
        <v>594</v>
      </c>
      <c r="D7915" s="0">
        <v>12</v>
      </c>
      <c r="E7915" s="10">
        <f>HYPERLINK("http://www.lingerieopt.ru/images/original/3c50b44a-5764-48e6-995f-e45999a7c02c.jpg","Фото")</f>
      </c>
    </row>
    <row r="7916">
      <c r="A7916" s="7">
        <f>HYPERLINK("http://www.lingerieopt.ru/item/1171-chulki-v-setku-na-kruzhevnoi-rezinke-s-silikonovjmi-poloskami/","1171")</f>
      </c>
      <c r="B7916" s="8" t="s">
        <v>7652</v>
      </c>
      <c r="C7916" s="9">
        <v>594</v>
      </c>
      <c r="D7916" s="0">
        <v>8</v>
      </c>
      <c r="E7916" s="10">
        <f>HYPERLINK("http://www.lingerieopt.ru/images/original/3c50b44a-5764-48e6-995f-e45999a7c02c.jpg","Фото")</f>
      </c>
    </row>
    <row r="7917">
      <c r="A7917" s="7">
        <f>HYPERLINK("http://www.lingerieopt.ru/item/1171-chulki-v-setku-na-kruzhevnoi-rezinke-s-silikonovjmi-poloskami/","1171")</f>
      </c>
      <c r="B7917" s="8" t="s">
        <v>7653</v>
      </c>
      <c r="C7917" s="9">
        <v>594</v>
      </c>
      <c r="D7917" s="0">
        <v>9</v>
      </c>
      <c r="E7917" s="10">
        <f>HYPERLINK("http://www.lingerieopt.ru/images/original/3c50b44a-5764-48e6-995f-e45999a7c02c.jpg","Фото")</f>
      </c>
    </row>
    <row r="7918">
      <c r="A7918" s="7">
        <f>HYPERLINK("http://www.lingerieopt.ru/item/1171-chulki-v-setku-na-kruzhevnoi-rezinke-s-silikonovjmi-poloskami/","1171")</f>
      </c>
      <c r="B7918" s="8" t="s">
        <v>7654</v>
      </c>
      <c r="C7918" s="9">
        <v>594</v>
      </c>
      <c r="D7918" s="0">
        <v>0</v>
      </c>
      <c r="E7918" s="10">
        <f>HYPERLINK("http://www.lingerieopt.ru/images/original/3c50b44a-5764-48e6-995f-e45999a7c02c.jpg","Фото")</f>
      </c>
    </row>
    <row r="7919">
      <c r="A7919" s="7">
        <f>HYPERLINK("http://www.lingerieopt.ru/item/1171-chulki-v-setku-na-kruzhevnoi-rezinke-s-silikonovjmi-poloskami/","1171")</f>
      </c>
      <c r="B7919" s="8" t="s">
        <v>7655</v>
      </c>
      <c r="C7919" s="9">
        <v>594</v>
      </c>
      <c r="D7919" s="0">
        <v>11</v>
      </c>
      <c r="E7919" s="10">
        <f>HYPERLINK("http://www.lingerieopt.ru/images/original/3c50b44a-5764-48e6-995f-e45999a7c02c.jpg","Фото")</f>
      </c>
    </row>
    <row r="7920">
      <c r="A7920" s="7">
        <f>HYPERLINK("http://www.lingerieopt.ru/item/1171-chulki-v-setku-na-kruzhevnoi-rezinke-s-silikonovjmi-poloskami/","1171")</f>
      </c>
      <c r="B7920" s="8" t="s">
        <v>7656</v>
      </c>
      <c r="C7920" s="9">
        <v>594</v>
      </c>
      <c r="D7920" s="0">
        <v>33</v>
      </c>
      <c r="E7920" s="10">
        <f>HYPERLINK("http://www.lingerieopt.ru/images/original/3c50b44a-5764-48e6-995f-e45999a7c02c.jpg","Фото")</f>
      </c>
    </row>
    <row r="7921">
      <c r="A7921" s="7">
        <f>HYPERLINK("http://www.lingerieopt.ru/item/1171-chulki-v-setku-na-kruzhevnoi-rezinke-s-silikonovjmi-poloskami/","1171")</f>
      </c>
      <c r="B7921" s="8" t="s">
        <v>7657</v>
      </c>
      <c r="C7921" s="9">
        <v>594</v>
      </c>
      <c r="D7921" s="0">
        <v>14</v>
      </c>
      <c r="E7921" s="10">
        <f>HYPERLINK("http://www.lingerieopt.ru/images/original/3c50b44a-5764-48e6-995f-e45999a7c02c.jpg","Фото")</f>
      </c>
    </row>
    <row r="7922">
      <c r="A7922" s="7">
        <f>HYPERLINK("http://www.lingerieopt.ru/item/1171-chulki-v-setku-na-kruzhevnoi-rezinke-s-silikonovjmi-poloskami/","1171")</f>
      </c>
      <c r="B7922" s="8" t="s">
        <v>7658</v>
      </c>
      <c r="C7922" s="9">
        <v>594</v>
      </c>
      <c r="D7922" s="0">
        <v>5</v>
      </c>
      <c r="E7922" s="10">
        <f>HYPERLINK("http://www.lingerieopt.ru/images/original/3c50b44a-5764-48e6-995f-e45999a7c02c.jpg","Фото")</f>
      </c>
    </row>
    <row r="7923">
      <c r="A7923" s="7">
        <f>HYPERLINK("http://www.lingerieopt.ru/item/1172-chulki-v-krupnuyu-setku-na-kruzhevnoi-rezinke-s-silikonovjmi-poloskami/","1172")</f>
      </c>
      <c r="B7923" s="8" t="s">
        <v>7659</v>
      </c>
      <c r="C7923" s="9">
        <v>502</v>
      </c>
      <c r="D7923" s="0">
        <v>10</v>
      </c>
      <c r="E7923" s="10">
        <f>HYPERLINK("http://www.lingerieopt.ru/images/original/97f6fd75-2e98-499e-8803-1703a78af4c6.jpg","Фото")</f>
      </c>
    </row>
    <row r="7924">
      <c r="A7924" s="7">
        <f>HYPERLINK("http://www.lingerieopt.ru/item/1172-chulki-v-krupnuyu-setku-na-kruzhevnoi-rezinke-s-silikonovjmi-poloskami/","1172")</f>
      </c>
      <c r="B7924" s="8" t="s">
        <v>7660</v>
      </c>
      <c r="C7924" s="9">
        <v>502</v>
      </c>
      <c r="D7924" s="0">
        <v>2</v>
      </c>
      <c r="E7924" s="10">
        <f>HYPERLINK("http://www.lingerieopt.ru/images/original/97f6fd75-2e98-499e-8803-1703a78af4c6.jpg","Фото")</f>
      </c>
    </row>
    <row r="7925">
      <c r="A7925" s="7">
        <f>HYPERLINK("http://www.lingerieopt.ru/item/1172-chulki-v-krupnuyu-setku-na-kruzhevnoi-rezinke-s-silikonovjmi-poloskami/","1172")</f>
      </c>
      <c r="B7925" s="8" t="s">
        <v>7661</v>
      </c>
      <c r="C7925" s="9">
        <v>502</v>
      </c>
      <c r="D7925" s="0">
        <v>3</v>
      </c>
      <c r="E7925" s="10">
        <f>HYPERLINK("http://www.lingerieopt.ru/images/original/97f6fd75-2e98-499e-8803-1703a78af4c6.jpg","Фото")</f>
      </c>
    </row>
    <row r="7926">
      <c r="A7926" s="7">
        <f>HYPERLINK("http://www.lingerieopt.ru/item/1172-chulki-v-krupnuyu-setku-na-kruzhevnoi-rezinke-s-silikonovjmi-poloskami/","1172")</f>
      </c>
      <c r="B7926" s="8" t="s">
        <v>7662</v>
      </c>
      <c r="C7926" s="9">
        <v>502</v>
      </c>
      <c r="D7926" s="0">
        <v>10</v>
      </c>
      <c r="E7926" s="10">
        <f>HYPERLINK("http://www.lingerieopt.ru/images/original/97f6fd75-2e98-499e-8803-1703a78af4c6.jpg","Фото")</f>
      </c>
    </row>
    <row r="7927">
      <c r="A7927" s="7">
        <f>HYPERLINK("http://www.lingerieopt.ru/item/1172-chulki-v-krupnuyu-setku-na-kruzhevnoi-rezinke-s-silikonovjmi-poloskami/","1172")</f>
      </c>
      <c r="B7927" s="8" t="s">
        <v>7663</v>
      </c>
      <c r="C7927" s="9">
        <v>502</v>
      </c>
      <c r="D7927" s="0">
        <v>0</v>
      </c>
      <c r="E7927" s="10">
        <f>HYPERLINK("http://www.lingerieopt.ru/images/original/97f6fd75-2e98-499e-8803-1703a78af4c6.jpg","Фото")</f>
      </c>
    </row>
    <row r="7928">
      <c r="A7928" s="7">
        <f>HYPERLINK("http://www.lingerieopt.ru/item/1172-chulki-v-krupnuyu-setku-na-kruzhevnoi-rezinke-s-silikonovjmi-poloskami/","1172")</f>
      </c>
      <c r="B7928" s="8" t="s">
        <v>7664</v>
      </c>
      <c r="C7928" s="9">
        <v>502</v>
      </c>
      <c r="D7928" s="0">
        <v>0</v>
      </c>
      <c r="E7928" s="10">
        <f>HYPERLINK("http://www.lingerieopt.ru/images/original/97f6fd75-2e98-499e-8803-1703a78af4c6.jpg","Фото")</f>
      </c>
    </row>
    <row r="7929">
      <c r="A7929" s="7">
        <f>HYPERLINK("http://www.lingerieopt.ru/item/1172-chulki-v-krupnuyu-setku-na-kruzhevnoi-rezinke-s-silikonovjmi-poloskami/","1172")</f>
      </c>
      <c r="B7929" s="8" t="s">
        <v>7665</v>
      </c>
      <c r="C7929" s="9">
        <v>502</v>
      </c>
      <c r="D7929" s="0">
        <v>10</v>
      </c>
      <c r="E7929" s="10">
        <f>HYPERLINK("http://www.lingerieopt.ru/images/original/97f6fd75-2e98-499e-8803-1703a78af4c6.jpg","Фото")</f>
      </c>
    </row>
    <row r="7930">
      <c r="A7930" s="7">
        <f>HYPERLINK("http://www.lingerieopt.ru/item/1172-chulki-v-krupnuyu-setku-na-kruzhevnoi-rezinke-s-silikonovjmi-poloskami/","1172")</f>
      </c>
      <c r="B7930" s="8" t="s">
        <v>7666</v>
      </c>
      <c r="C7930" s="9">
        <v>502</v>
      </c>
      <c r="D7930" s="0">
        <v>7</v>
      </c>
      <c r="E7930" s="10">
        <f>HYPERLINK("http://www.lingerieopt.ru/images/original/97f6fd75-2e98-499e-8803-1703a78af4c6.jpg","Фото")</f>
      </c>
    </row>
    <row r="7931">
      <c r="A7931" s="7">
        <f>HYPERLINK("http://www.lingerieopt.ru/item/1172-chulki-v-krupnuyu-setku-na-kruzhevnoi-rezinke-s-silikonovjmi-poloskami/","1172")</f>
      </c>
      <c r="B7931" s="8" t="s">
        <v>7667</v>
      </c>
      <c r="C7931" s="9">
        <v>502</v>
      </c>
      <c r="D7931" s="0">
        <v>0</v>
      </c>
      <c r="E7931" s="10">
        <f>HYPERLINK("http://www.lingerieopt.ru/images/original/97f6fd75-2e98-499e-8803-1703a78af4c6.jpg","Фото")</f>
      </c>
    </row>
    <row r="7932">
      <c r="A7932" s="7">
        <f>HYPERLINK("http://www.lingerieopt.ru/item/1174-klassicheskie-chulki-s-kruzhevnoi-rezinkoi-na-silikone/","1174")</f>
      </c>
      <c r="B7932" s="8" t="s">
        <v>7668</v>
      </c>
      <c r="C7932" s="9">
        <v>796</v>
      </c>
      <c r="D7932" s="0">
        <v>5</v>
      </c>
      <c r="E7932" s="10">
        <f>HYPERLINK("http://www.lingerieopt.ru/images/original/c71a4bb8-d543-4d02-ad00-e7357385415e.jpg","Фото")</f>
      </c>
    </row>
    <row r="7933">
      <c r="A7933" s="7">
        <f>HYPERLINK("http://www.lingerieopt.ru/item/1174-klassicheskie-chulki-s-kruzhevnoi-rezinkoi-na-silikone/","1174")</f>
      </c>
      <c r="B7933" s="8" t="s">
        <v>7669</v>
      </c>
      <c r="C7933" s="9">
        <v>796</v>
      </c>
      <c r="D7933" s="0">
        <v>5</v>
      </c>
      <c r="E7933" s="10">
        <f>HYPERLINK("http://www.lingerieopt.ru/images/original/c71a4bb8-d543-4d02-ad00-e7357385415e.jpg","Фото")</f>
      </c>
    </row>
    <row r="7934">
      <c r="A7934" s="7">
        <f>HYPERLINK("http://www.lingerieopt.ru/item/1174-klassicheskie-chulki-s-kruzhevnoi-rezinkoi-na-silikone/","1174")</f>
      </c>
      <c r="B7934" s="8" t="s">
        <v>7670</v>
      </c>
      <c r="C7934" s="9">
        <v>796</v>
      </c>
      <c r="D7934" s="0">
        <v>2</v>
      </c>
      <c r="E7934" s="10">
        <f>HYPERLINK("http://www.lingerieopt.ru/images/original/c71a4bb8-d543-4d02-ad00-e7357385415e.jpg","Фото")</f>
      </c>
    </row>
    <row r="7935">
      <c r="A7935" s="7">
        <f>HYPERLINK("http://www.lingerieopt.ru/item/1174-klassicheskie-chulki-s-kruzhevnoi-rezinkoi-na-silikone/","1174")</f>
      </c>
      <c r="B7935" s="8" t="s">
        <v>7671</v>
      </c>
      <c r="C7935" s="9">
        <v>796</v>
      </c>
      <c r="D7935" s="0">
        <v>3</v>
      </c>
      <c r="E7935" s="10">
        <f>HYPERLINK("http://www.lingerieopt.ru/images/original/c71a4bb8-d543-4d02-ad00-e7357385415e.jpg","Фото")</f>
      </c>
    </row>
    <row r="7936">
      <c r="A7936" s="7">
        <f>HYPERLINK("http://www.lingerieopt.ru/item/1174-klassicheskie-chulki-s-kruzhevnoi-rezinkoi-na-silikone/","1174")</f>
      </c>
      <c r="B7936" s="8" t="s">
        <v>7672</v>
      </c>
      <c r="C7936" s="9">
        <v>796</v>
      </c>
      <c r="D7936" s="0">
        <v>14</v>
      </c>
      <c r="E7936" s="10">
        <f>HYPERLINK("http://www.lingerieopt.ru/images/original/c71a4bb8-d543-4d02-ad00-e7357385415e.jpg","Фото")</f>
      </c>
    </row>
    <row r="7937">
      <c r="A7937" s="7">
        <f>HYPERLINK("http://www.lingerieopt.ru/item/1174-klassicheskie-chulki-s-kruzhevnoi-rezinkoi-na-silikone/","1174")</f>
      </c>
      <c r="B7937" s="8" t="s">
        <v>7673</v>
      </c>
      <c r="C7937" s="9">
        <v>796</v>
      </c>
      <c r="D7937" s="0">
        <v>11</v>
      </c>
      <c r="E7937" s="10">
        <f>HYPERLINK("http://www.lingerieopt.ru/images/original/c71a4bb8-d543-4d02-ad00-e7357385415e.jpg","Фото")</f>
      </c>
    </row>
    <row r="7938">
      <c r="A7938" s="7">
        <f>HYPERLINK("http://www.lingerieopt.ru/item/1176-chulki-s-rezinkoi-bez-risunka/","1176")</f>
      </c>
      <c r="B7938" s="8" t="s">
        <v>7644</v>
      </c>
      <c r="C7938" s="9">
        <v>519</v>
      </c>
      <c r="D7938" s="0">
        <v>11</v>
      </c>
      <c r="E7938" s="10">
        <f>HYPERLINK("http://www.lingerieopt.ru/images/original/cc67ce6d-6afa-48e2-a4c9-57b8fabebe30.jpg","Фото")</f>
      </c>
    </row>
    <row r="7939">
      <c r="A7939" s="7">
        <f>HYPERLINK("http://www.lingerieopt.ru/item/1176-chulki-s-rezinkoi-bez-risunka/","1176")</f>
      </c>
      <c r="B7939" s="8" t="s">
        <v>7641</v>
      </c>
      <c r="C7939" s="9">
        <v>519</v>
      </c>
      <c r="D7939" s="0">
        <v>0</v>
      </c>
      <c r="E7939" s="10">
        <f>HYPERLINK("http://www.lingerieopt.ru/images/original/cc67ce6d-6afa-48e2-a4c9-57b8fabebe30.jpg","Фото")</f>
      </c>
    </row>
    <row r="7940">
      <c r="A7940" s="7">
        <f>HYPERLINK("http://www.lingerieopt.ru/item/1176-chulki-s-rezinkoi-bez-risunka/","1176")</f>
      </c>
      <c r="B7940" s="8" t="s">
        <v>7642</v>
      </c>
      <c r="C7940" s="9">
        <v>519</v>
      </c>
      <c r="D7940" s="0">
        <v>8</v>
      </c>
      <c r="E7940" s="10">
        <f>HYPERLINK("http://www.lingerieopt.ru/images/original/cc67ce6d-6afa-48e2-a4c9-57b8fabebe30.jpg","Фото")</f>
      </c>
    </row>
    <row r="7941">
      <c r="A7941" s="7">
        <f>HYPERLINK("http://www.lingerieopt.ru/item/1176-chulki-s-rezinkoi-bez-risunka/","1176")</f>
      </c>
      <c r="B7941" s="8" t="s">
        <v>7649</v>
      </c>
      <c r="C7941" s="9">
        <v>519</v>
      </c>
      <c r="D7941" s="0">
        <v>8</v>
      </c>
      <c r="E7941" s="10">
        <f>HYPERLINK("http://www.lingerieopt.ru/images/original/cc67ce6d-6afa-48e2-a4c9-57b8fabebe30.jpg","Фото")</f>
      </c>
    </row>
    <row r="7942">
      <c r="A7942" s="7">
        <f>HYPERLINK("http://www.lingerieopt.ru/item/1177-chulki-s-kruzhevnoi-rezinkoi/","1177")</f>
      </c>
      <c r="B7942" s="8" t="s">
        <v>7674</v>
      </c>
      <c r="C7942" s="9">
        <v>640</v>
      </c>
      <c r="D7942" s="0">
        <v>0</v>
      </c>
      <c r="E7942" s="10">
        <f>HYPERLINK("http://www.lingerieopt.ru/images/original/a9fa16e4-0361-4c49-a2bc-2129508626e7.jpg","Фото")</f>
      </c>
    </row>
    <row r="7943">
      <c r="A7943" s="7">
        <f>HYPERLINK("http://www.lingerieopt.ru/item/1177-chulki-s-kruzhevnoi-rezinkoi/","1177")</f>
      </c>
      <c r="B7943" s="8" t="s">
        <v>7675</v>
      </c>
      <c r="C7943" s="9">
        <v>640</v>
      </c>
      <c r="D7943" s="0">
        <v>14</v>
      </c>
      <c r="E7943" s="10">
        <f>HYPERLINK("http://www.lingerieopt.ru/images/original/a9fa16e4-0361-4c49-a2bc-2129508626e7.jpg","Фото")</f>
      </c>
    </row>
    <row r="7944">
      <c r="A7944" s="7">
        <f>HYPERLINK("http://www.lingerieopt.ru/item/1177-chulki-s-kruzhevnoi-rezinkoi/","1177")</f>
      </c>
      <c r="B7944" s="8" t="s">
        <v>7676</v>
      </c>
      <c r="C7944" s="9">
        <v>640</v>
      </c>
      <c r="D7944" s="0">
        <v>2</v>
      </c>
      <c r="E7944" s="10">
        <f>HYPERLINK("http://www.lingerieopt.ru/images/original/a9fa16e4-0361-4c49-a2bc-2129508626e7.jpg","Фото")</f>
      </c>
    </row>
    <row r="7945">
      <c r="A7945" s="7">
        <f>HYPERLINK("http://www.lingerieopt.ru/item/1177-chulki-s-kruzhevnoi-rezinkoi/","1177")</f>
      </c>
      <c r="B7945" s="8" t="s">
        <v>7677</v>
      </c>
      <c r="C7945" s="9">
        <v>640</v>
      </c>
      <c r="D7945" s="0">
        <v>8</v>
      </c>
      <c r="E7945" s="10">
        <f>HYPERLINK("http://www.lingerieopt.ru/images/original/a9fa16e4-0361-4c49-a2bc-2129508626e7.jpg","Фото")</f>
      </c>
    </row>
    <row r="7946">
      <c r="A7946" s="7">
        <f>HYPERLINK("http://www.lingerieopt.ru/item/1177-chulki-s-kruzhevnoi-rezinkoi/","1177")</f>
      </c>
      <c r="B7946" s="8" t="s">
        <v>7678</v>
      </c>
      <c r="C7946" s="9">
        <v>640</v>
      </c>
      <c r="D7946" s="0">
        <v>13</v>
      </c>
      <c r="E7946" s="10">
        <f>HYPERLINK("http://www.lingerieopt.ru/images/original/a9fa16e4-0361-4c49-a2bc-2129508626e7.jpg","Фото")</f>
      </c>
    </row>
    <row r="7947">
      <c r="A7947" s="7">
        <f>HYPERLINK("http://www.lingerieopt.ru/item/1177-chulki-s-kruzhevnoi-rezinkoi/","1177")</f>
      </c>
      <c r="B7947" s="8" t="s">
        <v>7679</v>
      </c>
      <c r="C7947" s="9">
        <v>640</v>
      </c>
      <c r="D7947" s="0">
        <v>5</v>
      </c>
      <c r="E7947" s="10">
        <f>HYPERLINK("http://www.lingerieopt.ru/images/original/a9fa16e4-0361-4c49-a2bc-2129508626e7.jpg","Фото")</f>
      </c>
    </row>
    <row r="7948">
      <c r="A7948" s="7">
        <f>HYPERLINK("http://www.lingerieopt.ru/item/1178-chulki-v-setku-s-kruzhevnoi-rezinkoi/","1178")</f>
      </c>
      <c r="B7948" s="8" t="s">
        <v>7680</v>
      </c>
      <c r="C7948" s="9">
        <v>594</v>
      </c>
      <c r="D7948" s="0">
        <v>0</v>
      </c>
      <c r="E7948" s="10">
        <f>HYPERLINK("http://www.lingerieopt.ru/images/original/edae0c05-2684-4e96-b031-d72577366955.jpg","Фото")</f>
      </c>
    </row>
    <row r="7949">
      <c r="A7949" s="7">
        <f>HYPERLINK("http://www.lingerieopt.ru/item/1178-chulki-v-setku-s-kruzhevnoi-rezinkoi/","1178")</f>
      </c>
      <c r="B7949" s="8" t="s">
        <v>7681</v>
      </c>
      <c r="C7949" s="9">
        <v>594</v>
      </c>
      <c r="D7949" s="0">
        <v>3</v>
      </c>
      <c r="E7949" s="10">
        <f>HYPERLINK("http://www.lingerieopt.ru/images/original/edae0c05-2684-4e96-b031-d72577366955.jpg","Фото")</f>
      </c>
    </row>
    <row r="7950">
      <c r="A7950" s="7">
        <f>HYPERLINK("http://www.lingerieopt.ru/item/1178-chulki-v-setku-s-kruzhevnoi-rezinkoi/","1178")</f>
      </c>
      <c r="B7950" s="8" t="s">
        <v>7682</v>
      </c>
      <c r="C7950" s="9">
        <v>594</v>
      </c>
      <c r="D7950" s="0">
        <v>12</v>
      </c>
      <c r="E7950" s="10">
        <f>HYPERLINK("http://www.lingerieopt.ru/images/original/edae0c05-2684-4e96-b031-d72577366955.jpg","Фото")</f>
      </c>
    </row>
    <row r="7951">
      <c r="A7951" s="7">
        <f>HYPERLINK("http://www.lingerieopt.ru/item/1178-chulki-v-setku-s-kruzhevnoi-rezinkoi/","1178")</f>
      </c>
      <c r="B7951" s="8" t="s">
        <v>7683</v>
      </c>
      <c r="C7951" s="9">
        <v>594</v>
      </c>
      <c r="D7951" s="0">
        <v>4</v>
      </c>
      <c r="E7951" s="10">
        <f>HYPERLINK("http://www.lingerieopt.ru/images/original/edae0c05-2684-4e96-b031-d72577366955.jpg","Фото")</f>
      </c>
    </row>
    <row r="7952">
      <c r="A7952" s="7">
        <f>HYPERLINK("http://www.lingerieopt.ru/item/1178-chulki-v-setku-s-kruzhevnoi-rezinkoi/","1178")</f>
      </c>
      <c r="B7952" s="8" t="s">
        <v>7684</v>
      </c>
      <c r="C7952" s="9">
        <v>594</v>
      </c>
      <c r="D7952" s="0">
        <v>7</v>
      </c>
      <c r="E7952" s="10">
        <f>HYPERLINK("http://www.lingerieopt.ru/images/original/edae0c05-2684-4e96-b031-d72577366955.jpg","Фото")</f>
      </c>
    </row>
    <row r="7953">
      <c r="A7953" s="7">
        <f>HYPERLINK("http://www.lingerieopt.ru/item/1179-chulki-v-setku-na-kruzhevnoi-rezinke-s-silikonovjmi-poloskami/","1179")</f>
      </c>
      <c r="B7953" s="8" t="s">
        <v>7685</v>
      </c>
      <c r="C7953" s="9">
        <v>647</v>
      </c>
      <c r="D7953" s="0">
        <v>7</v>
      </c>
      <c r="E7953" s="10">
        <f>HYPERLINK("http://www.lingerieopt.ru/images/original/97366864-ee0f-4c8d-b513-b804b8df3d56.jpg","Фото")</f>
      </c>
    </row>
    <row r="7954">
      <c r="A7954" s="7">
        <f>HYPERLINK("http://www.lingerieopt.ru/item/1179-chulki-v-setku-na-kruzhevnoi-rezinke-s-silikonovjmi-poloskami/","1179")</f>
      </c>
      <c r="B7954" s="8" t="s">
        <v>7686</v>
      </c>
      <c r="C7954" s="9">
        <v>647</v>
      </c>
      <c r="D7954" s="0">
        <v>0</v>
      </c>
      <c r="E7954" s="10">
        <f>HYPERLINK("http://www.lingerieopt.ru/images/original/97366864-ee0f-4c8d-b513-b804b8df3d56.jpg","Фото")</f>
      </c>
    </row>
    <row r="7955">
      <c r="A7955" s="7">
        <f>HYPERLINK("http://www.lingerieopt.ru/item/1179-chulki-v-setku-na-kruzhevnoi-rezinke-s-silikonovjmi-poloskami/","1179")</f>
      </c>
      <c r="B7955" s="8" t="s">
        <v>7687</v>
      </c>
      <c r="C7955" s="9">
        <v>647</v>
      </c>
      <c r="D7955" s="0">
        <v>0</v>
      </c>
      <c r="E7955" s="10">
        <f>HYPERLINK("http://www.lingerieopt.ru/images/original/97366864-ee0f-4c8d-b513-b804b8df3d56.jpg","Фото")</f>
      </c>
    </row>
    <row r="7956">
      <c r="A7956" s="7">
        <f>HYPERLINK("http://www.lingerieopt.ru/item/1179-chulki-v-setku-na-kruzhevnoi-rezinke-s-silikonovjmi-poloskami/","1179")</f>
      </c>
      <c r="B7956" s="8" t="s">
        <v>7688</v>
      </c>
      <c r="C7956" s="9">
        <v>647</v>
      </c>
      <c r="D7956" s="0">
        <v>7</v>
      </c>
      <c r="E7956" s="10">
        <f>HYPERLINK("http://www.lingerieopt.ru/images/original/97366864-ee0f-4c8d-b513-b804b8df3d56.jpg","Фото")</f>
      </c>
    </row>
    <row r="7957">
      <c r="A7957" s="7">
        <f>HYPERLINK("http://www.lingerieopt.ru/item/1179-chulki-v-setku-na-kruzhevnoi-rezinke-s-silikonovjmi-poloskami/","1179")</f>
      </c>
      <c r="B7957" s="8" t="s">
        <v>7689</v>
      </c>
      <c r="C7957" s="9">
        <v>647</v>
      </c>
      <c r="D7957" s="0">
        <v>10</v>
      </c>
      <c r="E7957" s="10">
        <f>HYPERLINK("http://www.lingerieopt.ru/images/original/97366864-ee0f-4c8d-b513-b804b8df3d56.jpg","Фото")</f>
      </c>
    </row>
    <row r="7958">
      <c r="A7958" s="7">
        <f>HYPERLINK("http://www.lingerieopt.ru/item/1179-chulki-v-setku-na-kruzhevnoi-rezinke-s-silikonovjmi-poloskami/","1179")</f>
      </c>
      <c r="B7958" s="8" t="s">
        <v>7690</v>
      </c>
      <c r="C7958" s="9">
        <v>647</v>
      </c>
      <c r="D7958" s="0">
        <v>5</v>
      </c>
      <c r="E7958" s="10">
        <f>HYPERLINK("http://www.lingerieopt.ru/images/original/97366864-ee0f-4c8d-b513-b804b8df3d56.jpg","Фото")</f>
      </c>
    </row>
    <row r="7959">
      <c r="A7959" s="7">
        <f>HYPERLINK("http://www.lingerieopt.ru/item/1180-chulki-v-krupnuyu-setku-na-kruzhevnoi-rezinke-s-silikonovjmi-poloskami/","1180")</f>
      </c>
      <c r="B7959" s="8" t="s">
        <v>7691</v>
      </c>
      <c r="C7959" s="9">
        <v>647</v>
      </c>
      <c r="D7959" s="0">
        <v>2</v>
      </c>
      <c r="E7959" s="10">
        <f>HYPERLINK("http://www.lingerieopt.ru/images/original/64de23cb-8bd6-4c1b-acdf-618d3a2ca142.jpg","Фото")</f>
      </c>
    </row>
    <row r="7960">
      <c r="A7960" s="7">
        <f>HYPERLINK("http://www.lingerieopt.ru/item/1180-chulki-v-krupnuyu-setku-na-kruzhevnoi-rezinke-s-silikonovjmi-poloskami/","1180")</f>
      </c>
      <c r="B7960" s="8" t="s">
        <v>7692</v>
      </c>
      <c r="C7960" s="9">
        <v>647</v>
      </c>
      <c r="D7960" s="0">
        <v>0</v>
      </c>
      <c r="E7960" s="10">
        <f>HYPERLINK("http://www.lingerieopt.ru/images/original/64de23cb-8bd6-4c1b-acdf-618d3a2ca142.jpg","Фото")</f>
      </c>
    </row>
    <row r="7961">
      <c r="A7961" s="7">
        <f>HYPERLINK("http://www.lingerieopt.ru/item/1180-chulki-v-krupnuyu-setku-na-kruzhevnoi-rezinke-s-silikonovjmi-poloskami/","1180")</f>
      </c>
      <c r="B7961" s="8" t="s">
        <v>7693</v>
      </c>
      <c r="C7961" s="9">
        <v>647</v>
      </c>
      <c r="D7961" s="0">
        <v>4</v>
      </c>
      <c r="E7961" s="10">
        <f>HYPERLINK("http://www.lingerieopt.ru/images/original/64de23cb-8bd6-4c1b-acdf-618d3a2ca142.jpg","Фото")</f>
      </c>
    </row>
    <row r="7962">
      <c r="A7962" s="7">
        <f>HYPERLINK("http://www.lingerieopt.ru/item/1180-chulki-v-krupnuyu-setku-na-kruzhevnoi-rezinke-s-silikonovjmi-poloskami/","1180")</f>
      </c>
      <c r="B7962" s="8" t="s">
        <v>7694</v>
      </c>
      <c r="C7962" s="9">
        <v>647</v>
      </c>
      <c r="D7962" s="0">
        <v>2</v>
      </c>
      <c r="E7962" s="10">
        <f>HYPERLINK("http://www.lingerieopt.ru/images/original/64de23cb-8bd6-4c1b-acdf-618d3a2ca142.jpg","Фото")</f>
      </c>
    </row>
    <row r="7963">
      <c r="A7963" s="7">
        <f>HYPERLINK("http://www.lingerieopt.ru/item/1180-chulki-v-krupnuyu-setku-na-kruzhevnoi-rezinke-s-silikonovjmi-poloskami/","1180")</f>
      </c>
      <c r="B7963" s="8" t="s">
        <v>7695</v>
      </c>
      <c r="C7963" s="9">
        <v>647</v>
      </c>
      <c r="D7963" s="0">
        <v>5</v>
      </c>
      <c r="E7963" s="10">
        <f>HYPERLINK("http://www.lingerieopt.ru/images/original/64de23cb-8bd6-4c1b-acdf-618d3a2ca142.jpg","Фото")</f>
      </c>
    </row>
    <row r="7964">
      <c r="A7964" s="7">
        <f>HYPERLINK("http://www.lingerieopt.ru/item/1180-chulki-v-krupnuyu-setku-na-kruzhevnoi-rezinke-s-silikonovjmi-poloskami/","1180")</f>
      </c>
      <c r="B7964" s="8" t="s">
        <v>7696</v>
      </c>
      <c r="C7964" s="9">
        <v>647</v>
      </c>
      <c r="D7964" s="0">
        <v>15</v>
      </c>
      <c r="E7964" s="10">
        <f>HYPERLINK("http://www.lingerieopt.ru/images/original/64de23cb-8bd6-4c1b-acdf-618d3a2ca142.jpg","Фото")</f>
      </c>
    </row>
    <row r="7965">
      <c r="A7965" s="7">
        <f>HYPERLINK("http://www.lingerieopt.ru/item/1181-chulki-setka-v-komplekte-s-poyasom/","1181")</f>
      </c>
      <c r="B7965" s="8" t="s">
        <v>7697</v>
      </c>
      <c r="C7965" s="9">
        <v>1171</v>
      </c>
      <c r="D7965" s="0">
        <v>5</v>
      </c>
      <c r="E7965" s="10">
        <f>HYPERLINK("http://www.lingerieopt.ru/images/original/d06e6870-2f19-48e4-a8c8-03df765c34a6.jpg","Фото")</f>
      </c>
    </row>
    <row r="7966">
      <c r="A7966" s="7">
        <f>HYPERLINK("http://www.lingerieopt.ru/item/1181-chulki-setka-v-komplekte-s-poyasom/","1181")</f>
      </c>
      <c r="B7966" s="8" t="s">
        <v>7698</v>
      </c>
      <c r="C7966" s="9">
        <v>1171</v>
      </c>
      <c r="D7966" s="0">
        <v>2</v>
      </c>
      <c r="E7966" s="10">
        <f>HYPERLINK("http://www.lingerieopt.ru/images/original/d06e6870-2f19-48e4-a8c8-03df765c34a6.jpg","Фото")</f>
      </c>
    </row>
    <row r="7967">
      <c r="A7967" s="7">
        <f>HYPERLINK("http://www.lingerieopt.ru/item/1181-chulki-setka-v-komplekte-s-poyasom/","1181")</f>
      </c>
      <c r="B7967" s="8" t="s">
        <v>7699</v>
      </c>
      <c r="C7967" s="9">
        <v>1171</v>
      </c>
      <c r="D7967" s="0">
        <v>5</v>
      </c>
      <c r="E7967" s="10">
        <f>HYPERLINK("http://www.lingerieopt.ru/images/original/d06e6870-2f19-48e4-a8c8-03df765c34a6.jpg","Фото")</f>
      </c>
    </row>
    <row r="7968">
      <c r="A7968" s="7">
        <f>HYPERLINK("http://www.lingerieopt.ru/item/1181-chulki-setka-v-komplekte-s-poyasom/","1181")</f>
      </c>
      <c r="B7968" s="8" t="s">
        <v>7700</v>
      </c>
      <c r="C7968" s="9">
        <v>1171</v>
      </c>
      <c r="D7968" s="0">
        <v>0</v>
      </c>
      <c r="E7968" s="10">
        <f>HYPERLINK("http://www.lingerieopt.ru/images/original/d06e6870-2f19-48e4-a8c8-03df765c34a6.jpg","Фото")</f>
      </c>
    </row>
    <row r="7969">
      <c r="A7969" s="7">
        <f>HYPERLINK("http://www.lingerieopt.ru/item/1181-chulki-setka-v-komplekte-s-poyasom/","1181")</f>
      </c>
      <c r="B7969" s="8" t="s">
        <v>7701</v>
      </c>
      <c r="C7969" s="9">
        <v>1171</v>
      </c>
      <c r="D7969" s="0">
        <v>4</v>
      </c>
      <c r="E7969" s="10">
        <f>HYPERLINK("http://www.lingerieopt.ru/images/original/d06e6870-2f19-48e4-a8c8-03df765c34a6.jpg","Фото")</f>
      </c>
    </row>
    <row r="7970">
      <c r="A7970" s="7">
        <f>HYPERLINK("http://www.lingerieopt.ru/item/1181-chulki-setka-v-komplekte-s-poyasom/","1181")</f>
      </c>
      <c r="B7970" s="8" t="s">
        <v>7702</v>
      </c>
      <c r="C7970" s="9">
        <v>1171</v>
      </c>
      <c r="D7970" s="0">
        <v>0</v>
      </c>
      <c r="E7970" s="10">
        <f>HYPERLINK("http://www.lingerieopt.ru/images/original/d06e6870-2f19-48e4-a8c8-03df765c34a6.jpg","Фото")</f>
      </c>
    </row>
    <row r="7971">
      <c r="A7971" s="7">
        <f>HYPERLINK("http://www.lingerieopt.ru/item/1181-chulki-setka-v-komplekte-s-poyasom/","1181")</f>
      </c>
      <c r="B7971" s="8" t="s">
        <v>7703</v>
      </c>
      <c r="C7971" s="9">
        <v>1171</v>
      </c>
      <c r="D7971" s="0">
        <v>6</v>
      </c>
      <c r="E7971" s="10">
        <f>HYPERLINK("http://www.lingerieopt.ru/images/original/d06e6870-2f19-48e4-a8c8-03df765c34a6.jpg","Фото")</f>
      </c>
    </row>
    <row r="7972">
      <c r="A7972" s="7">
        <f>HYPERLINK("http://www.lingerieopt.ru/item/1181-chulki-setka-v-komplekte-s-poyasom/","1181")</f>
      </c>
      <c r="B7972" s="8" t="s">
        <v>7704</v>
      </c>
      <c r="C7972" s="9">
        <v>1171</v>
      </c>
      <c r="D7972" s="0">
        <v>3</v>
      </c>
      <c r="E7972" s="10">
        <f>HYPERLINK("http://www.lingerieopt.ru/images/original/d06e6870-2f19-48e4-a8c8-03df765c34a6.jpg","Фото")</f>
      </c>
    </row>
    <row r="7973">
      <c r="A7973" s="7">
        <f>HYPERLINK("http://www.lingerieopt.ru/item/1181-chulki-setka-v-komplekte-s-poyasom/","1181")</f>
      </c>
      <c r="B7973" s="8" t="s">
        <v>7705</v>
      </c>
      <c r="C7973" s="9">
        <v>1171</v>
      </c>
      <c r="D7973" s="0">
        <v>3</v>
      </c>
      <c r="E7973" s="10">
        <f>HYPERLINK("http://www.lingerieopt.ru/images/original/d06e6870-2f19-48e4-a8c8-03df765c34a6.jpg","Фото")</f>
      </c>
    </row>
    <row r="7974">
      <c r="A7974" s="7">
        <f>HYPERLINK("http://www.lingerieopt.ru/item/1182-setevje-chulki-so-shvom-szadi/","1182")</f>
      </c>
      <c r="B7974" s="8" t="s">
        <v>7706</v>
      </c>
      <c r="C7974" s="9">
        <v>550</v>
      </c>
      <c r="D7974" s="0">
        <v>4</v>
      </c>
      <c r="E7974" s="10">
        <f>HYPERLINK("http://www.lingerieopt.ru/images/original/9b7ba334-7f46-4367-990b-8be7cd2e85f4.jpg","Фото")</f>
      </c>
    </row>
    <row r="7975">
      <c r="A7975" s="7">
        <f>HYPERLINK("http://www.lingerieopt.ru/item/1182-setevje-chulki-so-shvom-szadi/","1182")</f>
      </c>
      <c r="B7975" s="8" t="s">
        <v>7707</v>
      </c>
      <c r="C7975" s="9">
        <v>550</v>
      </c>
      <c r="D7975" s="0">
        <v>0</v>
      </c>
      <c r="E7975" s="10">
        <f>HYPERLINK("http://www.lingerieopt.ru/images/original/9b7ba334-7f46-4367-990b-8be7cd2e85f4.jpg","Фото")</f>
      </c>
    </row>
    <row r="7976">
      <c r="A7976" s="7">
        <f>HYPERLINK("http://www.lingerieopt.ru/item/1182-setevje-chulki-so-shvom-szadi/","1182")</f>
      </c>
      <c r="B7976" s="8" t="s">
        <v>7708</v>
      </c>
      <c r="C7976" s="9">
        <v>550</v>
      </c>
      <c r="D7976" s="0">
        <v>9</v>
      </c>
      <c r="E7976" s="10">
        <f>HYPERLINK("http://www.lingerieopt.ru/images/original/9b7ba334-7f46-4367-990b-8be7cd2e85f4.jpg","Фото")</f>
      </c>
    </row>
    <row r="7977">
      <c r="A7977" s="7">
        <f>HYPERLINK("http://www.lingerieopt.ru/item/1182-setevje-chulki-so-shvom-szadi/","1182")</f>
      </c>
      <c r="B7977" s="8" t="s">
        <v>7709</v>
      </c>
      <c r="C7977" s="9">
        <v>550</v>
      </c>
      <c r="D7977" s="0">
        <v>0</v>
      </c>
      <c r="E7977" s="10">
        <f>HYPERLINK("http://www.lingerieopt.ru/images/original/9b7ba334-7f46-4367-990b-8be7cd2e85f4.jpg","Фото")</f>
      </c>
    </row>
    <row r="7978">
      <c r="A7978" s="7">
        <f>HYPERLINK("http://www.lingerieopt.ru/item/1184-chulki-s-kruzhevnoi-rezinkoi-i-shvom-szadi/","1184")</f>
      </c>
      <c r="B7978" s="8" t="s">
        <v>7710</v>
      </c>
      <c r="C7978" s="9">
        <v>536</v>
      </c>
      <c r="D7978" s="0">
        <v>0</v>
      </c>
      <c r="E7978" s="10">
        <f>HYPERLINK("http://www.lingerieopt.ru/images/original/a0bf3f35-a1ee-4b27-a1cd-307b79e2b440.jpg","Фото")</f>
      </c>
    </row>
    <row r="7979">
      <c r="A7979" s="7">
        <f>HYPERLINK("http://www.lingerieopt.ru/item/1184-chulki-s-kruzhevnoi-rezinkoi-i-shvom-szadi/","1184")</f>
      </c>
      <c r="B7979" s="8" t="s">
        <v>7711</v>
      </c>
      <c r="C7979" s="9">
        <v>536</v>
      </c>
      <c r="D7979" s="0">
        <v>0</v>
      </c>
      <c r="E7979" s="10">
        <f>HYPERLINK("http://www.lingerieopt.ru/images/original/a0bf3f35-a1ee-4b27-a1cd-307b79e2b440.jpg","Фото")</f>
      </c>
    </row>
    <row r="7980">
      <c r="A7980" s="7">
        <f>HYPERLINK("http://www.lingerieopt.ru/item/1184-chulki-s-kruzhevnoi-rezinkoi-i-shvom-szadi/","1184")</f>
      </c>
      <c r="B7980" s="8" t="s">
        <v>7712</v>
      </c>
      <c r="C7980" s="9">
        <v>536</v>
      </c>
      <c r="D7980" s="0">
        <v>0</v>
      </c>
      <c r="E7980" s="10">
        <f>HYPERLINK("http://www.lingerieopt.ru/images/original/a0bf3f35-a1ee-4b27-a1cd-307b79e2b440.jpg","Фото")</f>
      </c>
    </row>
    <row r="7981">
      <c r="A7981" s="7">
        <f>HYPERLINK("http://www.lingerieopt.ru/item/1184-chulki-s-kruzhevnoi-rezinkoi-i-shvom-szadi/","1184")</f>
      </c>
      <c r="B7981" s="8" t="s">
        <v>7713</v>
      </c>
      <c r="C7981" s="9">
        <v>536</v>
      </c>
      <c r="D7981" s="0">
        <v>0</v>
      </c>
      <c r="E7981" s="10">
        <f>HYPERLINK("http://www.lingerieopt.ru/images/original/a0bf3f35-a1ee-4b27-a1cd-307b79e2b440.jpg","Фото")</f>
      </c>
    </row>
    <row r="7982">
      <c r="A7982" s="7">
        <f>HYPERLINK("http://www.lingerieopt.ru/item/1184-chulki-s-kruzhevnoi-rezinkoi-i-shvom-szadi/","1184")</f>
      </c>
      <c r="B7982" s="8" t="s">
        <v>7714</v>
      </c>
      <c r="C7982" s="9">
        <v>536</v>
      </c>
      <c r="D7982" s="0">
        <v>7</v>
      </c>
      <c r="E7982" s="10">
        <f>HYPERLINK("http://www.lingerieopt.ru/images/original/a0bf3f35-a1ee-4b27-a1cd-307b79e2b440.jpg","Фото")</f>
      </c>
    </row>
    <row r="7983">
      <c r="A7983" s="7">
        <f>HYPERLINK("http://www.lingerieopt.ru/item/1184-chulki-s-kruzhevnoi-rezinkoi-i-shvom-szadi/","1184")</f>
      </c>
      <c r="B7983" s="8" t="s">
        <v>7715</v>
      </c>
      <c r="C7983" s="9">
        <v>536</v>
      </c>
      <c r="D7983" s="0">
        <v>8</v>
      </c>
      <c r="E7983" s="10">
        <f>HYPERLINK("http://www.lingerieopt.ru/images/original/a0bf3f35-a1ee-4b27-a1cd-307b79e2b440.jpg","Фото")</f>
      </c>
    </row>
    <row r="7984">
      <c r="A7984" s="7">
        <f>HYPERLINK("http://www.lingerieopt.ru/item/1184-chulki-s-kruzhevnoi-rezinkoi-i-shvom-szadi/","1184")</f>
      </c>
      <c r="B7984" s="8" t="s">
        <v>7716</v>
      </c>
      <c r="C7984" s="9">
        <v>536</v>
      </c>
      <c r="D7984" s="0">
        <v>0</v>
      </c>
      <c r="E7984" s="10">
        <f>HYPERLINK("http://www.lingerieopt.ru/images/original/a0bf3f35-a1ee-4b27-a1cd-307b79e2b440.jpg","Фото")</f>
      </c>
    </row>
    <row r="7985">
      <c r="A7985" s="7">
        <f>HYPERLINK("http://www.lingerieopt.ru/item/1184-chulki-s-kruzhevnoi-rezinkoi-i-shvom-szadi/","1184")</f>
      </c>
      <c r="B7985" s="8" t="s">
        <v>7717</v>
      </c>
      <c r="C7985" s="9">
        <v>536</v>
      </c>
      <c r="D7985" s="0">
        <v>0</v>
      </c>
      <c r="E7985" s="10">
        <f>HYPERLINK("http://www.lingerieopt.ru/images/original/a0bf3f35-a1ee-4b27-a1cd-307b79e2b440.jpg","Фото")</f>
      </c>
    </row>
    <row r="7986">
      <c r="A7986" s="7">
        <f>HYPERLINK("http://www.lingerieopt.ru/item/1184-chulki-s-kruzhevnoi-rezinkoi-i-shvom-szadi/","1184")</f>
      </c>
      <c r="B7986" s="8" t="s">
        <v>7718</v>
      </c>
      <c r="C7986" s="9">
        <v>536</v>
      </c>
      <c r="D7986" s="0">
        <v>12</v>
      </c>
      <c r="E7986" s="10">
        <f>HYPERLINK("http://www.lingerieopt.ru/images/original/a0bf3f35-a1ee-4b27-a1cd-307b79e2b440.jpg","Фото")</f>
      </c>
    </row>
    <row r="7987">
      <c r="A7987" s="7">
        <f>HYPERLINK("http://www.lingerieopt.ru/item/1184-chulki-s-kruzhevnoi-rezinkoi-i-shvom-szadi/","1184")</f>
      </c>
      <c r="B7987" s="8" t="s">
        <v>7719</v>
      </c>
      <c r="C7987" s="9">
        <v>536</v>
      </c>
      <c r="D7987" s="0">
        <v>4</v>
      </c>
      <c r="E7987" s="10">
        <f>HYPERLINK("http://www.lingerieopt.ru/images/original/a0bf3f35-a1ee-4b27-a1cd-307b79e2b440.jpg","Фото")</f>
      </c>
    </row>
    <row r="7988">
      <c r="A7988" s="7">
        <f>HYPERLINK("http://www.lingerieopt.ru/item/1184-chulki-s-kruzhevnoi-rezinkoi-i-shvom-szadi/","1184")</f>
      </c>
      <c r="B7988" s="8" t="s">
        <v>7720</v>
      </c>
      <c r="C7988" s="9">
        <v>536</v>
      </c>
      <c r="D7988" s="0">
        <v>9</v>
      </c>
      <c r="E7988" s="10">
        <f>HYPERLINK("http://www.lingerieopt.ru/images/original/a0bf3f35-a1ee-4b27-a1cd-307b79e2b440.jpg","Фото")</f>
      </c>
    </row>
    <row r="7989">
      <c r="A7989" s="7">
        <f>HYPERLINK("http://www.lingerieopt.ru/item/1184-chulki-s-kruzhevnoi-rezinkoi-i-shvom-szadi/","1184")</f>
      </c>
      <c r="B7989" s="8" t="s">
        <v>7721</v>
      </c>
      <c r="C7989" s="9">
        <v>536</v>
      </c>
      <c r="D7989" s="0">
        <v>0</v>
      </c>
      <c r="E7989" s="10">
        <f>HYPERLINK("http://www.lingerieopt.ru/images/original/a0bf3f35-a1ee-4b27-a1cd-307b79e2b440.jpg","Фото")</f>
      </c>
    </row>
    <row r="7990">
      <c r="A7990" s="7">
        <f>HYPERLINK("http://www.lingerieopt.ru/item/2091-kruzhevnoi-poyas-dlya-chulok/","2091")</f>
      </c>
      <c r="B7990" s="8" t="s">
        <v>7722</v>
      </c>
      <c r="C7990" s="9">
        <v>1170</v>
      </c>
      <c r="D7990" s="0">
        <v>8</v>
      </c>
      <c r="E7990" s="10">
        <f>HYPERLINK("http://www.lingerieopt.ru/images/original/1e4827b9-4c28-4e0f-b4b0-d13576533343.jpg","Фото")</f>
      </c>
    </row>
    <row r="7991">
      <c r="A7991" s="7">
        <f>HYPERLINK("http://www.lingerieopt.ru/item/2091-kruzhevnoi-poyas-dlya-chulok/","2091")</f>
      </c>
      <c r="B7991" s="8" t="s">
        <v>7723</v>
      </c>
      <c r="C7991" s="9">
        <v>1170</v>
      </c>
      <c r="D7991" s="0">
        <v>2</v>
      </c>
      <c r="E7991" s="10">
        <f>HYPERLINK("http://www.lingerieopt.ru/images/original/1e4827b9-4c28-4e0f-b4b0-d13576533343.jpg","Фото")</f>
      </c>
    </row>
    <row r="7992">
      <c r="A7992" s="7">
        <f>HYPERLINK("http://www.lingerieopt.ru/item/2091-kruzhevnoi-poyas-dlya-chulok/","2091")</f>
      </c>
      <c r="B7992" s="8" t="s">
        <v>7724</v>
      </c>
      <c r="C7992" s="9">
        <v>1170</v>
      </c>
      <c r="D7992" s="0">
        <v>6</v>
      </c>
      <c r="E7992" s="10">
        <f>HYPERLINK("http://www.lingerieopt.ru/images/original/1e4827b9-4c28-4e0f-b4b0-d13576533343.jpg","Фото")</f>
      </c>
    </row>
    <row r="7993">
      <c r="A7993" s="7">
        <f>HYPERLINK("http://www.lingerieopt.ru/item/2091-kruzhevnoi-poyas-dlya-chulok/","2091")</f>
      </c>
      <c r="B7993" s="8" t="s">
        <v>7725</v>
      </c>
      <c r="C7993" s="9">
        <v>1170</v>
      </c>
      <c r="D7993" s="0">
        <v>3</v>
      </c>
      <c r="E7993" s="10">
        <f>HYPERLINK("http://www.lingerieopt.ru/images/original/1e4827b9-4c28-4e0f-b4b0-d13576533343.jpg","Фото")</f>
      </c>
    </row>
    <row r="7994">
      <c r="A7994" s="7">
        <f>HYPERLINK("http://www.lingerieopt.ru/item/2091-kruzhevnoi-poyas-dlya-chulok/","2091")</f>
      </c>
      <c r="B7994" s="8" t="s">
        <v>7726</v>
      </c>
      <c r="C7994" s="9">
        <v>1170</v>
      </c>
      <c r="D7994" s="0">
        <v>6</v>
      </c>
      <c r="E7994" s="10">
        <f>HYPERLINK("http://www.lingerieopt.ru/images/original/1e4827b9-4c28-4e0f-b4b0-d13576533343.jpg","Фото")</f>
      </c>
    </row>
    <row r="7995">
      <c r="A7995" s="7">
        <f>HYPERLINK("http://www.lingerieopt.ru/item/2091-kruzhevnoi-poyas-dlya-chulok/","2091")</f>
      </c>
      <c r="B7995" s="8" t="s">
        <v>7727</v>
      </c>
      <c r="C7995" s="9">
        <v>1170</v>
      </c>
      <c r="D7995" s="0">
        <v>5</v>
      </c>
      <c r="E7995" s="10">
        <f>HYPERLINK("http://www.lingerieopt.ru/images/original/1e4827b9-4c28-4e0f-b4b0-d13576533343.jpg","Фото")</f>
      </c>
    </row>
    <row r="7996">
      <c r="A7996" s="7">
        <f>HYPERLINK("http://www.lingerieopt.ru/item/2091-kruzhevnoi-poyas-dlya-chulok/","2091")</f>
      </c>
      <c r="B7996" s="8" t="s">
        <v>7728</v>
      </c>
      <c r="C7996" s="9">
        <v>1170</v>
      </c>
      <c r="D7996" s="0">
        <v>4</v>
      </c>
      <c r="E7996" s="10">
        <f>HYPERLINK("http://www.lingerieopt.ru/images/original/1e4827b9-4c28-4e0f-b4b0-d13576533343.jpg","Фото")</f>
      </c>
    </row>
    <row r="7997">
      <c r="A7997" s="7">
        <f>HYPERLINK("http://www.lingerieopt.ru/item/2091-kruzhevnoi-poyas-dlya-chulok/","2091")</f>
      </c>
      <c r="B7997" s="8" t="s">
        <v>7729</v>
      </c>
      <c r="C7997" s="9">
        <v>1170</v>
      </c>
      <c r="D7997" s="0">
        <v>1</v>
      </c>
      <c r="E7997" s="10">
        <f>HYPERLINK("http://www.lingerieopt.ru/images/original/1e4827b9-4c28-4e0f-b4b0-d13576533343.jpg","Фото")</f>
      </c>
    </row>
    <row r="7998">
      <c r="A7998" s="7">
        <f>HYPERLINK("http://www.lingerieopt.ru/item/2091-kruzhevnoi-poyas-dlya-chulok/","2091")</f>
      </c>
      <c r="B7998" s="8" t="s">
        <v>7730</v>
      </c>
      <c r="C7998" s="9">
        <v>1170</v>
      </c>
      <c r="D7998" s="0">
        <v>2</v>
      </c>
      <c r="E7998" s="10">
        <f>HYPERLINK("http://www.lingerieopt.ru/images/original/1e4827b9-4c28-4e0f-b4b0-d13576533343.jpg","Фото")</f>
      </c>
    </row>
    <row r="7999">
      <c r="A7999" s="7">
        <f>HYPERLINK("http://www.lingerieopt.ru/item/2093-azhurnji-komplekt/","2093")</f>
      </c>
      <c r="B7999" s="8" t="s">
        <v>7731</v>
      </c>
      <c r="C7999" s="9">
        <v>998</v>
      </c>
      <c r="D7999" s="0">
        <v>5</v>
      </c>
      <c r="E7999" s="10">
        <f>HYPERLINK("http://www.lingerieopt.ru/images/original/5bc96b26-b2cc-4f16-8fce-3904b814a9e1.jpg","Фото")</f>
      </c>
    </row>
    <row r="8000">
      <c r="A8000" s="7">
        <f>HYPERLINK("http://www.lingerieopt.ru/item/2093-azhurnji-komplekt/","2093")</f>
      </c>
      <c r="B8000" s="8" t="s">
        <v>7732</v>
      </c>
      <c r="C8000" s="9">
        <v>998</v>
      </c>
      <c r="D8000" s="0">
        <v>2</v>
      </c>
      <c r="E8000" s="10">
        <f>HYPERLINK("http://www.lingerieopt.ru/images/original/5bc96b26-b2cc-4f16-8fce-3904b814a9e1.jpg","Фото")</f>
      </c>
    </row>
    <row r="8001">
      <c r="A8001" s="7">
        <f>HYPERLINK("http://www.lingerieopt.ru/item/2093-azhurnji-komplekt/","2093")</f>
      </c>
      <c r="B8001" s="8" t="s">
        <v>7733</v>
      </c>
      <c r="C8001" s="9">
        <v>998</v>
      </c>
      <c r="D8001" s="0">
        <v>5</v>
      </c>
      <c r="E8001" s="10">
        <f>HYPERLINK("http://www.lingerieopt.ru/images/original/5bc96b26-b2cc-4f16-8fce-3904b814a9e1.jpg","Фото")</f>
      </c>
    </row>
    <row r="8002">
      <c r="A8002" s="7">
        <f>HYPERLINK("http://www.lingerieopt.ru/item/2093-azhurnji-komplekt/","2093")</f>
      </c>
      <c r="B8002" s="8" t="s">
        <v>7734</v>
      </c>
      <c r="C8002" s="9">
        <v>998</v>
      </c>
      <c r="D8002" s="0">
        <v>5</v>
      </c>
      <c r="E8002" s="10">
        <f>HYPERLINK("http://www.lingerieopt.ru/images/original/5bc96b26-b2cc-4f16-8fce-3904b814a9e1.jpg","Фото")</f>
      </c>
    </row>
    <row r="8003">
      <c r="A8003" s="7">
        <f>HYPERLINK("http://www.lingerieopt.ru/item/2093-azhurnji-komplekt/","2093")</f>
      </c>
      <c r="B8003" s="8" t="s">
        <v>7735</v>
      </c>
      <c r="C8003" s="9">
        <v>998</v>
      </c>
      <c r="D8003" s="0">
        <v>2</v>
      </c>
      <c r="E8003" s="10">
        <f>HYPERLINK("http://www.lingerieopt.ru/images/original/5bc96b26-b2cc-4f16-8fce-3904b814a9e1.jpg","Фото")</f>
      </c>
    </row>
    <row r="8004">
      <c r="A8004" s="7">
        <f>HYPERLINK("http://www.lingerieopt.ru/item/2093-azhurnji-komplekt/","2093")</f>
      </c>
      <c r="B8004" s="8" t="s">
        <v>7736</v>
      </c>
      <c r="C8004" s="9">
        <v>998</v>
      </c>
      <c r="D8004" s="0">
        <v>2</v>
      </c>
      <c r="E8004" s="10">
        <f>HYPERLINK("http://www.lingerieopt.ru/images/original/5bc96b26-b2cc-4f16-8fce-3904b814a9e1.jpg","Фото")</f>
      </c>
    </row>
    <row r="8005">
      <c r="A8005" s="7">
        <f>HYPERLINK("http://www.lingerieopt.ru/item/2398-vjsokie-chernje-chulki-v-setku-five-star-french-maid/","2398")</f>
      </c>
      <c r="B8005" s="8" t="s">
        <v>7737</v>
      </c>
      <c r="C8005" s="9">
        <v>692</v>
      </c>
      <c r="D8005" s="0">
        <v>11</v>
      </c>
      <c r="E8005" s="10">
        <f>HYPERLINK("http://www.lingerieopt.ru/images/original/ffbff7b4-d6de-4a71-84c8-f61e791b0841.jpg","Фото")</f>
      </c>
    </row>
    <row r="8006">
      <c r="A8006" s="7">
        <f>HYPERLINK("http://www.lingerieopt.ru/item/2399-chernje-chulki-s-beloi-kruzhevnoi-rezinkoi-shiny-french-maid/","2399")</f>
      </c>
      <c r="B8006" s="8" t="s">
        <v>7738</v>
      </c>
      <c r="C8006" s="9">
        <v>555</v>
      </c>
      <c r="D8006" s="0">
        <v>11</v>
      </c>
      <c r="E8006" s="10">
        <f>HYPERLINK("http://www.lingerieopt.ru/images/original/abc98142-007c-496f-b68f-a6f13e25df1f.jpg","Фото")</f>
      </c>
    </row>
    <row r="8007">
      <c r="A8007" s="7">
        <f>HYPERLINK("http://www.lingerieopt.ru/item/2448-chulki-s-uzkoi-azhurnoi-rezinkoi/","2448")</f>
      </c>
      <c r="B8007" s="8" t="s">
        <v>7739</v>
      </c>
      <c r="C8007" s="9">
        <v>671</v>
      </c>
      <c r="D8007" s="0">
        <v>5</v>
      </c>
      <c r="E8007" s="10">
        <f>HYPERLINK("http://www.lingerieopt.ru/images/original/5427eb54-b335-4c8f-8255-f8585247b711.jpg","Фото")</f>
      </c>
    </row>
    <row r="8008">
      <c r="A8008" s="7">
        <f>HYPERLINK("http://www.lingerieopt.ru/item/2448-chulki-s-uzkoi-azhurnoi-rezinkoi/","2448")</f>
      </c>
      <c r="B8008" s="8" t="s">
        <v>7740</v>
      </c>
      <c r="C8008" s="9">
        <v>671</v>
      </c>
      <c r="D8008" s="0">
        <v>7</v>
      </c>
      <c r="E8008" s="10">
        <f>HYPERLINK("http://www.lingerieopt.ru/images/original/5427eb54-b335-4c8f-8255-f8585247b711.jpg","Фото")</f>
      </c>
    </row>
    <row r="8009">
      <c r="A8009" s="7">
        <f>HYPERLINK("http://www.lingerieopt.ru/item/2448-chulki-s-uzkoi-azhurnoi-rezinkoi/","2448")</f>
      </c>
      <c r="B8009" s="8" t="s">
        <v>7741</v>
      </c>
      <c r="C8009" s="9">
        <v>671</v>
      </c>
      <c r="D8009" s="0">
        <v>0</v>
      </c>
      <c r="E8009" s="10">
        <f>HYPERLINK("http://www.lingerieopt.ru/images/original/5427eb54-b335-4c8f-8255-f8585247b711.jpg","Фото")</f>
      </c>
    </row>
    <row r="8010">
      <c r="A8010" s="7">
        <f>HYPERLINK("http://www.lingerieopt.ru/item/2448-chulki-s-uzkoi-azhurnoi-rezinkoi/","2448")</f>
      </c>
      <c r="B8010" s="8" t="s">
        <v>7742</v>
      </c>
      <c r="C8010" s="9">
        <v>671</v>
      </c>
      <c r="D8010" s="0">
        <v>3</v>
      </c>
      <c r="E8010" s="10">
        <f>HYPERLINK("http://www.lingerieopt.ru/images/original/5427eb54-b335-4c8f-8255-f8585247b711.jpg","Фото")</f>
      </c>
    </row>
    <row r="8011">
      <c r="A8011" s="7">
        <f>HYPERLINK("http://www.lingerieopt.ru/item/2452-chulki-v-setku-s-azhurnjm-verhom-i-tonkoi-rezinkoi/","2452")</f>
      </c>
      <c r="B8011" s="8" t="s">
        <v>7743</v>
      </c>
      <c r="C8011" s="9">
        <v>550</v>
      </c>
      <c r="D8011" s="0">
        <v>5</v>
      </c>
      <c r="E8011" s="10">
        <f>HYPERLINK("http://www.lingerieopt.ru/images/original/dde23b97-3e31-4bce-80aa-de30449f75ec.jpg","Фото")</f>
      </c>
    </row>
    <row r="8012">
      <c r="A8012" s="7">
        <f>HYPERLINK("http://www.lingerieopt.ru/item/2453-chulki-s-atlasnoi-lentoi-i-bantami/","2453")</f>
      </c>
      <c r="B8012" s="8" t="s">
        <v>7744</v>
      </c>
      <c r="C8012" s="9">
        <v>694</v>
      </c>
      <c r="D8012" s="0">
        <v>5</v>
      </c>
      <c r="E8012" s="10">
        <f>HYPERLINK("http://www.lingerieopt.ru/images/original/d8c365aa-c5bc-4866-bf83-51da75b2e680.jpg","Фото")</f>
      </c>
    </row>
    <row r="8013">
      <c r="A8013" s="7">
        <f>HYPERLINK("http://www.lingerieopt.ru/item/3274-chulki-s-rozovjmi-bantami/","3274")</f>
      </c>
      <c r="B8013" s="8" t="s">
        <v>7745</v>
      </c>
      <c r="C8013" s="9">
        <v>418</v>
      </c>
      <c r="D8013" s="0">
        <v>1</v>
      </c>
      <c r="E8013" s="10">
        <f>HYPERLINK("http://www.lingerieopt.ru/images/original/255aa555-be77-45e7-9e2c-3fa9ad07f5db.jpg","Фото")</f>
      </c>
    </row>
    <row r="8014">
      <c r="A8014" s="7">
        <f>HYPERLINK("http://www.lingerieopt.ru/item/3603-chulki-v-rombik-s-azhurnoi-rezinkoi/","3603")</f>
      </c>
      <c r="B8014" s="8" t="s">
        <v>7746</v>
      </c>
      <c r="C8014" s="9">
        <v>525</v>
      </c>
      <c r="D8014" s="0">
        <v>0</v>
      </c>
      <c r="E8014" s="10">
        <f>HYPERLINK("http://www.lingerieopt.ru/images/original/4471dbf9-0bfb-47f7-a5b2-0d9c5be42e59.jpg","Фото")</f>
      </c>
    </row>
    <row r="8015">
      <c r="A8015" s="7">
        <f>HYPERLINK("http://www.lingerieopt.ru/item/3603-chulki-v-rombik-s-azhurnoi-rezinkoi/","3603")</f>
      </c>
      <c r="B8015" s="8" t="s">
        <v>7747</v>
      </c>
      <c r="C8015" s="9">
        <v>525</v>
      </c>
      <c r="D8015" s="0">
        <v>1</v>
      </c>
      <c r="E8015" s="10">
        <f>HYPERLINK("http://www.lingerieopt.ru/images/original/4471dbf9-0bfb-47f7-a5b2-0d9c5be42e59.jpg","Фото")</f>
      </c>
    </row>
    <row r="8016">
      <c r="A8016" s="7">
        <f>HYPERLINK("http://www.lingerieopt.ru/item/3618-chulki-v-setku-s-kruzhevnoi-rezinkoi/","3618")</f>
      </c>
      <c r="B8016" s="8" t="s">
        <v>7748</v>
      </c>
      <c r="C8016" s="9">
        <v>677</v>
      </c>
      <c r="D8016" s="0">
        <v>0</v>
      </c>
      <c r="E8016" s="10">
        <f>HYPERLINK("http://www.lingerieopt.ru/images/original/9512257c-5f08-40e6-9d47-301d72c8b09c.jpg","Фото")</f>
      </c>
    </row>
    <row r="8017">
      <c r="A8017" s="7">
        <f>HYPERLINK("http://www.lingerieopt.ru/item/3618-chulki-v-setku-s-kruzhevnoi-rezinkoi/","3618")</f>
      </c>
      <c r="B8017" s="8" t="s">
        <v>7749</v>
      </c>
      <c r="C8017" s="9">
        <v>677</v>
      </c>
      <c r="D8017" s="0">
        <v>0</v>
      </c>
      <c r="E8017" s="10">
        <f>HYPERLINK("http://www.lingerieopt.ru/images/original/9512257c-5f08-40e6-9d47-301d72c8b09c.jpg","Фото")</f>
      </c>
    </row>
    <row r="8018">
      <c r="A8018" s="7">
        <f>HYPERLINK("http://www.lingerieopt.ru/item/3618-chulki-v-setku-s-kruzhevnoi-rezinkoi/","3618")</f>
      </c>
      <c r="B8018" s="8" t="s">
        <v>7750</v>
      </c>
      <c r="C8018" s="9">
        <v>677</v>
      </c>
      <c r="D8018" s="0">
        <v>1</v>
      </c>
      <c r="E8018" s="10">
        <f>HYPERLINK("http://www.lingerieopt.ru/images/original/9512257c-5f08-40e6-9d47-301d72c8b09c.jpg","Фото")</f>
      </c>
    </row>
    <row r="8019">
      <c r="A8019" s="7">
        <f>HYPERLINK("http://www.lingerieopt.ru/item/3626-chulki-v-krupnuyu-setku-s-tonkoi-rezinkoi/","3626")</f>
      </c>
      <c r="B8019" s="8" t="s">
        <v>7751</v>
      </c>
      <c r="C8019" s="9">
        <v>404</v>
      </c>
      <c r="D8019" s="0">
        <v>1</v>
      </c>
      <c r="E8019" s="10">
        <f>HYPERLINK("http://www.lingerieopt.ru/images/original/9b9ccb76-a293-422e-815f-a2d06fa6d748.jpg","Фото")</f>
      </c>
    </row>
    <row r="8020">
      <c r="A8020" s="7">
        <f>HYPERLINK("http://www.lingerieopt.ru/item/3626-chulki-v-krupnuyu-setku-s-tonkoi-rezinkoi/","3626")</f>
      </c>
      <c r="B8020" s="8" t="s">
        <v>7752</v>
      </c>
      <c r="C8020" s="9">
        <v>404</v>
      </c>
      <c r="D8020" s="0">
        <v>0</v>
      </c>
      <c r="E8020" s="10">
        <f>HYPERLINK("http://www.lingerieopt.ru/images/original/9b9ccb76-a293-422e-815f-a2d06fa6d748.jpg","Фото")</f>
      </c>
    </row>
    <row r="8021">
      <c r="A8021" s="7">
        <f>HYPERLINK("http://www.lingerieopt.ru/item/3626-chulki-v-krupnuyu-setku-s-tonkoi-rezinkoi/","3626")</f>
      </c>
      <c r="B8021" s="8" t="s">
        <v>7753</v>
      </c>
      <c r="C8021" s="9">
        <v>404</v>
      </c>
      <c r="D8021" s="0">
        <v>0</v>
      </c>
      <c r="E8021" s="10">
        <f>HYPERLINK("http://www.lingerieopt.ru/images/original/9b9ccb76-a293-422e-815f-a2d06fa6d748.jpg","Фото")</f>
      </c>
    </row>
    <row r="8022">
      <c r="A8022" s="7">
        <f>HYPERLINK("http://www.lingerieopt.ru/item/3626-chulki-v-krupnuyu-setku-s-tonkoi-rezinkoi/","3626")</f>
      </c>
      <c r="B8022" s="8" t="s">
        <v>7754</v>
      </c>
      <c r="C8022" s="9">
        <v>404</v>
      </c>
      <c r="D8022" s="0">
        <v>1</v>
      </c>
      <c r="E8022" s="10">
        <f>HYPERLINK("http://www.lingerieopt.ru/images/original/9b9ccb76-a293-422e-815f-a2d06fa6d748.jpg","Фото")</f>
      </c>
    </row>
    <row r="8023">
      <c r="A8023" s="7">
        <f>HYPERLINK("http://www.lingerieopt.ru/item/3637-chulki-v-melkuyu-setku-na-tonkoi-rezinke/","3637")</f>
      </c>
      <c r="B8023" s="8" t="s">
        <v>7755</v>
      </c>
      <c r="C8023" s="9">
        <v>315</v>
      </c>
      <c r="D8023" s="0">
        <v>1</v>
      </c>
      <c r="E8023" s="10">
        <f>HYPERLINK("http://www.lingerieopt.ru/images/original/fdf3784e-b6f4-4d93-a60e-3b82d1a41c16.jpg","Фото")</f>
      </c>
    </row>
    <row r="8024">
      <c r="A8024" s="7">
        <f>HYPERLINK("http://www.lingerieopt.ru/item/3637-chulki-v-melkuyu-setku-na-tonkoi-rezinke/","3637")</f>
      </c>
      <c r="B8024" s="8" t="s">
        <v>7756</v>
      </c>
      <c r="C8024" s="9">
        <v>315</v>
      </c>
      <c r="D8024" s="0">
        <v>1</v>
      </c>
      <c r="E8024" s="10">
        <f>HYPERLINK("http://www.lingerieopt.ru/images/original/fdf3784e-b6f4-4d93-a60e-3b82d1a41c16.jpg","Фото")</f>
      </c>
    </row>
    <row r="8025">
      <c r="A8025" s="7">
        <f>HYPERLINK("http://www.lingerieopt.ru/item/3637-chulki-v-melkuyu-setku-na-tonkoi-rezinke/","3637")</f>
      </c>
      <c r="B8025" s="8" t="s">
        <v>7757</v>
      </c>
      <c r="C8025" s="9">
        <v>315</v>
      </c>
      <c r="D8025" s="0">
        <v>0</v>
      </c>
      <c r="E8025" s="10">
        <f>HYPERLINK("http://www.lingerieopt.ru/images/original/fdf3784e-b6f4-4d93-a60e-3b82d1a41c16.jpg","Фото")</f>
      </c>
    </row>
    <row r="8026">
      <c r="A8026" s="7">
        <f>HYPERLINK("http://www.lingerieopt.ru/item/3983-chulki-s-beljmi-poloskami-na-rezinke/","3983")</f>
      </c>
      <c r="B8026" s="8" t="s">
        <v>7758</v>
      </c>
      <c r="C8026" s="9">
        <v>914</v>
      </c>
      <c r="D8026" s="0">
        <v>1</v>
      </c>
      <c r="E8026" s="10">
        <f>HYPERLINK("http://www.lingerieopt.ru/images/original/6b8ebd4f-59ec-4d49-8959-463459a26259.jpg","Фото")</f>
      </c>
    </row>
    <row r="8027">
      <c r="A8027" s="7">
        <f>HYPERLINK("http://www.lingerieopt.ru/item/4005-poyas-dlya-chulok-s-podvyazkami-iz-kruzheva-s-cvetochnjm-uzorom/","4005")</f>
      </c>
      <c r="B8027" s="8" t="s">
        <v>7759</v>
      </c>
      <c r="C8027" s="9">
        <v>775</v>
      </c>
      <c r="D8027" s="0">
        <v>30</v>
      </c>
      <c r="E8027" s="10">
        <f>HYPERLINK("http://www.lingerieopt.ru/images/original/4a854023-939d-4f32-915d-a5e37df55912.jpg","Фото")</f>
      </c>
    </row>
    <row r="8028">
      <c r="A8028" s="7">
        <f>HYPERLINK("http://www.lingerieopt.ru/item/4005-poyas-dlya-chulok-s-podvyazkami-iz-kruzheva-s-cvetochnjm-uzorom/","4005")</f>
      </c>
      <c r="B8028" s="8" t="s">
        <v>7760</v>
      </c>
      <c r="C8028" s="9">
        <v>775</v>
      </c>
      <c r="D8028" s="0">
        <v>30</v>
      </c>
      <c r="E8028" s="10">
        <f>HYPERLINK("http://www.lingerieopt.ru/images/original/4a854023-939d-4f32-915d-a5e37df55912.jpg","Фото")</f>
      </c>
    </row>
    <row r="8029">
      <c r="A8029" s="7">
        <f>HYPERLINK("http://www.lingerieopt.ru/item/4122-prozrachnje-chulki-s-prostoi-rezinkoi/","4122")</f>
      </c>
      <c r="B8029" s="8" t="s">
        <v>7761</v>
      </c>
      <c r="C8029" s="9">
        <v>224</v>
      </c>
      <c r="D8029" s="0">
        <v>6</v>
      </c>
      <c r="E8029" s="10">
        <f>HYPERLINK("http://www.lingerieopt.ru/images/original/31a4f7ea-f875-4c8b-9629-257d6b292101.jpg","Фото")</f>
      </c>
    </row>
    <row r="8030">
      <c r="A8030" s="7">
        <f>HYPERLINK("http://www.lingerieopt.ru/item/4122-prozrachnje-chulki-s-prostoi-rezinkoi/","4122")</f>
      </c>
      <c r="B8030" s="8" t="s">
        <v>7762</v>
      </c>
      <c r="C8030" s="9">
        <v>224</v>
      </c>
      <c r="D8030" s="0">
        <v>6</v>
      </c>
      <c r="E8030" s="10">
        <f>HYPERLINK("http://www.lingerieopt.ru/images/original/31a4f7ea-f875-4c8b-9629-257d6b292101.jpg","Фото")</f>
      </c>
    </row>
    <row r="8031">
      <c r="A8031" s="7">
        <f>HYPERLINK("http://www.lingerieopt.ru/item/4192-chulki-v-setku-s-uzkoi-rezinkoi/","4192")</f>
      </c>
      <c r="B8031" s="8" t="s">
        <v>7763</v>
      </c>
      <c r="C8031" s="9">
        <v>450</v>
      </c>
      <c r="D8031" s="0">
        <v>0</v>
      </c>
      <c r="E8031" s="10">
        <f>HYPERLINK("http://www.lingerieopt.ru/images/original/72d79b7b-0901-4fd0-8dbe-bff067ff7c77.jpg","Фото")</f>
      </c>
    </row>
    <row r="8032">
      <c r="A8032" s="7">
        <f>HYPERLINK("http://www.lingerieopt.ru/item/4192-chulki-v-setku-s-uzkoi-rezinkoi/","4192")</f>
      </c>
      <c r="B8032" s="8" t="s">
        <v>7764</v>
      </c>
      <c r="C8032" s="9">
        <v>450</v>
      </c>
      <c r="D8032" s="0">
        <v>0</v>
      </c>
      <c r="E8032" s="10">
        <f>HYPERLINK("http://www.lingerieopt.ru/images/original/72d79b7b-0901-4fd0-8dbe-bff067ff7c77.jpg","Фото")</f>
      </c>
    </row>
    <row r="8033">
      <c r="A8033" s="7">
        <f>HYPERLINK("http://www.lingerieopt.ru/item/4192-chulki-v-setku-s-uzkoi-rezinkoi/","4192")</f>
      </c>
      <c r="B8033" s="8" t="s">
        <v>7765</v>
      </c>
      <c r="C8033" s="9">
        <v>450</v>
      </c>
      <c r="D8033" s="0">
        <v>1</v>
      </c>
      <c r="E8033" s="10">
        <f>HYPERLINK("http://www.lingerieopt.ru/images/original/72d79b7b-0901-4fd0-8dbe-bff067ff7c77.jpg","Фото")</f>
      </c>
    </row>
    <row r="8034">
      <c r="A8034" s="7">
        <f>HYPERLINK("http://www.lingerieopt.ru/item/4203-chulki-so-strelkoi-pod-poyas/","4203")</f>
      </c>
      <c r="B8034" s="8" t="s">
        <v>7766</v>
      </c>
      <c r="C8034" s="9">
        <v>358</v>
      </c>
      <c r="D8034" s="0">
        <v>0</v>
      </c>
      <c r="E8034" s="10">
        <f>HYPERLINK("http://www.lingerieopt.ru/images/original/7ffd2e6d-150f-4244-9a0d-d96025f0e3bb.jpg","Фото")</f>
      </c>
    </row>
    <row r="8035">
      <c r="A8035" s="7">
        <f>HYPERLINK("http://www.lingerieopt.ru/item/4203-chulki-so-strelkoi-pod-poyas/","4203")</f>
      </c>
      <c r="B8035" s="8" t="s">
        <v>7767</v>
      </c>
      <c r="C8035" s="9">
        <v>358</v>
      </c>
      <c r="D8035" s="0">
        <v>0</v>
      </c>
      <c r="E8035" s="10">
        <f>HYPERLINK("http://www.lingerieopt.ru/images/original/7ffd2e6d-150f-4244-9a0d-d96025f0e3bb.jpg","Фото")</f>
      </c>
    </row>
    <row r="8036">
      <c r="A8036" s="7">
        <f>HYPERLINK("http://www.lingerieopt.ru/item/4203-chulki-so-strelkoi-pod-poyas/","4203")</f>
      </c>
      <c r="B8036" s="8" t="s">
        <v>7768</v>
      </c>
      <c r="C8036" s="9">
        <v>358</v>
      </c>
      <c r="D8036" s="0">
        <v>6</v>
      </c>
      <c r="E8036" s="10">
        <f>HYPERLINK("http://www.lingerieopt.ru/images/original/7ffd2e6d-150f-4244-9a0d-d96025f0e3bb.jpg","Фото")</f>
      </c>
    </row>
    <row r="8037">
      <c r="A8037" s="7">
        <f>HYPERLINK("http://www.lingerieopt.ru/item/4220-komplekt-iz-chulok-i-poyasa-s-pazhami/","4220")</f>
      </c>
      <c r="B8037" s="8" t="s">
        <v>7769</v>
      </c>
      <c r="C8037" s="9">
        <v>934</v>
      </c>
      <c r="D8037" s="0">
        <v>31</v>
      </c>
      <c r="E8037" s="10">
        <f>HYPERLINK("http://www.lingerieopt.ru/images/original/e1ae05bb-22e1-448c-b9a1-d736586e285a.jpg","Фото")</f>
      </c>
    </row>
    <row r="8038">
      <c r="A8038" s="7">
        <f>HYPERLINK("http://www.lingerieopt.ru/item/4234-kruzhevnoi-poyas-dlya-chulok/","4234")</f>
      </c>
      <c r="B8038" s="8" t="s">
        <v>7770</v>
      </c>
      <c r="C8038" s="9">
        <v>847</v>
      </c>
      <c r="D8038" s="0">
        <v>0</v>
      </c>
      <c r="E8038" s="10">
        <f>HYPERLINK("http://www.lingerieopt.ru/images/original/900a8fb3-f48c-414e-9b88-4c2511d50339.jpg","Фото")</f>
      </c>
    </row>
    <row r="8039">
      <c r="A8039" s="7">
        <f>HYPERLINK("http://www.lingerieopt.ru/item/4234-kruzhevnoi-poyas-dlya-chulok/","4234")</f>
      </c>
      <c r="B8039" s="8" t="s">
        <v>7771</v>
      </c>
      <c r="C8039" s="9">
        <v>847</v>
      </c>
      <c r="D8039" s="0">
        <v>30</v>
      </c>
      <c r="E8039" s="10">
        <f>HYPERLINK("http://www.lingerieopt.ru/images/original/900a8fb3-f48c-414e-9b88-4c2511d50339.jpg","Фото")</f>
      </c>
    </row>
    <row r="8040">
      <c r="A8040" s="7">
        <f>HYPERLINK("http://www.lingerieopt.ru/item/4234-kruzhevnoi-poyas-dlya-chulok/","4234")</f>
      </c>
      <c r="B8040" s="8" t="s">
        <v>7772</v>
      </c>
      <c r="C8040" s="9">
        <v>847</v>
      </c>
      <c r="D8040" s="0">
        <v>0</v>
      </c>
      <c r="E8040" s="10">
        <f>HYPERLINK("http://www.lingerieopt.ru/images/original/900a8fb3-f48c-414e-9b88-4c2511d50339.jpg","Фото")</f>
      </c>
    </row>
    <row r="8041">
      <c r="A8041" s="7">
        <f>HYPERLINK("http://www.lingerieopt.ru/item/4235-chulki-v-setku-passion/","4235")</f>
      </c>
      <c r="B8041" s="8" t="s">
        <v>7773</v>
      </c>
      <c r="C8041" s="9">
        <v>538</v>
      </c>
      <c r="D8041" s="0">
        <v>0</v>
      </c>
      <c r="E8041" s="10">
        <f>HYPERLINK("http://www.lingerieopt.ru/images/original/8c8f643a-5a82-46bb-a5d6-5a10ba067b93.jpg","Фото")</f>
      </c>
    </row>
    <row r="8042">
      <c r="A8042" s="7">
        <f>HYPERLINK("http://www.lingerieopt.ru/item/4235-chulki-v-setku-passion/","4235")</f>
      </c>
      <c r="B8042" s="8" t="s">
        <v>7774</v>
      </c>
      <c r="C8042" s="9">
        <v>538</v>
      </c>
      <c r="D8042" s="0">
        <v>6</v>
      </c>
      <c r="E8042" s="10">
        <f>HYPERLINK("http://www.lingerieopt.ru/images/original/8c8f643a-5a82-46bb-a5d6-5a10ba067b93.jpg","Фото")</f>
      </c>
    </row>
    <row r="8043">
      <c r="A8043" s="7">
        <f>HYPERLINK("http://www.lingerieopt.ru/item/4242-kruzhevnoi-poyas-s-atlasnjm-bantikom/","4242")</f>
      </c>
      <c r="B8043" s="8" t="s">
        <v>7775</v>
      </c>
      <c r="C8043" s="9">
        <v>847</v>
      </c>
      <c r="D8043" s="0">
        <v>1</v>
      </c>
      <c r="E8043" s="10">
        <f>HYPERLINK("http://www.lingerieopt.ru/images/original/0bc219b3-ec21-4fda-92e1-b84a6a2c6a31.jpg","Фото")</f>
      </c>
    </row>
    <row r="8044">
      <c r="A8044" s="7">
        <f>HYPERLINK("http://www.lingerieopt.ru/item/4242-kruzhevnoi-poyas-s-atlasnjm-bantikom/","4242")</f>
      </c>
      <c r="B8044" s="8" t="s">
        <v>7776</v>
      </c>
      <c r="C8044" s="9">
        <v>847</v>
      </c>
      <c r="D8044" s="0">
        <v>0</v>
      </c>
      <c r="E8044" s="10">
        <f>HYPERLINK("http://www.lingerieopt.ru/images/original/0bc219b3-ec21-4fda-92e1-b84a6a2c6a31.jpg","Фото")</f>
      </c>
    </row>
    <row r="8045">
      <c r="A8045" s="7">
        <f>HYPERLINK("http://www.lingerieopt.ru/item/4242-kruzhevnoi-poyas-s-atlasnjm-bantikom/","4242")</f>
      </c>
      <c r="B8045" s="8" t="s">
        <v>7777</v>
      </c>
      <c r="C8045" s="9">
        <v>847</v>
      </c>
      <c r="D8045" s="0">
        <v>0</v>
      </c>
      <c r="E8045" s="10">
        <f>HYPERLINK("http://www.lingerieopt.ru/images/original/0bc219b3-ec21-4fda-92e1-b84a6a2c6a31.jpg","Фото")</f>
      </c>
    </row>
    <row r="8046">
      <c r="A8046" s="7">
        <f>HYPERLINK("http://www.lingerieopt.ru/item/4248-chulki-s-atlasnjmi-bantami-na-rezinke/","4248")</f>
      </c>
      <c r="B8046" s="8" t="s">
        <v>7778</v>
      </c>
      <c r="C8046" s="9">
        <v>629</v>
      </c>
      <c r="D8046" s="0">
        <v>31</v>
      </c>
      <c r="E8046" s="10">
        <f>HYPERLINK("http://www.lingerieopt.ru/images/original/d00f9a41-df7e-45fe-a26f-9018900a1338.jpg","Фото")</f>
      </c>
    </row>
    <row r="8047">
      <c r="A8047" s="7">
        <f>HYPERLINK("http://www.lingerieopt.ru/item/4268-chulki-v-setku-s-kruzhevnjmi-rezinkami-i-poyasom/","4268")</f>
      </c>
      <c r="B8047" s="8" t="s">
        <v>7779</v>
      </c>
      <c r="C8047" s="9">
        <v>934</v>
      </c>
      <c r="D8047" s="0">
        <v>6</v>
      </c>
      <c r="E8047" s="10">
        <f>HYPERLINK("http://www.lingerieopt.ru/images/original/c32b8223-1210-47ea-b02b-de7be21210d1.jpg","Фото")</f>
      </c>
    </row>
    <row r="8048">
      <c r="A8048" s="7">
        <f>HYPERLINK("http://www.lingerieopt.ru/item/4301-chulki-s-krasivjm-uzorom-szadi/","4301")</f>
      </c>
      <c r="B8048" s="8" t="s">
        <v>3620</v>
      </c>
      <c r="C8048" s="9">
        <v>1949</v>
      </c>
      <c r="D8048" s="0">
        <v>6</v>
      </c>
      <c r="E8048" s="10">
        <f>HYPERLINK("http://www.lingerieopt.ru/images/original/37530635-0956-4284-a5f4-e2af1d4f38d1.jpg","Фото")</f>
      </c>
    </row>
    <row r="8049">
      <c r="A8049" s="7">
        <f>HYPERLINK("http://www.lingerieopt.ru/item/4331-chulki-s-cvetochnjm-risunkom-s-rezinkoi-na-silikone/","4331")</f>
      </c>
      <c r="B8049" s="8" t="s">
        <v>7780</v>
      </c>
      <c r="C8049" s="9">
        <v>1145</v>
      </c>
      <c r="D8049" s="0">
        <v>3</v>
      </c>
      <c r="E8049" s="10">
        <f>HYPERLINK("http://www.lingerieopt.ru/images/original/fc98eb5b-cea9-4124-b92d-5b7581ce11fa.jpg","Фото")</f>
      </c>
    </row>
    <row r="8050">
      <c r="A8050" s="7">
        <f>HYPERLINK("http://www.lingerieopt.ru/item/4343-chulki-s-cvetochnjm-risunkom-s-rezinkoi-na-silikone/","4343")</f>
      </c>
      <c r="B8050" s="8" t="s">
        <v>7781</v>
      </c>
      <c r="C8050" s="9">
        <v>1145</v>
      </c>
      <c r="D8050" s="0">
        <v>3</v>
      </c>
      <c r="E8050" s="10">
        <f>HYPERLINK("http://www.lingerieopt.ru/images/original/7442c8b1-b4da-457d-8552-f4ae27b7372c.jpg","Фото")</f>
      </c>
    </row>
    <row r="8051">
      <c r="A8051" s="7">
        <f>HYPERLINK("http://www.lingerieopt.ru/item/4376-poyas-pod-vinil-s-podvyazkami-dlya-chulok/","4376")</f>
      </c>
      <c r="B8051" s="8" t="s">
        <v>3624</v>
      </c>
      <c r="C8051" s="9">
        <v>2032</v>
      </c>
      <c r="D8051" s="0">
        <v>0</v>
      </c>
      <c r="E8051" s="10">
        <f>HYPERLINK("http://www.lingerieopt.ru/images/original/9eee1dae-8e0e-4244-bae9-07ff502acbe0.jpg","Фото")</f>
      </c>
    </row>
    <row r="8052">
      <c r="A8052" s="7">
        <f>HYPERLINK("http://www.lingerieopt.ru/item/4376-poyas-pod-vinil-s-podvyazkami-dlya-chulok/","4376")</f>
      </c>
      <c r="B8052" s="8" t="s">
        <v>3622</v>
      </c>
      <c r="C8052" s="9">
        <v>2032</v>
      </c>
      <c r="D8052" s="0">
        <v>6</v>
      </c>
      <c r="E8052" s="10">
        <f>HYPERLINK("http://www.lingerieopt.ru/images/original/9eee1dae-8e0e-4244-bae9-07ff502acbe0.jpg","Фото")</f>
      </c>
    </row>
    <row r="8053">
      <c r="A8053" s="7">
        <f>HYPERLINK("http://www.lingerieopt.ru/item/4376-poyas-pod-vinil-s-podvyazkami-dlya-chulok/","4376")</f>
      </c>
      <c r="B8053" s="8" t="s">
        <v>3621</v>
      </c>
      <c r="C8053" s="9">
        <v>2032</v>
      </c>
      <c r="D8053" s="0">
        <v>3</v>
      </c>
      <c r="E8053" s="10">
        <f>HYPERLINK("http://www.lingerieopt.ru/images/original/9eee1dae-8e0e-4244-bae9-07ff502acbe0.jpg","Фото")</f>
      </c>
    </row>
    <row r="8054">
      <c r="A8054" s="7">
        <f>HYPERLINK("http://www.lingerieopt.ru/item/4376-poyas-pod-vinil-s-podvyazkami-dlya-chulok/","4376")</f>
      </c>
      <c r="B8054" s="8" t="s">
        <v>3623</v>
      </c>
      <c r="C8054" s="9">
        <v>2032</v>
      </c>
      <c r="D8054" s="0">
        <v>0</v>
      </c>
      <c r="E8054" s="10">
        <f>HYPERLINK("http://www.lingerieopt.ru/images/original/9eee1dae-8e0e-4244-bae9-07ff502acbe0.jpg","Фото")</f>
      </c>
    </row>
    <row r="8055">
      <c r="A8055" s="7">
        <f>HYPERLINK("http://www.lingerieopt.ru/item/4415-setchatje-chulki-garter-s-shirokoi-rezinkoi-i-poyasom/","4415")</f>
      </c>
      <c r="B8055" s="8" t="s">
        <v>7782</v>
      </c>
      <c r="C8055" s="9">
        <v>864</v>
      </c>
      <c r="D8055" s="0">
        <v>6</v>
      </c>
      <c r="E8055" s="10">
        <f>HYPERLINK("http://www.lingerieopt.ru/images/original/633d2f5c-38b5-4020-8cd6-3409485aaeb4.jpg","Фото")</f>
      </c>
    </row>
    <row r="8056">
      <c r="A8056" s="7">
        <f>HYPERLINK("http://www.lingerieopt.ru/item/4415-setchatje-chulki-garter-s-shirokoi-rezinkoi-i-poyasom/","4415")</f>
      </c>
      <c r="B8056" s="8" t="s">
        <v>7783</v>
      </c>
      <c r="C8056" s="9">
        <v>864</v>
      </c>
      <c r="D8056" s="0">
        <v>0</v>
      </c>
      <c r="E8056" s="10">
        <f>HYPERLINK("http://www.lingerieopt.ru/images/original/633d2f5c-38b5-4020-8cd6-3409485aaeb4.jpg","Фото")</f>
      </c>
    </row>
    <row r="8057">
      <c r="A8057" s="7">
        <f>HYPERLINK("http://www.lingerieopt.ru/item/4416-chulki-v-melkuyu-setku-s-kruzhevnjm-poyasom-garter/","4416")</f>
      </c>
      <c r="B8057" s="8" t="s">
        <v>7784</v>
      </c>
      <c r="C8057" s="9">
        <v>996</v>
      </c>
      <c r="D8057" s="0">
        <v>0</v>
      </c>
      <c r="E8057" s="10">
        <f>HYPERLINK("http://www.lingerieopt.ru/images/original/156cf16f-38db-4fa8-865f-ef077cee53ad.jpg","Фото")</f>
      </c>
    </row>
    <row r="8058">
      <c r="A8058" s="7">
        <f>HYPERLINK("http://www.lingerieopt.ru/item/4416-chulki-v-melkuyu-setku-s-kruzhevnjm-poyasom-garter/","4416")</f>
      </c>
      <c r="B8058" s="8" t="s">
        <v>7785</v>
      </c>
      <c r="C8058" s="9">
        <v>996</v>
      </c>
      <c r="D8058" s="0">
        <v>2</v>
      </c>
      <c r="E8058" s="10">
        <f>HYPERLINK("http://www.lingerieopt.ru/images/original/156cf16f-38db-4fa8-865f-ef077cee53ad.jpg","Фото")</f>
      </c>
    </row>
    <row r="8059">
      <c r="A8059" s="7">
        <f>HYPERLINK("http://www.lingerieopt.ru/item/4420-chulki-intensa-s-shirokim-cvetochnjm-kruzhevom/","4420")</f>
      </c>
      <c r="B8059" s="8" t="s">
        <v>7786</v>
      </c>
      <c r="C8059" s="9">
        <v>612</v>
      </c>
      <c r="D8059" s="0">
        <v>5</v>
      </c>
      <c r="E8059" s="10">
        <f>HYPERLINK("http://www.lingerieopt.ru/images/original/d153ad9d-c3e8-4cc3-a44b-041bd697adb8.jpg","Фото")</f>
      </c>
    </row>
    <row r="8060">
      <c r="A8060" s="7">
        <f>HYPERLINK("http://www.lingerieopt.ru/item/4420-chulki-intensa-s-shirokim-cvetochnjm-kruzhevom/","4420")</f>
      </c>
      <c r="B8060" s="8" t="s">
        <v>7787</v>
      </c>
      <c r="C8060" s="9">
        <v>612</v>
      </c>
      <c r="D8060" s="0">
        <v>0</v>
      </c>
      <c r="E8060" s="10">
        <f>HYPERLINK("http://www.lingerieopt.ru/images/original/d153ad9d-c3e8-4cc3-a44b-041bd697adb8.jpg","Фото")</f>
      </c>
    </row>
    <row r="8061">
      <c r="A8061" s="7">
        <f>HYPERLINK("http://www.lingerieopt.ru/item/4421-chulki-garter-s-poyasom/","4421")</f>
      </c>
      <c r="B8061" s="8" t="s">
        <v>7788</v>
      </c>
      <c r="C8061" s="9">
        <v>828</v>
      </c>
      <c r="D8061" s="0">
        <v>0</v>
      </c>
      <c r="E8061" s="10">
        <f>HYPERLINK("http://www.lingerieopt.ru/images/original/e3270b57-ab83-4b4f-ab27-76d0e91950b4.jpg","Фото")</f>
      </c>
    </row>
    <row r="8062">
      <c r="A8062" s="7">
        <f>HYPERLINK("http://www.lingerieopt.ru/item/4421-chulki-garter-s-poyasom/","4421")</f>
      </c>
      <c r="B8062" s="8" t="s">
        <v>7789</v>
      </c>
      <c r="C8062" s="9">
        <v>828</v>
      </c>
      <c r="D8062" s="0">
        <v>5</v>
      </c>
      <c r="E8062" s="10">
        <f>HYPERLINK("http://www.lingerieopt.ru/images/original/e3270b57-ab83-4b4f-ab27-76d0e91950b4.jpg","Фото")</f>
      </c>
    </row>
    <row r="8063">
      <c r="A8063" s="7">
        <f>HYPERLINK("http://www.lingerieopt.ru/item/4421-chulki-garter-s-poyasom/","4421")</f>
      </c>
      <c r="B8063" s="8" t="s">
        <v>7790</v>
      </c>
      <c r="C8063" s="9">
        <v>828</v>
      </c>
      <c r="D8063" s="0">
        <v>0</v>
      </c>
      <c r="E8063" s="10">
        <f>HYPERLINK("http://www.lingerieopt.ru/images/original/e3270b57-ab83-4b4f-ab27-76d0e91950b4.jpg","Фото")</f>
      </c>
    </row>
    <row r="8064">
      <c r="A8064" s="7">
        <f>HYPERLINK("http://www.lingerieopt.ru/item/4424-chulki-roseberry-s-shirokim-kruzhevom/","4424")</f>
      </c>
      <c r="B8064" s="8" t="s">
        <v>7791</v>
      </c>
      <c r="C8064" s="9">
        <v>612</v>
      </c>
      <c r="D8064" s="0">
        <v>5</v>
      </c>
      <c r="E8064" s="10">
        <f>HYPERLINK("http://www.lingerieopt.ru/images/original/6759e010-3563-4057-adb9-e4a4b079b117.jpg","Фото")</f>
      </c>
    </row>
    <row r="8065">
      <c r="A8065" s="7">
        <f>HYPERLINK("http://www.lingerieopt.ru/item/4424-chulki-roseberry-s-shirokim-kruzhevom/","4424")</f>
      </c>
      <c r="B8065" s="8" t="s">
        <v>7792</v>
      </c>
      <c r="C8065" s="9">
        <v>612</v>
      </c>
      <c r="D8065" s="0">
        <v>0</v>
      </c>
      <c r="E8065" s="10">
        <f>HYPERLINK("http://www.lingerieopt.ru/images/original/6759e010-3563-4057-adb9-e4a4b079b117.jpg","Фото")</f>
      </c>
    </row>
    <row r="8066">
      <c r="A8066" s="7">
        <f>HYPERLINK("http://www.lingerieopt.ru/item/4436-chulki-secred-s-shirokim-kruzhevom/","4436")</f>
      </c>
      <c r="B8066" s="8" t="s">
        <v>7793</v>
      </c>
      <c r="C8066" s="9">
        <v>752</v>
      </c>
      <c r="D8066" s="0">
        <v>0</v>
      </c>
      <c r="E8066" s="10">
        <f>HYPERLINK("http://www.lingerieopt.ru/images/original/3e4239b9-6a06-4e29-a4bd-2fbfcee72542.jpg","Фото")</f>
      </c>
    </row>
    <row r="8067">
      <c r="A8067" s="7">
        <f>HYPERLINK("http://www.lingerieopt.ru/item/4436-chulki-secred-s-shirokim-kruzhevom/","4436")</f>
      </c>
      <c r="B8067" s="8" t="s">
        <v>7794</v>
      </c>
      <c r="C8067" s="9">
        <v>752</v>
      </c>
      <c r="D8067" s="0">
        <v>1</v>
      </c>
      <c r="E8067" s="10">
        <f>HYPERLINK("http://www.lingerieopt.ru/images/original/3e4239b9-6a06-4e29-a4bd-2fbfcee72542.jpg","Фото")</f>
      </c>
    </row>
    <row r="8068">
      <c r="A8068" s="7">
        <f>HYPERLINK("http://www.lingerieopt.ru/item/4441-setchatje-chulki-garter-na-kruzhevnom-poyase/","4441")</f>
      </c>
      <c r="B8068" s="8" t="s">
        <v>7795</v>
      </c>
      <c r="C8068" s="9">
        <v>948</v>
      </c>
      <c r="D8068" s="0">
        <v>11</v>
      </c>
      <c r="E8068" s="10">
        <f>HYPERLINK("http://www.lingerieopt.ru/images/original/6103975c-872b-4c95-9e22-a72907c3d631.jpg","Фото")</f>
      </c>
    </row>
    <row r="8069">
      <c r="A8069" s="7">
        <f>HYPERLINK("http://www.lingerieopt.ru/item/4490-nevjsokie-chulki-s-shirokim-kruzhevom/","4490")</f>
      </c>
      <c r="B8069" s="8" t="s">
        <v>7796</v>
      </c>
      <c r="C8069" s="9">
        <v>572</v>
      </c>
      <c r="D8069" s="0">
        <v>3</v>
      </c>
      <c r="E8069" s="10">
        <f>HYPERLINK("http://www.lingerieopt.ru/images/original/9a337fee-b4ae-4caa-bfd3-0f1bfffdfedb.jpg","Фото")</f>
      </c>
    </row>
    <row r="8070">
      <c r="A8070" s="7">
        <f>HYPERLINK("http://www.lingerieopt.ru/item/4490-nevjsokie-chulki-s-shirokim-kruzhevom/","4490")</f>
      </c>
      <c r="B8070" s="8" t="s">
        <v>7797</v>
      </c>
      <c r="C8070" s="9">
        <v>572</v>
      </c>
      <c r="D8070" s="0">
        <v>3</v>
      </c>
      <c r="E8070" s="10">
        <f>HYPERLINK("http://www.lingerieopt.ru/images/original/9a337fee-b4ae-4caa-bfd3-0f1bfffdfedb.jpg","Фото")</f>
      </c>
    </row>
    <row r="8071">
      <c r="A8071" s="7">
        <f>HYPERLINK("http://www.lingerieopt.ru/item/4495-kruzhevnoi-poyas-dlya-chulok-charms-s-kristallami/","4495")</f>
      </c>
      <c r="B8071" s="8" t="s">
        <v>7798</v>
      </c>
      <c r="C8071" s="9">
        <v>1104</v>
      </c>
      <c r="D8071" s="0">
        <v>0</v>
      </c>
      <c r="E8071" s="10">
        <f>HYPERLINK("http://www.lingerieopt.ru/images/original/c91a98a7-1a0a-438b-b219-f6bcb3d43293.jpg","Фото")</f>
      </c>
    </row>
    <row r="8072">
      <c r="A8072" s="7">
        <f>HYPERLINK("http://www.lingerieopt.ru/item/4495-kruzhevnoi-poyas-dlya-chulok-charms-s-kristallami/","4495")</f>
      </c>
      <c r="B8072" s="8" t="s">
        <v>7799</v>
      </c>
      <c r="C8072" s="9">
        <v>1104</v>
      </c>
      <c r="D8072" s="0">
        <v>1</v>
      </c>
      <c r="E8072" s="10">
        <f>HYPERLINK("http://www.lingerieopt.ru/images/original/c91a98a7-1a0a-438b-b219-f6bcb3d43293.jpg","Фото")</f>
      </c>
    </row>
    <row r="8073">
      <c r="A8073" s="7">
        <f>HYPERLINK("http://www.lingerieopt.ru/item/4495-kruzhevnoi-poyas-dlya-chulok-charms-s-kristallami/","4495")</f>
      </c>
      <c r="B8073" s="8" t="s">
        <v>7800</v>
      </c>
      <c r="C8073" s="9">
        <v>1104</v>
      </c>
      <c r="D8073" s="0">
        <v>0</v>
      </c>
      <c r="E8073" s="10">
        <f>HYPERLINK("http://www.lingerieopt.ru/images/original/c91a98a7-1a0a-438b-b219-f6bcb3d43293.jpg","Фото")</f>
      </c>
    </row>
    <row r="8074">
      <c r="A8074" s="7">
        <f>HYPERLINK("http://www.lingerieopt.ru/item/4495-kruzhevnoi-poyas-dlya-chulok-charms-s-kristallami/","4495")</f>
      </c>
      <c r="B8074" s="8" t="s">
        <v>7801</v>
      </c>
      <c r="C8074" s="9">
        <v>1104</v>
      </c>
      <c r="D8074" s="0">
        <v>2</v>
      </c>
      <c r="E8074" s="10">
        <f>HYPERLINK("http://www.lingerieopt.ru/images/original/c91a98a7-1a0a-438b-b219-f6bcb3d43293.jpg","Фото")</f>
      </c>
    </row>
    <row r="8075">
      <c r="A8075" s="7">
        <f>HYPERLINK("http://www.lingerieopt.ru/item/4497-poyas-dlya-chulok-diamond-so-sverkayuschimi-podveskami/","4497")</f>
      </c>
      <c r="B8075" s="8" t="s">
        <v>7802</v>
      </c>
      <c r="C8075" s="9">
        <v>1252</v>
      </c>
      <c r="D8075" s="0">
        <v>0</v>
      </c>
      <c r="E8075" s="10">
        <f>HYPERLINK("http://www.lingerieopt.ru/images/original/d9364ac5-b9ef-4dd3-bcec-3bd88a2fb3ab.jpg","Фото")</f>
      </c>
    </row>
    <row r="8076">
      <c r="A8076" s="7">
        <f>HYPERLINK("http://www.lingerieopt.ru/item/4497-poyas-dlya-chulok-diamond-so-sverkayuschimi-podveskami/","4497")</f>
      </c>
      <c r="B8076" s="8" t="s">
        <v>7803</v>
      </c>
      <c r="C8076" s="9">
        <v>1252</v>
      </c>
      <c r="D8076" s="0">
        <v>1</v>
      </c>
      <c r="E8076" s="10">
        <f>HYPERLINK("http://www.lingerieopt.ru/images/original/d9364ac5-b9ef-4dd3-bcec-3bd88a2fb3ab.jpg","Фото")</f>
      </c>
    </row>
    <row r="8077">
      <c r="A8077" s="7">
        <f>HYPERLINK("http://www.lingerieopt.ru/item/4497-poyas-dlya-chulok-diamond-so-sverkayuschimi-podveskami/","4497")</f>
      </c>
      <c r="B8077" s="8" t="s">
        <v>7804</v>
      </c>
      <c r="C8077" s="9">
        <v>1252</v>
      </c>
      <c r="D8077" s="0">
        <v>1</v>
      </c>
      <c r="E8077" s="10">
        <f>HYPERLINK("http://www.lingerieopt.ru/images/original/d9364ac5-b9ef-4dd3-bcec-3bd88a2fb3ab.jpg","Фото")</f>
      </c>
    </row>
    <row r="8078">
      <c r="A8078" s="7">
        <f>HYPERLINK("http://www.lingerieopt.ru/item/4497-poyas-dlya-chulok-diamond-so-sverkayuschimi-podveskami/","4497")</f>
      </c>
      <c r="B8078" s="8" t="s">
        <v>7805</v>
      </c>
      <c r="C8078" s="9">
        <v>1252</v>
      </c>
      <c r="D8078" s="0">
        <v>0</v>
      </c>
      <c r="E8078" s="10">
        <f>HYPERLINK("http://www.lingerieopt.ru/images/original/d9364ac5-b9ef-4dd3-bcec-3bd88a2fb3ab.jpg","Фото")</f>
      </c>
    </row>
    <row r="8079">
      <c r="A8079" s="7">
        <f>HYPERLINK("http://www.lingerieopt.ru/item/4510-elegantnje-chulki-s-kubinskoi-pyatkoi/","4510")</f>
      </c>
      <c r="B8079" s="8" t="s">
        <v>7806</v>
      </c>
      <c r="C8079" s="9">
        <v>538</v>
      </c>
      <c r="D8079" s="0">
        <v>30</v>
      </c>
      <c r="E8079" s="10">
        <f>HYPERLINK("http://www.lingerieopt.ru/images/original/3db44d65-d313-45a8-91b6-0a80f113acc3.jpg","Фото")</f>
      </c>
    </row>
    <row r="8080">
      <c r="A8080" s="7">
        <f>HYPERLINK("http://www.lingerieopt.ru/item/4510-elegantnje-chulki-s-kubinskoi-pyatkoi/","4510")</f>
      </c>
      <c r="B8080" s="8" t="s">
        <v>7807</v>
      </c>
      <c r="C8080" s="9">
        <v>538</v>
      </c>
      <c r="D8080" s="0">
        <v>30</v>
      </c>
      <c r="E8080" s="10">
        <f>HYPERLINK("http://www.lingerieopt.ru/images/original/3db44d65-d313-45a8-91b6-0a80f113acc3.jpg","Фото")</f>
      </c>
    </row>
    <row r="8081">
      <c r="A8081" s="7">
        <f>HYPERLINK("http://www.lingerieopt.ru/item/4538-chulki-v-setku-s-prostoi-kruzhevnoi-rezinkoi/","4538")</f>
      </c>
      <c r="B8081" s="8" t="s">
        <v>7808</v>
      </c>
      <c r="C8081" s="9">
        <v>404</v>
      </c>
      <c r="D8081" s="0">
        <v>3</v>
      </c>
      <c r="E8081" s="10">
        <f>HYPERLINK("http://www.lingerieopt.ru/images/original/38abc533-0bc0-49b3-a925-2822dba30be2.jpg","Фото")</f>
      </c>
    </row>
    <row r="8082">
      <c r="A8082" s="7">
        <f>HYPERLINK("http://www.lingerieopt.ru/item/4538-chulki-v-setku-s-prostoi-kruzhevnoi-rezinkoi/","4538")</f>
      </c>
      <c r="B8082" s="8" t="s">
        <v>7809</v>
      </c>
      <c r="C8082" s="9">
        <v>404</v>
      </c>
      <c r="D8082" s="0">
        <v>0</v>
      </c>
      <c r="E8082" s="10">
        <f>HYPERLINK("http://www.lingerieopt.ru/images/original/38abc533-0bc0-49b3-a925-2822dba30be2.jpg","Фото")</f>
      </c>
    </row>
    <row r="8083">
      <c r="A8083" s="7">
        <f>HYPERLINK("http://www.lingerieopt.ru/item/4539-chulki-s-kruzhevnoi-rezinkoi/","4539")</f>
      </c>
      <c r="B8083" s="8" t="s">
        <v>7810</v>
      </c>
      <c r="C8083" s="9">
        <v>359</v>
      </c>
      <c r="D8083" s="0">
        <v>0</v>
      </c>
      <c r="E8083" s="10">
        <f>HYPERLINK("http://www.lingerieopt.ru/images/original/31fb8003-6bf5-4633-90c8-5817bdf866f3.jpg","Фото")</f>
      </c>
    </row>
    <row r="8084">
      <c r="A8084" s="7">
        <f>HYPERLINK("http://www.lingerieopt.ru/item/4539-chulki-s-kruzhevnoi-rezinkoi/","4539")</f>
      </c>
      <c r="B8084" s="8" t="s">
        <v>7811</v>
      </c>
      <c r="C8084" s="9">
        <v>359</v>
      </c>
      <c r="D8084" s="0">
        <v>6</v>
      </c>
      <c r="E8084" s="10">
        <f>HYPERLINK("http://www.lingerieopt.ru/images/original/31fb8003-6bf5-4633-90c8-5817bdf866f3.jpg","Фото")</f>
      </c>
    </row>
    <row r="8085">
      <c r="A8085" s="7">
        <f>HYPERLINK("http://www.lingerieopt.ru/item/4539-chulki-s-kruzhevnoi-rezinkoi/","4539")</f>
      </c>
      <c r="B8085" s="8" t="s">
        <v>7812</v>
      </c>
      <c r="C8085" s="9">
        <v>359</v>
      </c>
      <c r="D8085" s="0">
        <v>0</v>
      </c>
      <c r="E8085" s="10">
        <f>HYPERLINK("http://www.lingerieopt.ru/images/original/31fb8003-6bf5-4633-90c8-5817bdf866f3.jpg","Фото")</f>
      </c>
    </row>
    <row r="8086">
      <c r="A8086" s="7">
        <f>HYPERLINK("http://www.lingerieopt.ru/item/4539-chulki-s-kruzhevnoi-rezinkoi/","4539")</f>
      </c>
      <c r="B8086" s="8" t="s">
        <v>7813</v>
      </c>
      <c r="C8086" s="9">
        <v>359</v>
      </c>
      <c r="D8086" s="0">
        <v>0</v>
      </c>
      <c r="E8086" s="10">
        <f>HYPERLINK("http://www.lingerieopt.ru/images/original/31fb8003-6bf5-4633-90c8-5817bdf866f3.jpg","Фото")</f>
      </c>
    </row>
    <row r="8087">
      <c r="A8087" s="7">
        <f>HYPERLINK("http://www.lingerieopt.ru/item/4594-elegantnje-chulki-so-strelkoi-i-bantikom/","4594")</f>
      </c>
      <c r="B8087" s="8" t="s">
        <v>7814</v>
      </c>
      <c r="C8087" s="9">
        <v>678</v>
      </c>
      <c r="D8087" s="0">
        <v>1</v>
      </c>
      <c r="E8087" s="10">
        <f>HYPERLINK("http://www.lingerieopt.ru/images/original/a0b6f156-7b1d-4c6c-bad8-7420362b0216.jpg","Фото")</f>
      </c>
    </row>
    <row r="8088">
      <c r="A8088" s="7">
        <f>HYPERLINK("http://www.lingerieopt.ru/item/4596-chulki-v-melkuyu-setku-so-strelkoi/","4596")</f>
      </c>
      <c r="B8088" s="8" t="s">
        <v>7815</v>
      </c>
      <c r="C8088" s="9">
        <v>315</v>
      </c>
      <c r="D8088" s="0">
        <v>6</v>
      </c>
      <c r="E8088" s="10">
        <f>HYPERLINK("http://www.lingerieopt.ru/images/original/b3b27aa3-b6df-433e-9af0-1e0c0ceb087f.jpg","Фото")</f>
      </c>
    </row>
    <row r="8089">
      <c r="A8089" s="7">
        <f>HYPERLINK("http://www.lingerieopt.ru/item/4597-setchatje-chulki-s-kruzhevnoi-rezinkoi/","4597")</f>
      </c>
      <c r="B8089" s="8" t="s">
        <v>7816</v>
      </c>
      <c r="C8089" s="9">
        <v>315</v>
      </c>
      <c r="D8089" s="0">
        <v>6</v>
      </c>
      <c r="E8089" s="10">
        <f>HYPERLINK("http://www.lingerieopt.ru/images/original/e32f14ef-935b-46c2-8b6c-2d9e11fbced2.jpg","Фото")</f>
      </c>
    </row>
    <row r="8090">
      <c r="A8090" s="7">
        <f>HYPERLINK("http://www.lingerieopt.ru/item/4597-setchatje-chulki-s-kruzhevnoi-rezinkoi/","4597")</f>
      </c>
      <c r="B8090" s="8" t="s">
        <v>7817</v>
      </c>
      <c r="C8090" s="9">
        <v>315</v>
      </c>
      <c r="D8090" s="0">
        <v>0</v>
      </c>
      <c r="E8090" s="10">
        <f>HYPERLINK("http://www.lingerieopt.ru/images/original/e32f14ef-935b-46c2-8b6c-2d9e11fbced2.jpg","Фото")</f>
      </c>
    </row>
    <row r="8091">
      <c r="A8091" s="7">
        <f>HYPERLINK("http://www.lingerieopt.ru/item/4597-setchatje-chulki-s-kruzhevnoi-rezinkoi/","4597")</f>
      </c>
      <c r="B8091" s="8" t="s">
        <v>7818</v>
      </c>
      <c r="C8091" s="9">
        <v>315</v>
      </c>
      <c r="D8091" s="0">
        <v>0</v>
      </c>
      <c r="E8091" s="10">
        <f>HYPERLINK("http://www.lingerieopt.ru/images/original/e32f14ef-935b-46c2-8b6c-2d9e11fbced2.jpg","Фото")</f>
      </c>
    </row>
    <row r="8092">
      <c r="A8092" s="7">
        <f>HYPERLINK("http://www.lingerieopt.ru/item/4619-izjskannji-kruzhevnoi-poyas-s-podvyazkami-dlya-chulok/","4619")</f>
      </c>
      <c r="B8092" s="8" t="s">
        <v>7819</v>
      </c>
      <c r="C8092" s="9">
        <v>1102</v>
      </c>
      <c r="D8092" s="0">
        <v>0</v>
      </c>
      <c r="E8092" s="10">
        <f>HYPERLINK("http://www.lingerieopt.ru/images/original/c75fb28d-b4c8-45a7-9a7f-07b4598b1daf.jpg","Фото")</f>
      </c>
    </row>
    <row r="8093">
      <c r="A8093" s="7">
        <f>HYPERLINK("http://www.lingerieopt.ru/item/4619-izjskannji-kruzhevnoi-poyas-s-podvyazkami-dlya-chulok/","4619")</f>
      </c>
      <c r="B8093" s="8" t="s">
        <v>7820</v>
      </c>
      <c r="C8093" s="9">
        <v>1102</v>
      </c>
      <c r="D8093" s="0">
        <v>0</v>
      </c>
      <c r="E8093" s="10">
        <f>HYPERLINK("http://www.lingerieopt.ru/images/original/c75fb28d-b4c8-45a7-9a7f-07b4598b1daf.jpg","Фото")</f>
      </c>
    </row>
    <row r="8094">
      <c r="A8094" s="7">
        <f>HYPERLINK("http://www.lingerieopt.ru/item/4619-izjskannji-kruzhevnoi-poyas-s-podvyazkami-dlya-chulok/","4619")</f>
      </c>
      <c r="B8094" s="8" t="s">
        <v>7821</v>
      </c>
      <c r="C8094" s="9">
        <v>1102</v>
      </c>
      <c r="D8094" s="0">
        <v>6</v>
      </c>
      <c r="E8094" s="10">
        <f>HYPERLINK("http://www.lingerieopt.ru/images/original/c75fb28d-b4c8-45a7-9a7f-07b4598b1daf.jpg","Фото")</f>
      </c>
    </row>
    <row r="8095">
      <c r="A8095" s="7">
        <f>HYPERLINK("http://www.lingerieopt.ru/item/4619-izjskannji-kruzhevnoi-poyas-s-podvyazkami-dlya-chulok/","4619")</f>
      </c>
      <c r="B8095" s="8" t="s">
        <v>7822</v>
      </c>
      <c r="C8095" s="9">
        <v>1102</v>
      </c>
      <c r="D8095" s="0">
        <v>6</v>
      </c>
      <c r="E8095" s="10">
        <f>HYPERLINK("http://www.lingerieopt.ru/images/original/c75fb28d-b4c8-45a7-9a7f-07b4598b1daf.jpg","Фото")</f>
      </c>
    </row>
    <row r="8096">
      <c r="A8096" s="7">
        <f>HYPERLINK("http://www.lingerieopt.ru/item/4619-izjskannji-kruzhevnoi-poyas-s-podvyazkami-dlya-chulok/","4619")</f>
      </c>
      <c r="B8096" s="8" t="s">
        <v>7823</v>
      </c>
      <c r="C8096" s="9">
        <v>1102</v>
      </c>
      <c r="D8096" s="0">
        <v>6</v>
      </c>
      <c r="E8096" s="10">
        <f>HYPERLINK("http://www.lingerieopt.ru/images/original/c75fb28d-b4c8-45a7-9a7f-07b4598b1daf.jpg","Фото")</f>
      </c>
    </row>
    <row r="8097">
      <c r="A8097" s="7">
        <f>HYPERLINK("http://www.lingerieopt.ru/item/4619-izjskannji-kruzhevnoi-poyas-s-podvyazkami-dlya-chulok/","4619")</f>
      </c>
      <c r="B8097" s="8" t="s">
        <v>7824</v>
      </c>
      <c r="C8097" s="9">
        <v>1102</v>
      </c>
      <c r="D8097" s="0">
        <v>3</v>
      </c>
      <c r="E8097" s="10">
        <f>HYPERLINK("http://www.lingerieopt.ru/images/original/c75fb28d-b4c8-45a7-9a7f-07b4598b1daf.jpg","Фото")</f>
      </c>
    </row>
    <row r="8098">
      <c r="A8098" s="7">
        <f>HYPERLINK("http://www.lingerieopt.ru/item/4620-izjskannji-kruzhevnoi-poyas-s-podvyazkami-dlya-chulok/","4620")</f>
      </c>
      <c r="B8098" s="8" t="s">
        <v>7825</v>
      </c>
      <c r="C8098" s="9">
        <v>1018</v>
      </c>
      <c r="D8098" s="0">
        <v>6</v>
      </c>
      <c r="E8098" s="10">
        <f>HYPERLINK("http://www.lingerieopt.ru/images/original/e8ec1efc-0662-471c-a31b-aab5eb389157.jpg","Фото")</f>
      </c>
    </row>
    <row r="8099">
      <c r="A8099" s="7">
        <f>HYPERLINK("http://www.lingerieopt.ru/item/4620-izjskannji-kruzhevnoi-poyas-s-podvyazkami-dlya-chulok/","4620")</f>
      </c>
      <c r="B8099" s="8" t="s">
        <v>7826</v>
      </c>
      <c r="C8099" s="9">
        <v>1018</v>
      </c>
      <c r="D8099" s="0">
        <v>0</v>
      </c>
      <c r="E8099" s="10">
        <f>HYPERLINK("http://www.lingerieopt.ru/images/original/e8ec1efc-0662-471c-a31b-aab5eb389157.jpg","Фото")</f>
      </c>
    </row>
    <row r="8100">
      <c r="A8100" s="7">
        <f>HYPERLINK("http://www.lingerieopt.ru/item/4620-izjskannji-kruzhevnoi-poyas-s-podvyazkami-dlya-chulok/","4620")</f>
      </c>
      <c r="B8100" s="8" t="s">
        <v>7827</v>
      </c>
      <c r="C8100" s="9">
        <v>1018</v>
      </c>
      <c r="D8100" s="0">
        <v>0</v>
      </c>
      <c r="E8100" s="10">
        <f>HYPERLINK("http://www.lingerieopt.ru/images/original/e8ec1efc-0662-471c-a31b-aab5eb389157.jpg","Фото")</f>
      </c>
    </row>
    <row r="8101">
      <c r="A8101" s="7">
        <f>HYPERLINK("http://www.lingerieopt.ru/item/4620-izjskannji-kruzhevnoi-poyas-s-podvyazkami-dlya-chulok/","4620")</f>
      </c>
      <c r="B8101" s="8" t="s">
        <v>7828</v>
      </c>
      <c r="C8101" s="9">
        <v>1018</v>
      </c>
      <c r="D8101" s="0">
        <v>30</v>
      </c>
      <c r="E8101" s="10">
        <f>HYPERLINK("http://www.lingerieopt.ru/images/original/e8ec1efc-0662-471c-a31b-aab5eb389157.jpg","Фото")</f>
      </c>
    </row>
    <row r="8102">
      <c r="A8102" s="7">
        <f>HYPERLINK("http://www.lingerieopt.ru/item/4620-izjskannji-kruzhevnoi-poyas-s-podvyazkami-dlya-chulok/","4620")</f>
      </c>
      <c r="B8102" s="8" t="s">
        <v>7829</v>
      </c>
      <c r="C8102" s="9">
        <v>1018</v>
      </c>
      <c r="D8102" s="0">
        <v>0</v>
      </c>
      <c r="E8102" s="10">
        <f>HYPERLINK("http://www.lingerieopt.ru/images/original/e8ec1efc-0662-471c-a31b-aab5eb389157.jpg","Фото")</f>
      </c>
    </row>
    <row r="8103">
      <c r="A8103" s="7">
        <f>HYPERLINK("http://www.lingerieopt.ru/item/4620-izjskannji-kruzhevnoi-poyas-s-podvyazkami-dlya-chulok/","4620")</f>
      </c>
      <c r="B8103" s="8" t="s">
        <v>7830</v>
      </c>
      <c r="C8103" s="9">
        <v>1018</v>
      </c>
      <c r="D8103" s="0">
        <v>0</v>
      </c>
      <c r="E8103" s="10">
        <f>HYPERLINK("http://www.lingerieopt.ru/images/original/e8ec1efc-0662-471c-a31b-aab5eb389157.jpg","Фото")</f>
      </c>
    </row>
    <row r="8104">
      <c r="A8104" s="7">
        <f>HYPERLINK("http://www.lingerieopt.ru/item/4624-dvuhsloinji-poyas-s-pazhami-dlya-chulok/","4624")</f>
      </c>
      <c r="B8104" s="8" t="s">
        <v>7831</v>
      </c>
      <c r="C8104" s="9">
        <v>1018</v>
      </c>
      <c r="D8104" s="0">
        <v>0</v>
      </c>
      <c r="E8104" s="10">
        <f>HYPERLINK("http://www.lingerieopt.ru/images/original/f112d4f4-4447-49d5-9969-de90f27ae267.jpg","Фото")</f>
      </c>
    </row>
    <row r="8105">
      <c r="A8105" s="7">
        <f>HYPERLINK("http://www.lingerieopt.ru/item/4624-dvuhsloinji-poyas-s-pazhami-dlya-chulok/","4624")</f>
      </c>
      <c r="B8105" s="8" t="s">
        <v>7832</v>
      </c>
      <c r="C8105" s="9">
        <v>1018</v>
      </c>
      <c r="D8105" s="0">
        <v>0</v>
      </c>
      <c r="E8105" s="10">
        <f>HYPERLINK("http://www.lingerieopt.ru/images/original/f112d4f4-4447-49d5-9969-de90f27ae267.jpg","Фото")</f>
      </c>
    </row>
    <row r="8106">
      <c r="A8106" s="7">
        <f>HYPERLINK("http://www.lingerieopt.ru/item/4624-dvuhsloinji-poyas-s-pazhami-dlya-chulok/","4624")</f>
      </c>
      <c r="B8106" s="8" t="s">
        <v>7833</v>
      </c>
      <c r="C8106" s="9">
        <v>1018</v>
      </c>
      <c r="D8106" s="0">
        <v>30</v>
      </c>
      <c r="E8106" s="10">
        <f>HYPERLINK("http://www.lingerieopt.ru/images/original/f112d4f4-4447-49d5-9969-de90f27ae267.jpg","Фото")</f>
      </c>
    </row>
    <row r="8107">
      <c r="A8107" s="7">
        <f>HYPERLINK("http://www.lingerieopt.ru/item/4624-dvuhsloinji-poyas-s-pazhami-dlya-chulok/","4624")</f>
      </c>
      <c r="B8107" s="8" t="s">
        <v>7834</v>
      </c>
      <c r="C8107" s="9">
        <v>1018</v>
      </c>
      <c r="D8107" s="0">
        <v>6</v>
      </c>
      <c r="E8107" s="10">
        <f>HYPERLINK("http://www.lingerieopt.ru/images/original/f112d4f4-4447-49d5-9969-de90f27ae267.jpg","Фото")</f>
      </c>
    </row>
    <row r="8108">
      <c r="A8108" s="7">
        <f>HYPERLINK("http://www.lingerieopt.ru/item/4624-dvuhsloinji-poyas-s-pazhami-dlya-chulok/","4624")</f>
      </c>
      <c r="B8108" s="8" t="s">
        <v>7835</v>
      </c>
      <c r="C8108" s="9">
        <v>1018</v>
      </c>
      <c r="D8108" s="0">
        <v>0</v>
      </c>
      <c r="E8108" s="10">
        <f>HYPERLINK("http://www.lingerieopt.ru/images/original/f112d4f4-4447-49d5-9969-de90f27ae267.jpg","Фото")</f>
      </c>
    </row>
    <row r="8109">
      <c r="A8109" s="7">
        <f>HYPERLINK("http://www.lingerieopt.ru/item/4624-dvuhsloinji-poyas-s-pazhami-dlya-chulok/","4624")</f>
      </c>
      <c r="B8109" s="8" t="s">
        <v>7836</v>
      </c>
      <c r="C8109" s="9">
        <v>1018</v>
      </c>
      <c r="D8109" s="0">
        <v>0</v>
      </c>
      <c r="E8109" s="10">
        <f>HYPERLINK("http://www.lingerieopt.ru/images/original/f112d4f4-4447-49d5-9969-de90f27ae267.jpg","Фото")</f>
      </c>
    </row>
    <row r="8110">
      <c r="A8110" s="7">
        <f>HYPERLINK("http://www.lingerieopt.ru/item/4625-poyas-dlya-chulok-s-kruzhevnoi-yubochkoi/","4625")</f>
      </c>
      <c r="B8110" s="8" t="s">
        <v>7837</v>
      </c>
      <c r="C8110" s="9">
        <v>1187</v>
      </c>
      <c r="D8110" s="0">
        <v>1</v>
      </c>
      <c r="E8110" s="10">
        <f>HYPERLINK("http://www.lingerieopt.ru/images/original/7d80aaf2-db87-4b9e-b5c4-15311c775da7.jpg","Фото")</f>
      </c>
    </row>
    <row r="8111">
      <c r="A8111" s="7">
        <f>HYPERLINK("http://www.lingerieopt.ru/item/4625-poyas-dlya-chulok-s-kruzhevnoi-yubochkoi/","4625")</f>
      </c>
      <c r="B8111" s="8" t="s">
        <v>7838</v>
      </c>
      <c r="C8111" s="9">
        <v>1187</v>
      </c>
      <c r="D8111" s="0">
        <v>0</v>
      </c>
      <c r="E8111" s="10">
        <f>HYPERLINK("http://www.lingerieopt.ru/images/original/7d80aaf2-db87-4b9e-b5c4-15311c775da7.jpg","Фото")</f>
      </c>
    </row>
    <row r="8112">
      <c r="A8112" s="7">
        <f>HYPERLINK("http://www.lingerieopt.ru/item/4625-poyas-dlya-chulok-s-kruzhevnoi-yubochkoi/","4625")</f>
      </c>
      <c r="B8112" s="8" t="s">
        <v>7839</v>
      </c>
      <c r="C8112" s="9">
        <v>1187</v>
      </c>
      <c r="D8112" s="0">
        <v>6</v>
      </c>
      <c r="E8112" s="10">
        <f>HYPERLINK("http://www.lingerieopt.ru/images/original/7d80aaf2-db87-4b9e-b5c4-15311c775da7.jpg","Фото")</f>
      </c>
    </row>
    <row r="8113">
      <c r="A8113" s="7">
        <f>HYPERLINK("http://www.lingerieopt.ru/item/4625-poyas-dlya-chulok-s-kruzhevnoi-yubochkoi/","4625")</f>
      </c>
      <c r="B8113" s="8" t="s">
        <v>7840</v>
      </c>
      <c r="C8113" s="9">
        <v>1187</v>
      </c>
      <c r="D8113" s="0">
        <v>6</v>
      </c>
      <c r="E8113" s="10">
        <f>HYPERLINK("http://www.lingerieopt.ru/images/original/7d80aaf2-db87-4b9e-b5c4-15311c775da7.jpg","Фото")</f>
      </c>
    </row>
    <row r="8114">
      <c r="A8114" s="7">
        <f>HYPERLINK("http://www.lingerieopt.ru/item/4625-poyas-dlya-chulok-s-kruzhevnoi-yubochkoi/","4625")</f>
      </c>
      <c r="B8114" s="8" t="s">
        <v>7841</v>
      </c>
      <c r="C8114" s="9">
        <v>1187</v>
      </c>
      <c r="D8114" s="0">
        <v>0</v>
      </c>
      <c r="E8114" s="10">
        <f>HYPERLINK("http://www.lingerieopt.ru/images/original/7d80aaf2-db87-4b9e-b5c4-15311c775da7.jpg","Фото")</f>
      </c>
    </row>
    <row r="8115">
      <c r="A8115" s="7">
        <f>HYPERLINK("http://www.lingerieopt.ru/item/4625-poyas-dlya-chulok-s-kruzhevnoi-yubochkoi/","4625")</f>
      </c>
      <c r="B8115" s="8" t="s">
        <v>7842</v>
      </c>
      <c r="C8115" s="9">
        <v>1187</v>
      </c>
      <c r="D8115" s="0">
        <v>6</v>
      </c>
      <c r="E8115" s="10">
        <f>HYPERLINK("http://www.lingerieopt.ru/images/original/7d80aaf2-db87-4b9e-b5c4-15311c775da7.jpg","Фото")</f>
      </c>
    </row>
    <row r="8116">
      <c r="A8116" s="7">
        <f>HYPERLINK("http://www.lingerieopt.ru/item/4638-elastichnji-poyas-dlya-chulok/","4638")</f>
      </c>
      <c r="B8116" s="8" t="s">
        <v>7843</v>
      </c>
      <c r="C8116" s="9">
        <v>1187</v>
      </c>
      <c r="D8116" s="0">
        <v>1</v>
      </c>
      <c r="E8116" s="10">
        <f>HYPERLINK("http://www.lingerieopt.ru/images/original/661e6e48-f506-4910-85f4-0e552d7d5e5c.jpg","Фото")</f>
      </c>
    </row>
    <row r="8117">
      <c r="A8117" s="7">
        <f>HYPERLINK("http://www.lingerieopt.ru/item/4875-kruzhevnoi-poyas-dlya-chulok-liana/","4875")</f>
      </c>
      <c r="B8117" s="8" t="s">
        <v>7844</v>
      </c>
      <c r="C8117" s="9">
        <v>546</v>
      </c>
      <c r="D8117" s="0">
        <v>0</v>
      </c>
      <c r="E8117" s="10">
        <f>HYPERLINK("http://www.lingerieopt.ru/images/original/462618d7-b645-48a2-9ba1-a25fe9e38216.jpg","Фото")</f>
      </c>
    </row>
    <row r="8118">
      <c r="A8118" s="7">
        <f>HYPERLINK("http://www.lingerieopt.ru/item/4875-kruzhevnoi-poyas-dlya-chulok-liana/","4875")</f>
      </c>
      <c r="B8118" s="8" t="s">
        <v>7845</v>
      </c>
      <c r="C8118" s="9">
        <v>546</v>
      </c>
      <c r="D8118" s="0">
        <v>28</v>
      </c>
      <c r="E8118" s="10">
        <f>HYPERLINK("http://www.lingerieopt.ru/images/original/462618d7-b645-48a2-9ba1-a25fe9e38216.jpg","Фото")</f>
      </c>
    </row>
    <row r="8119">
      <c r="A8119" s="7">
        <f>HYPERLINK("http://www.lingerieopt.ru/item/4876-kruzhevnoi-poyas-dlya-chulok-adel/","4876")</f>
      </c>
      <c r="B8119" s="8" t="s">
        <v>7846</v>
      </c>
      <c r="C8119" s="9">
        <v>561</v>
      </c>
      <c r="D8119" s="0">
        <v>41</v>
      </c>
      <c r="E8119" s="10">
        <f>HYPERLINK("http://www.lingerieopt.ru/images/original/a5401717-94a1-4369-85bc-47ca559b6e9e.jpg","Фото")</f>
      </c>
    </row>
    <row r="8120">
      <c r="A8120" s="7">
        <f>HYPERLINK("http://www.lingerieopt.ru/item/4876-kruzhevnoi-poyas-dlya-chulok-adel/","4876")</f>
      </c>
      <c r="B8120" s="8" t="s">
        <v>7847</v>
      </c>
      <c r="C8120" s="9">
        <v>561</v>
      </c>
      <c r="D8120" s="0">
        <v>14</v>
      </c>
      <c r="E8120" s="10">
        <f>HYPERLINK("http://www.lingerieopt.ru/images/original/a5401717-94a1-4369-85bc-47ca559b6e9e.jpg","Фото")</f>
      </c>
    </row>
    <row r="8121">
      <c r="A8121" s="7">
        <f>HYPERLINK("http://www.lingerieopt.ru/item/4879-kruzhevnoi-poyas-dlya-chulok-denise-s-vshitjmi-trusikami/","4879")</f>
      </c>
      <c r="B8121" s="8" t="s">
        <v>6255</v>
      </c>
      <c r="C8121" s="9">
        <v>671</v>
      </c>
      <c r="D8121" s="0">
        <v>14</v>
      </c>
      <c r="E8121" s="10">
        <f>HYPERLINK("http://www.lingerieopt.ru/images/original/4a27157a-6220-44ef-ae6c-015762f91afa.jpg","Фото")</f>
      </c>
    </row>
    <row r="8122">
      <c r="A8122" s="7">
        <f>HYPERLINK("http://www.lingerieopt.ru/item/4879-kruzhevnoi-poyas-dlya-chulok-denise-s-vshitjmi-trusikami/","4879")</f>
      </c>
      <c r="B8122" s="8" t="s">
        <v>6256</v>
      </c>
      <c r="C8122" s="9">
        <v>671</v>
      </c>
      <c r="D8122" s="0">
        <v>0</v>
      </c>
      <c r="E8122" s="10">
        <f>HYPERLINK("http://www.lingerieopt.ru/images/original/4a27157a-6220-44ef-ae6c-015762f91afa.jpg","Фото")</f>
      </c>
    </row>
    <row r="8123">
      <c r="A8123" s="7">
        <f>HYPERLINK("http://www.lingerieopt.ru/item/4904-chulki-v-vertikalnuyu-polosku-s-bantikom-na-rezinke/","4904")</f>
      </c>
      <c r="B8123" s="8" t="s">
        <v>7848</v>
      </c>
      <c r="C8123" s="9">
        <v>678</v>
      </c>
      <c r="D8123" s="0">
        <v>1</v>
      </c>
      <c r="E8123" s="10">
        <f>HYPERLINK("http://www.lingerieopt.ru/images/original/4cdfd903-2c70-4265-9f09-8dde9c32ad73.jpg","Фото")</f>
      </c>
    </row>
    <row r="8124">
      <c r="A8124" s="7">
        <f>HYPERLINK("http://www.lingerieopt.ru/item/4966-azhurnje-chulki-s-polosatjmi-rezinkami-na-silikone/","4966")</f>
      </c>
      <c r="B8124" s="8" t="s">
        <v>7849</v>
      </c>
      <c r="C8124" s="9">
        <v>627</v>
      </c>
      <c r="D8124" s="0">
        <v>2</v>
      </c>
      <c r="E8124" s="10">
        <f>HYPERLINK("http://www.lingerieopt.ru/images/original/90bf9fa5-53c9-4d7a-beb3-a324346cb2e8.jpg","Фото")</f>
      </c>
    </row>
    <row r="8125">
      <c r="A8125" s="7">
        <f>HYPERLINK("http://www.lingerieopt.ru/item/4966-azhurnje-chulki-s-polosatjmi-rezinkami-na-silikone/","4966")</f>
      </c>
      <c r="B8125" s="8" t="s">
        <v>7850</v>
      </c>
      <c r="C8125" s="9">
        <v>627</v>
      </c>
      <c r="D8125" s="0">
        <v>0</v>
      </c>
      <c r="E8125" s="10">
        <f>HYPERLINK("http://www.lingerieopt.ru/images/original/90bf9fa5-53c9-4d7a-beb3-a324346cb2e8.jpg","Фото")</f>
      </c>
    </row>
    <row r="8126">
      <c r="A8126" s="7">
        <f>HYPERLINK("http://www.lingerieopt.ru/item/4968-krasivje-chulki-s-rombovidnjm-uzorom-na-rezinke/","4968")</f>
      </c>
      <c r="B8126" s="8" t="s">
        <v>7851</v>
      </c>
      <c r="C8126" s="9">
        <v>640</v>
      </c>
      <c r="D8126" s="0">
        <v>0</v>
      </c>
      <c r="E8126" s="10">
        <f>HYPERLINK("http://www.lingerieopt.ru/images/original/d8270e36-4135-4ce6-95e3-4656ffff2647.jpg","Фото")</f>
      </c>
    </row>
    <row r="8127">
      <c r="A8127" s="7">
        <f>HYPERLINK("http://www.lingerieopt.ru/item/4968-krasivje-chulki-s-rombovidnjm-uzorom-na-rezinke/","4968")</f>
      </c>
      <c r="B8127" s="8" t="s">
        <v>7852</v>
      </c>
      <c r="C8127" s="9">
        <v>640</v>
      </c>
      <c r="D8127" s="0">
        <v>1</v>
      </c>
      <c r="E8127" s="10">
        <f>HYPERLINK("http://www.lingerieopt.ru/images/original/d8270e36-4135-4ce6-95e3-4656ffff2647.jpg","Фото")</f>
      </c>
    </row>
    <row r="8128">
      <c r="A8128" s="7">
        <f>HYPERLINK("http://www.lingerieopt.ru/item/4970-azhurnje-chulki-kabare-na-silikone/","4970")</f>
      </c>
      <c r="B8128" s="8" t="s">
        <v>7853</v>
      </c>
      <c r="C8128" s="9">
        <v>790</v>
      </c>
      <c r="D8128" s="0">
        <v>1</v>
      </c>
      <c r="E8128" s="10">
        <f>HYPERLINK("http://www.lingerieopt.ru/images/original/926df958-665a-4ab8-bb51-be928ac9519e.jpg","Фото")</f>
      </c>
    </row>
    <row r="8129">
      <c r="A8129" s="7">
        <f>HYPERLINK("http://www.lingerieopt.ru/item/4970-azhurnje-chulki-kabare-na-silikone/","4970")</f>
      </c>
      <c r="B8129" s="8" t="s">
        <v>7854</v>
      </c>
      <c r="C8129" s="9">
        <v>790</v>
      </c>
      <c r="D8129" s="0">
        <v>2</v>
      </c>
      <c r="E8129" s="10">
        <f>HYPERLINK("http://www.lingerieopt.ru/images/original/926df958-665a-4ab8-bb51-be928ac9519e.jpg","Фото")</f>
      </c>
    </row>
    <row r="8130">
      <c r="A8130" s="7">
        <f>HYPERLINK("http://www.lingerieopt.ru/item/5131-azhurnje-chulki-v-setku-s-poyasom/","5131")</f>
      </c>
      <c r="B8130" s="8" t="s">
        <v>7855</v>
      </c>
      <c r="C8130" s="9">
        <v>756</v>
      </c>
      <c r="D8130" s="0">
        <v>9</v>
      </c>
      <c r="E8130" s="10">
        <f>HYPERLINK("http://www.lingerieopt.ru/images/original/1b94748c-3016-487f-84b7-f89d52bc632c.jpg","Фото")</f>
      </c>
    </row>
    <row r="8131">
      <c r="A8131" s="7">
        <f>HYPERLINK("http://www.lingerieopt.ru/item/5190-kruzhevnoi-poyas-dlya-chulok-i-trusiki-stringi/","5190")</f>
      </c>
      <c r="B8131" s="8" t="s">
        <v>6370</v>
      </c>
      <c r="C8131" s="9">
        <v>756</v>
      </c>
      <c r="D8131" s="0">
        <v>5</v>
      </c>
      <c r="E8131" s="10">
        <f>HYPERLINK("http://www.lingerieopt.ru/images/original/f8a585b2-0194-463a-a39a-d5940af0bfa8.jpg","Фото")</f>
      </c>
    </row>
    <row r="8132">
      <c r="A8132" s="7">
        <f>HYPERLINK("http://www.lingerieopt.ru/item/5190-kruzhevnoi-poyas-dlya-chulok-i-trusiki-stringi/","5190")</f>
      </c>
      <c r="B8132" s="8" t="s">
        <v>6372</v>
      </c>
      <c r="C8132" s="9">
        <v>756</v>
      </c>
      <c r="D8132" s="0">
        <v>77</v>
      </c>
      <c r="E8132" s="10">
        <f>HYPERLINK("http://www.lingerieopt.ru/images/original/f8a585b2-0194-463a-a39a-d5940af0bfa8.jpg","Фото")</f>
      </c>
    </row>
    <row r="8133">
      <c r="A8133" s="7">
        <f>HYPERLINK("http://www.lingerieopt.ru/item/5190-kruzhevnoi-poyas-dlya-chulok-i-trusiki-stringi/","5190")</f>
      </c>
      <c r="B8133" s="8" t="s">
        <v>6373</v>
      </c>
      <c r="C8133" s="9">
        <v>756</v>
      </c>
      <c r="D8133" s="0">
        <v>10</v>
      </c>
      <c r="E8133" s="10">
        <f>HYPERLINK("http://www.lingerieopt.ru/images/original/f8a585b2-0194-463a-a39a-d5940af0bfa8.jpg","Фото")</f>
      </c>
    </row>
    <row r="8134">
      <c r="A8134" s="7">
        <f>HYPERLINK("http://www.lingerieopt.ru/item/5190-kruzhevnoi-poyas-dlya-chulok-i-trusiki-stringi/","5190")</f>
      </c>
      <c r="B8134" s="8" t="s">
        <v>6371</v>
      </c>
      <c r="C8134" s="9">
        <v>756</v>
      </c>
      <c r="D8134" s="0">
        <v>15</v>
      </c>
      <c r="E8134" s="10">
        <f>HYPERLINK("http://www.lingerieopt.ru/images/original/f8a585b2-0194-463a-a39a-d5940af0bfa8.jpg","Фото")</f>
      </c>
    </row>
    <row r="8135">
      <c r="A8135" s="7">
        <f>HYPERLINK("http://www.lingerieopt.ru/item/5190-kruzhevnoi-poyas-dlya-chulok-i-trusiki-stringi/","5190")</f>
      </c>
      <c r="B8135" s="8" t="s">
        <v>6375</v>
      </c>
      <c r="C8135" s="9">
        <v>756</v>
      </c>
      <c r="D8135" s="0">
        <v>20</v>
      </c>
      <c r="E8135" s="10">
        <f>HYPERLINK("http://www.lingerieopt.ru/images/original/f8a585b2-0194-463a-a39a-d5940af0bfa8.jpg","Фото")</f>
      </c>
    </row>
    <row r="8136">
      <c r="A8136" s="7">
        <f>HYPERLINK("http://www.lingerieopt.ru/item/5190-kruzhevnoi-poyas-dlya-chulok-i-trusiki-stringi/","5190")</f>
      </c>
      <c r="B8136" s="8" t="s">
        <v>6374</v>
      </c>
      <c r="C8136" s="9">
        <v>756</v>
      </c>
      <c r="D8136" s="0">
        <v>19</v>
      </c>
      <c r="E8136" s="10">
        <f>HYPERLINK("http://www.lingerieopt.ru/images/original/f8a585b2-0194-463a-a39a-d5940af0bfa8.jpg","Фото")</f>
      </c>
    </row>
    <row r="8137">
      <c r="A8137" s="7">
        <f>HYPERLINK("http://www.lingerieopt.ru/item/5205-kruzhevnoi-poyas-s-pazhami-dlya-chulok-i-trusiki/","5205")</f>
      </c>
      <c r="B8137" s="8" t="s">
        <v>6417</v>
      </c>
      <c r="C8137" s="9">
        <v>749</v>
      </c>
      <c r="D8137" s="0">
        <v>0</v>
      </c>
      <c r="E8137" s="10">
        <f>HYPERLINK("http://www.lingerieopt.ru/images/original/b8916d43-7210-4869-8ad5-00f8e8c16741.jpg","Фото")</f>
      </c>
    </row>
    <row r="8138">
      <c r="A8138" s="7">
        <f>HYPERLINK("http://www.lingerieopt.ru/item/5205-kruzhevnoi-poyas-s-pazhami-dlya-chulok-i-trusiki/","5205")</f>
      </c>
      <c r="B8138" s="8" t="s">
        <v>6419</v>
      </c>
      <c r="C8138" s="9">
        <v>749</v>
      </c>
      <c r="D8138" s="0">
        <v>14</v>
      </c>
      <c r="E8138" s="10">
        <f>HYPERLINK("http://www.lingerieopt.ru/images/original/b8916d43-7210-4869-8ad5-00f8e8c16741.jpg","Фото")</f>
      </c>
    </row>
    <row r="8139">
      <c r="A8139" s="7">
        <f>HYPERLINK("http://www.lingerieopt.ru/item/5205-kruzhevnoi-poyas-s-pazhami-dlya-chulok-i-trusiki/","5205")</f>
      </c>
      <c r="B8139" s="8" t="s">
        <v>6418</v>
      </c>
      <c r="C8139" s="9">
        <v>749</v>
      </c>
      <c r="D8139" s="0">
        <v>13</v>
      </c>
      <c r="E8139" s="10">
        <f>HYPERLINK("http://www.lingerieopt.ru/images/original/b8916d43-7210-4869-8ad5-00f8e8c16741.jpg","Фото")</f>
      </c>
    </row>
    <row r="8140">
      <c r="A8140" s="7">
        <f>HYPERLINK("http://www.lingerieopt.ru/item/5205-kruzhevnoi-poyas-s-pazhami-dlya-chulok-i-trusiki/","5205")</f>
      </c>
      <c r="B8140" s="8" t="s">
        <v>6420</v>
      </c>
      <c r="C8140" s="9">
        <v>749</v>
      </c>
      <c r="D8140" s="0">
        <v>10</v>
      </c>
      <c r="E8140" s="10">
        <f>HYPERLINK("http://www.lingerieopt.ru/images/original/b8916d43-7210-4869-8ad5-00f8e8c16741.jpg","Фото")</f>
      </c>
    </row>
    <row r="8141">
      <c r="A8141" s="7">
        <f>HYPERLINK("http://www.lingerieopt.ru/item/5205-kruzhevnoi-poyas-s-pazhami-dlya-chulok-i-trusiki/","5205")</f>
      </c>
      <c r="B8141" s="8" t="s">
        <v>6421</v>
      </c>
      <c r="C8141" s="9">
        <v>749</v>
      </c>
      <c r="D8141" s="0">
        <v>14</v>
      </c>
      <c r="E8141" s="10">
        <f>HYPERLINK("http://www.lingerieopt.ru/images/original/b8916d43-7210-4869-8ad5-00f8e8c16741.jpg","Фото")</f>
      </c>
    </row>
    <row r="8142">
      <c r="A8142" s="7">
        <f>HYPERLINK("http://www.lingerieopt.ru/item/5205-kruzhevnoi-poyas-s-pazhami-dlya-chulok-i-trusiki/","5205")</f>
      </c>
      <c r="B8142" s="8" t="s">
        <v>6416</v>
      </c>
      <c r="C8142" s="9">
        <v>749</v>
      </c>
      <c r="D8142" s="0">
        <v>7</v>
      </c>
      <c r="E8142" s="10">
        <f>HYPERLINK("http://www.lingerieopt.ru/images/original/b8916d43-7210-4869-8ad5-00f8e8c16741.jpg","Фото")</f>
      </c>
    </row>
    <row r="8143">
      <c r="A8143" s="7">
        <f>HYPERLINK("http://www.lingerieopt.ru/item/5205-kruzhevnoi-poyas-s-pazhami-dlya-chulok-i-trusiki/","5205")</f>
      </c>
      <c r="B8143" s="8" t="s">
        <v>6414</v>
      </c>
      <c r="C8143" s="9">
        <v>749</v>
      </c>
      <c r="D8143" s="0">
        <v>0</v>
      </c>
      <c r="E8143" s="10">
        <f>HYPERLINK("http://www.lingerieopt.ru/images/original/b8916d43-7210-4869-8ad5-00f8e8c16741.jpg","Фото")</f>
      </c>
    </row>
    <row r="8144">
      <c r="A8144" s="7">
        <f>HYPERLINK("http://www.lingerieopt.ru/item/5205-kruzhevnoi-poyas-s-pazhami-dlya-chulok-i-trusiki/","5205")</f>
      </c>
      <c r="B8144" s="8" t="s">
        <v>6413</v>
      </c>
      <c r="C8144" s="9">
        <v>749</v>
      </c>
      <c r="D8144" s="0">
        <v>6</v>
      </c>
      <c r="E8144" s="10">
        <f>HYPERLINK("http://www.lingerieopt.ru/images/original/b8916d43-7210-4869-8ad5-00f8e8c16741.jpg","Фото")</f>
      </c>
    </row>
    <row r="8145">
      <c r="A8145" s="7">
        <f>HYPERLINK("http://www.lingerieopt.ru/item/5205-kruzhevnoi-poyas-s-pazhami-dlya-chulok-i-trusiki/","5205")</f>
      </c>
      <c r="B8145" s="8" t="s">
        <v>6412</v>
      </c>
      <c r="C8145" s="9">
        <v>749</v>
      </c>
      <c r="D8145" s="0">
        <v>31</v>
      </c>
      <c r="E8145" s="10">
        <f>HYPERLINK("http://www.lingerieopt.ru/images/original/b8916d43-7210-4869-8ad5-00f8e8c16741.jpg","Фото")</f>
      </c>
    </row>
    <row r="8146">
      <c r="A8146" s="7">
        <f>HYPERLINK("http://www.lingerieopt.ru/item/5205-kruzhevnoi-poyas-s-pazhami-dlya-chulok-i-trusiki/","5205")</f>
      </c>
      <c r="B8146" s="8" t="s">
        <v>6415</v>
      </c>
      <c r="C8146" s="9">
        <v>749</v>
      </c>
      <c r="D8146" s="0">
        <v>6</v>
      </c>
      <c r="E8146" s="10">
        <f>HYPERLINK("http://www.lingerieopt.ru/images/original/b8916d43-7210-4869-8ad5-00f8e8c16741.jpg","Фото")</f>
      </c>
    </row>
    <row r="8147">
      <c r="A8147" s="7">
        <f>HYPERLINK("http://www.lingerieopt.ru/item/5205-kruzhevnoi-poyas-s-pazhami-dlya-chulok-i-trusiki/","5205")</f>
      </c>
      <c r="B8147" s="8" t="s">
        <v>6424</v>
      </c>
      <c r="C8147" s="9">
        <v>749</v>
      </c>
      <c r="D8147" s="0">
        <v>8</v>
      </c>
      <c r="E8147" s="10">
        <f>HYPERLINK("http://www.lingerieopt.ru/images/original/b8916d43-7210-4869-8ad5-00f8e8c16741.jpg","Фото")</f>
      </c>
    </row>
    <row r="8148">
      <c r="A8148" s="7">
        <f>HYPERLINK("http://www.lingerieopt.ru/item/5205-kruzhevnoi-poyas-s-pazhami-dlya-chulok-i-trusiki/","5205")</f>
      </c>
      <c r="B8148" s="8" t="s">
        <v>6425</v>
      </c>
      <c r="C8148" s="9">
        <v>749</v>
      </c>
      <c r="D8148" s="0">
        <v>26</v>
      </c>
      <c r="E8148" s="10">
        <f>HYPERLINK("http://www.lingerieopt.ru/images/original/b8916d43-7210-4869-8ad5-00f8e8c16741.jpg","Фото")</f>
      </c>
    </row>
    <row r="8149">
      <c r="A8149" s="7">
        <f>HYPERLINK("http://www.lingerieopt.ru/item/5205-kruzhevnoi-poyas-s-pazhami-dlya-chulok-i-trusiki/","5205")</f>
      </c>
      <c r="B8149" s="8" t="s">
        <v>6426</v>
      </c>
      <c r="C8149" s="9">
        <v>749</v>
      </c>
      <c r="D8149" s="0">
        <v>0</v>
      </c>
      <c r="E8149" s="10">
        <f>HYPERLINK("http://www.lingerieopt.ru/images/original/b8916d43-7210-4869-8ad5-00f8e8c16741.jpg","Фото")</f>
      </c>
    </row>
    <row r="8150">
      <c r="A8150" s="7">
        <f>HYPERLINK("http://www.lingerieopt.ru/item/5205-kruzhevnoi-poyas-s-pazhami-dlya-chulok-i-trusiki/","5205")</f>
      </c>
      <c r="B8150" s="8" t="s">
        <v>6422</v>
      </c>
      <c r="C8150" s="9">
        <v>749</v>
      </c>
      <c r="D8150" s="0">
        <v>4</v>
      </c>
      <c r="E8150" s="10">
        <f>HYPERLINK("http://www.lingerieopt.ru/images/original/b8916d43-7210-4869-8ad5-00f8e8c16741.jpg","Фото")</f>
      </c>
    </row>
    <row r="8151">
      <c r="A8151" s="7">
        <f>HYPERLINK("http://www.lingerieopt.ru/item/5205-kruzhevnoi-poyas-s-pazhami-dlya-chulok-i-trusiki/","5205")</f>
      </c>
      <c r="B8151" s="8" t="s">
        <v>6423</v>
      </c>
      <c r="C8151" s="9">
        <v>749</v>
      </c>
      <c r="D8151" s="0">
        <v>53</v>
      </c>
      <c r="E8151" s="10">
        <f>HYPERLINK("http://www.lingerieopt.ru/images/original/b8916d43-7210-4869-8ad5-00f8e8c16741.jpg","Фото")</f>
      </c>
    </row>
    <row r="8152">
      <c r="A8152" s="7">
        <f>HYPERLINK("http://www.lingerieopt.ru/item/5266-chulki-na-kruzhevnom-poyaske-s-perekrestnjmi-pazhami/","5266")</f>
      </c>
      <c r="B8152" s="8" t="s">
        <v>7856</v>
      </c>
      <c r="C8152" s="9">
        <v>592</v>
      </c>
      <c r="D8152" s="0">
        <v>17</v>
      </c>
      <c r="E8152" s="10">
        <f>HYPERLINK("http://www.lingerieopt.ru/images/original/20f7fe9f-cd00-42aa-9b95-f784390aea29.jpg","Фото")</f>
      </c>
    </row>
    <row r="8153">
      <c r="A8153" s="7">
        <f>HYPERLINK("http://www.lingerieopt.ru/item/5269-setchatje-chulki-na-azhurnjh-pazhah-i-poyaske/","5269")</f>
      </c>
      <c r="B8153" s="8" t="s">
        <v>7857</v>
      </c>
      <c r="C8153" s="9">
        <v>592</v>
      </c>
      <c r="D8153" s="0">
        <v>10</v>
      </c>
      <c r="E8153" s="10">
        <f>HYPERLINK("http://www.lingerieopt.ru/images/original/f6fdb381-0ef6-44b5-9fb1-76d7f70a36a9.jpg","Фото")</f>
      </c>
    </row>
    <row r="8154">
      <c r="A8154" s="7">
        <f>HYPERLINK("http://www.lingerieopt.ru/item/5279-poyas-s-pazhami-i-chulki-s-imitaciei-shirokoi-kruzhevnoi-rezinki/","5279")</f>
      </c>
      <c r="B8154" s="8" t="s">
        <v>7858</v>
      </c>
      <c r="C8154" s="9">
        <v>617</v>
      </c>
      <c r="D8154" s="0">
        <v>7</v>
      </c>
      <c r="E8154" s="10">
        <f>HYPERLINK("http://www.lingerieopt.ru/images/original/e5be4e90-778e-461e-82e1-6e5faa878e05.jpg","Фото")</f>
      </c>
    </row>
    <row r="8155">
      <c r="A8155" s="7">
        <f>HYPERLINK("http://www.lingerieopt.ru/item/5280-chulki-medsestrj-v-krupnuyu-setku-i-s-bantami/","5280")</f>
      </c>
      <c r="B8155" s="8" t="s">
        <v>7859</v>
      </c>
      <c r="C8155" s="9">
        <v>486</v>
      </c>
      <c r="D8155" s="0">
        <v>11</v>
      </c>
      <c r="E8155" s="10">
        <f>HYPERLINK("http://www.lingerieopt.ru/images/original/5238ea7e-5fd7-40e1-af99-ffdf45e95f3c.jpg","Фото")</f>
      </c>
    </row>
    <row r="8156">
      <c r="A8156" s="7">
        <f>HYPERLINK("http://www.lingerieopt.ru/item/5283-setchatje-chulki-s-odnotonnoi-rezinkoi-i-strelkami/","5283")</f>
      </c>
      <c r="B8156" s="8" t="s">
        <v>7860</v>
      </c>
      <c r="C8156" s="9">
        <v>348</v>
      </c>
      <c r="D8156" s="0">
        <v>15</v>
      </c>
      <c r="E8156" s="10">
        <f>HYPERLINK("http://www.lingerieopt.ru/images/original/b12db796-4407-47fd-bf08-9307a651f208.jpg","Фото")</f>
      </c>
    </row>
    <row r="8157">
      <c r="A8157" s="7">
        <f>HYPERLINK("http://www.lingerieopt.ru/item/5369-poyas-dlya-chulok-iz-azhurnjh-treugolnikov-s-trusikami-string/","5369")</f>
      </c>
      <c r="B8157" s="8" t="s">
        <v>6507</v>
      </c>
      <c r="C8157" s="9">
        <v>1170</v>
      </c>
      <c r="D8157" s="0">
        <v>3</v>
      </c>
      <c r="E8157" s="10">
        <f>HYPERLINK("http://www.lingerieopt.ru/images/original/457d777a-a322-45c7-8cf4-002266335d23.jpg","Фото")</f>
      </c>
    </row>
    <row r="8158">
      <c r="A8158" s="7">
        <f>HYPERLINK("http://www.lingerieopt.ru/item/5369-poyas-dlya-chulok-iz-azhurnjh-treugolnikov-s-trusikami-string/","5369")</f>
      </c>
      <c r="B8158" s="8" t="s">
        <v>6509</v>
      </c>
      <c r="C8158" s="9">
        <v>1170</v>
      </c>
      <c r="D8158" s="0">
        <v>6</v>
      </c>
      <c r="E8158" s="10">
        <f>HYPERLINK("http://www.lingerieopt.ru/images/original/457d777a-a322-45c7-8cf4-002266335d23.jpg","Фото")</f>
      </c>
    </row>
    <row r="8159">
      <c r="A8159" s="7">
        <f>HYPERLINK("http://www.lingerieopt.ru/item/5369-poyas-dlya-chulok-iz-azhurnjh-treugolnikov-s-trusikami-string/","5369")</f>
      </c>
      <c r="B8159" s="8" t="s">
        <v>6508</v>
      </c>
      <c r="C8159" s="9">
        <v>1170</v>
      </c>
      <c r="D8159" s="0">
        <v>5</v>
      </c>
      <c r="E8159" s="10">
        <f>HYPERLINK("http://www.lingerieopt.ru/images/original/457d777a-a322-45c7-8cf4-002266335d23.jpg","Фото")</f>
      </c>
    </row>
    <row r="8160">
      <c r="A8160" s="7">
        <f>HYPERLINK("http://www.lingerieopt.ru/item/5369-poyas-dlya-chulok-iz-azhurnjh-treugolnikov-s-trusikami-string/","5369")</f>
      </c>
      <c r="B8160" s="8" t="s">
        <v>6506</v>
      </c>
      <c r="C8160" s="9">
        <v>1170</v>
      </c>
      <c r="D8160" s="0">
        <v>4</v>
      </c>
      <c r="E8160" s="10">
        <f>HYPERLINK("http://www.lingerieopt.ru/images/original/457d777a-a322-45c7-8cf4-002266335d23.jpg","Фото")</f>
      </c>
    </row>
    <row r="8161">
      <c r="A8161" s="7">
        <f>HYPERLINK("http://www.lingerieopt.ru/item/5370-poyas-dlya-chulok-v-komplekte-s-trusikami-string-s-dostupom/","5370")</f>
      </c>
      <c r="B8161" s="8" t="s">
        <v>6511</v>
      </c>
      <c r="C8161" s="9">
        <v>1108</v>
      </c>
      <c r="D8161" s="0">
        <v>6</v>
      </c>
      <c r="E8161" s="10">
        <f>HYPERLINK("http://www.lingerieopt.ru/images/original/b4dc2021-1ec2-45cd-b3b5-ee6b64f1cf42.jpg","Фото")</f>
      </c>
    </row>
    <row r="8162">
      <c r="A8162" s="7">
        <f>HYPERLINK("http://www.lingerieopt.ru/item/5370-poyas-dlya-chulok-v-komplekte-s-trusikami-string-s-dostupom/","5370")</f>
      </c>
      <c r="B8162" s="8" t="s">
        <v>6514</v>
      </c>
      <c r="C8162" s="9">
        <v>1108</v>
      </c>
      <c r="D8162" s="0">
        <v>4</v>
      </c>
      <c r="E8162" s="10">
        <f>HYPERLINK("http://www.lingerieopt.ru/images/original/b4dc2021-1ec2-45cd-b3b5-ee6b64f1cf42.jpg","Фото")</f>
      </c>
    </row>
    <row r="8163">
      <c r="A8163" s="7">
        <f>HYPERLINK("http://www.lingerieopt.ru/item/5370-poyas-dlya-chulok-v-komplekte-s-trusikami-string-s-dostupom/","5370")</f>
      </c>
      <c r="B8163" s="8" t="s">
        <v>6513</v>
      </c>
      <c r="C8163" s="9">
        <v>1108</v>
      </c>
      <c r="D8163" s="0">
        <v>6</v>
      </c>
      <c r="E8163" s="10">
        <f>HYPERLINK("http://www.lingerieopt.ru/images/original/b4dc2021-1ec2-45cd-b3b5-ee6b64f1cf42.jpg","Фото")</f>
      </c>
    </row>
    <row r="8164">
      <c r="A8164" s="7">
        <f>HYPERLINK("http://www.lingerieopt.ru/item/5370-poyas-dlya-chulok-v-komplekte-s-trusikami-string-s-dostupom/","5370")</f>
      </c>
      <c r="B8164" s="8" t="s">
        <v>6515</v>
      </c>
      <c r="C8164" s="9">
        <v>1108</v>
      </c>
      <c r="D8164" s="0">
        <v>5</v>
      </c>
      <c r="E8164" s="10">
        <f>HYPERLINK("http://www.lingerieopt.ru/images/original/b4dc2021-1ec2-45cd-b3b5-ee6b64f1cf42.jpg","Фото")</f>
      </c>
    </row>
    <row r="8165">
      <c r="A8165" s="7">
        <f>HYPERLINK("http://www.lingerieopt.ru/item/5370-poyas-dlya-chulok-v-komplekte-s-trusikami-string-s-dostupom/","5370")</f>
      </c>
      <c r="B8165" s="8" t="s">
        <v>6510</v>
      </c>
      <c r="C8165" s="9">
        <v>1108</v>
      </c>
      <c r="D8165" s="0">
        <v>2</v>
      </c>
      <c r="E8165" s="10">
        <f>HYPERLINK("http://www.lingerieopt.ru/images/original/b4dc2021-1ec2-45cd-b3b5-ee6b64f1cf42.jpg","Фото")</f>
      </c>
    </row>
    <row r="8166">
      <c r="A8166" s="7">
        <f>HYPERLINK("http://www.lingerieopt.ru/item/5370-poyas-dlya-chulok-v-komplekte-s-trusikami-string-s-dostupom/","5370")</f>
      </c>
      <c r="B8166" s="8" t="s">
        <v>6512</v>
      </c>
      <c r="C8166" s="9">
        <v>1108</v>
      </c>
      <c r="D8166" s="0">
        <v>5</v>
      </c>
      <c r="E8166" s="10">
        <f>HYPERLINK("http://www.lingerieopt.ru/images/original/b4dc2021-1ec2-45cd-b3b5-ee6b64f1cf42.jpg","Фото")</f>
      </c>
    </row>
    <row r="8167">
      <c r="A8167" s="7">
        <f>HYPERLINK("http://www.lingerieopt.ru/item/6109-poyas-s-podtyazhkami-cabaret/","6109")</f>
      </c>
      <c r="B8167" s="8" t="s">
        <v>7861</v>
      </c>
      <c r="C8167" s="9">
        <v>4491</v>
      </c>
      <c r="D8167" s="0">
        <v>0</v>
      </c>
      <c r="E8167" s="10">
        <f>HYPERLINK("http://www.lingerieopt.ru/images/original/ac12eddf-8a1c-46de-a776-81013025099e.jpg","Фото")</f>
      </c>
    </row>
    <row r="8168">
      <c r="A8168" s="7">
        <f>HYPERLINK("http://www.lingerieopt.ru/item/6109-poyas-s-podtyazhkami-cabaret/","6109")</f>
      </c>
      <c r="B8168" s="8" t="s">
        <v>7862</v>
      </c>
      <c r="C8168" s="9">
        <v>4491</v>
      </c>
      <c r="D8168" s="0">
        <v>1</v>
      </c>
      <c r="E8168" s="10">
        <f>HYPERLINK("http://www.lingerieopt.ru/images/original/ac12eddf-8a1c-46de-a776-81013025099e.jpg","Фото")</f>
      </c>
    </row>
    <row r="8169">
      <c r="A8169" s="7">
        <f>HYPERLINK("http://www.lingerieopt.ru/item/6359-komplekt-iz-kruzhevnogo-poyasa-dlya-chulok-i-trusikov-string-s-razrezom/","6359")</f>
      </c>
      <c r="B8169" s="8" t="s">
        <v>6535</v>
      </c>
      <c r="C8169" s="9">
        <v>1162</v>
      </c>
      <c r="D8169" s="0">
        <v>2</v>
      </c>
      <c r="E8169" s="10">
        <f>HYPERLINK("http://www.lingerieopt.ru/images/original/a6456d22-50fb-4d13-8bb8-c575a1f42b09.jpg","Фото")</f>
      </c>
    </row>
    <row r="8170">
      <c r="A8170" s="7">
        <f>HYPERLINK("http://www.lingerieopt.ru/item/6359-komplekt-iz-kruzhevnogo-poyasa-dlya-chulok-i-trusikov-string-s-razrezom/","6359")</f>
      </c>
      <c r="B8170" s="8" t="s">
        <v>6534</v>
      </c>
      <c r="C8170" s="9">
        <v>1162</v>
      </c>
      <c r="D8170" s="0">
        <v>13</v>
      </c>
      <c r="E8170" s="10">
        <f>HYPERLINK("http://www.lingerieopt.ru/images/original/a6456d22-50fb-4d13-8bb8-c575a1f42b09.jpg","Фото")</f>
      </c>
    </row>
    <row r="8171">
      <c r="A8171" s="7">
        <f>HYPERLINK("http://www.lingerieopt.ru/item/6482-shirokii-poyas-dlya-chulok-miamor-s-kruzhevami-i-trusikami-string-v-ton/","6482")</f>
      </c>
      <c r="B8171" s="8" t="s">
        <v>7863</v>
      </c>
      <c r="C8171" s="9">
        <v>944</v>
      </c>
      <c r="D8171" s="0">
        <v>10</v>
      </c>
      <c r="E8171" s="10">
        <f>HYPERLINK("http://www.lingerieopt.ru/images/original/bbaa5c91-a53f-4b1e-9464-cd69564cd799.jpg","Фото")</f>
      </c>
    </row>
    <row r="8172">
      <c r="A8172" s="7">
        <f>HYPERLINK("http://www.lingerieopt.ru/item/6482-shirokii-poyas-dlya-chulok-miamor-s-kruzhevami-i-trusikami-string-v-ton/","6482")</f>
      </c>
      <c r="B8172" s="8" t="s">
        <v>7864</v>
      </c>
      <c r="C8172" s="9">
        <v>944</v>
      </c>
      <c r="D8172" s="0">
        <v>3</v>
      </c>
      <c r="E8172" s="10">
        <f>HYPERLINK("http://www.lingerieopt.ru/images/original/bbaa5c91-a53f-4b1e-9464-cd69564cd799.jpg","Фото")</f>
      </c>
    </row>
    <row r="8173">
      <c r="A8173" s="7">
        <f>HYPERLINK("http://www.lingerieopt.ru/item/6550-chulki-s-trusikami-poyasom-garter-string-and-stocking-set/","6550")</f>
      </c>
      <c r="B8173" s="8" t="s">
        <v>7865</v>
      </c>
      <c r="C8173" s="9">
        <v>2576</v>
      </c>
      <c r="D8173" s="0">
        <v>3</v>
      </c>
      <c r="E8173" s="10">
        <f>HYPERLINK("http://www.lingerieopt.ru/images/original/6958dd73-97e5-469d-8f77-e81242297935.jpg","Фото")</f>
      </c>
    </row>
    <row r="8174">
      <c r="A8174" s="7">
        <f>HYPERLINK("http://www.lingerieopt.ru/item/6752-klassicheskie-chulki-fusion-3d-s-plotnoi-rezinkoi/","6752")</f>
      </c>
      <c r="B8174" s="8" t="s">
        <v>7866</v>
      </c>
      <c r="C8174" s="9">
        <v>732</v>
      </c>
      <c r="D8174" s="0">
        <v>1</v>
      </c>
      <c r="E8174" s="10">
        <f>HYPERLINK("http://www.lingerieopt.ru/images/original/0e57e983-e4cd-4fa8-bc88-eccb93a0f1e3.jpg","Фото")</f>
      </c>
    </row>
    <row r="8175">
      <c r="A8175" s="7">
        <f>HYPERLINK("http://www.lingerieopt.ru/item/6752-klassicheskie-chulki-fusion-3d-s-plotnoi-rezinkoi/","6752")</f>
      </c>
      <c r="B8175" s="8" t="s">
        <v>7867</v>
      </c>
      <c r="C8175" s="9">
        <v>732</v>
      </c>
      <c r="D8175" s="0">
        <v>3</v>
      </c>
      <c r="E8175" s="10">
        <f>HYPERLINK("http://www.lingerieopt.ru/images/original/0e57e983-e4cd-4fa8-bc88-eccb93a0f1e3.jpg","Фото")</f>
      </c>
    </row>
    <row r="8176">
      <c r="A8176" s="7">
        <f>HYPERLINK("http://www.lingerieopt.ru/item/6757-tonkie-chulochki-lea-s-shirokoi-rezinkoi-i-imitaciei-shnurovki-szadi/","6757")</f>
      </c>
      <c r="B8176" s="8" t="s">
        <v>7868</v>
      </c>
      <c r="C8176" s="9">
        <v>918</v>
      </c>
      <c r="D8176" s="0">
        <v>0</v>
      </c>
      <c r="E8176" s="10">
        <f>HYPERLINK("http://www.lingerieopt.ru/images/original/13b2b700-fbf6-4cca-86de-420fa3d33140.jpg","Фото")</f>
      </c>
    </row>
    <row r="8177">
      <c r="A8177" s="7">
        <f>HYPERLINK("http://www.lingerieopt.ru/item/6757-tonkie-chulochki-lea-s-shirokoi-rezinkoi-i-imitaciei-shnurovki-szadi/","6757")</f>
      </c>
      <c r="B8177" s="8" t="s">
        <v>7869</v>
      </c>
      <c r="C8177" s="9">
        <v>918</v>
      </c>
      <c r="D8177" s="0">
        <v>3</v>
      </c>
      <c r="E8177" s="10">
        <f>HYPERLINK("http://www.lingerieopt.ru/images/original/13b2b700-fbf6-4cca-86de-420fa3d33140.jpg","Фото")</f>
      </c>
    </row>
    <row r="8178">
      <c r="A8178" s="7">
        <f>HYPERLINK("http://www.lingerieopt.ru/item/6760-tonchaishie-chulochki-mercedes-s-originalnoi-rezinkoi/","6760")</f>
      </c>
      <c r="B8178" s="8" t="s">
        <v>7870</v>
      </c>
      <c r="C8178" s="9">
        <v>626</v>
      </c>
      <c r="D8178" s="0">
        <v>1</v>
      </c>
      <c r="E8178" s="10">
        <f>HYPERLINK("http://www.lingerieopt.ru/images/original/d89908ae-6145-447b-be92-7e342b6c66fa.jpg","Фото")</f>
      </c>
    </row>
    <row r="8179">
      <c r="A8179" s="7">
        <f>HYPERLINK("http://www.lingerieopt.ru/item/6760-tonchaishie-chulochki-mercedes-s-originalnoi-rezinkoi/","6760")</f>
      </c>
      <c r="B8179" s="8" t="s">
        <v>7871</v>
      </c>
      <c r="C8179" s="9">
        <v>626</v>
      </c>
      <c r="D8179" s="0">
        <v>3</v>
      </c>
      <c r="E8179" s="10">
        <f>HYPERLINK("http://www.lingerieopt.ru/images/original/d89908ae-6145-447b-be92-7e342b6c66fa.jpg","Фото")</f>
      </c>
    </row>
    <row r="8180">
      <c r="A8180" s="7">
        <f>HYPERLINK("http://www.lingerieopt.ru/item/6767-chulochki-doris-s-imitaciei-tatuirovki/","6767")</f>
      </c>
      <c r="B8180" s="8" t="s">
        <v>7872</v>
      </c>
      <c r="C8180" s="9">
        <v>630</v>
      </c>
      <c r="D8180" s="0">
        <v>0</v>
      </c>
      <c r="E8180" s="10">
        <f>HYPERLINK("http://www.lingerieopt.ru/images/original/aebd848f-3206-402b-9243-2f752c7d969a.jpg","Фото")</f>
      </c>
    </row>
    <row r="8181">
      <c r="A8181" s="7">
        <f>HYPERLINK("http://www.lingerieopt.ru/item/6767-chulochki-doris-s-imitaciei-tatuirovki/","6767")</f>
      </c>
      <c r="B8181" s="8" t="s">
        <v>7873</v>
      </c>
      <c r="C8181" s="9">
        <v>630</v>
      </c>
      <c r="D8181" s="0">
        <v>1</v>
      </c>
      <c r="E8181" s="10">
        <f>HYPERLINK("http://www.lingerieopt.ru/images/original/aebd848f-3206-402b-9243-2f752c7d969a.jpg","Фото")</f>
      </c>
    </row>
    <row r="8182">
      <c r="A8182" s="7">
        <f>HYPERLINK("http://www.lingerieopt.ru/item/6776-setchatje-chulochki-rete-grandi-na-rezinke/","6776")</f>
      </c>
      <c r="B8182" s="8" t="s">
        <v>7874</v>
      </c>
      <c r="C8182" s="9">
        <v>658</v>
      </c>
      <c r="D8182" s="0">
        <v>0</v>
      </c>
      <c r="E8182" s="10">
        <f>HYPERLINK("http://www.lingerieopt.ru/images/original/d96fab54-ac61-4cc6-8164-5d71a15d14a4.jpg","Фото")</f>
      </c>
    </row>
    <row r="8183">
      <c r="A8183" s="7">
        <f>HYPERLINK("http://www.lingerieopt.ru/item/6776-setchatje-chulochki-rete-grandi-na-rezinke/","6776")</f>
      </c>
      <c r="B8183" s="8" t="s">
        <v>7875</v>
      </c>
      <c r="C8183" s="9">
        <v>658</v>
      </c>
      <c r="D8183" s="0">
        <v>1</v>
      </c>
      <c r="E8183" s="10">
        <f>HYPERLINK("http://www.lingerieopt.ru/images/original/d96fab54-ac61-4cc6-8164-5d71a15d14a4.jpg","Фото")</f>
      </c>
    </row>
    <row r="8184">
      <c r="A8184" s="7">
        <f>HYPERLINK("http://www.lingerieopt.ru/item/6825-chulki-s-imitaciei-pyaten-krovi/","6825")</f>
      </c>
      <c r="B8184" s="8" t="s">
        <v>7876</v>
      </c>
      <c r="C8184" s="9">
        <v>588</v>
      </c>
      <c r="D8184" s="0">
        <v>10</v>
      </c>
      <c r="E8184" s="10">
        <f>HYPERLINK("http://www.lingerieopt.ru/images/original/6696489b-da8a-494e-9407-6bff4963fe77.jpg","Фото")</f>
      </c>
    </row>
    <row r="8185">
      <c r="A8185" s="7">
        <f>HYPERLINK("http://www.lingerieopt.ru/item/6826-chulki-medsestrichki-s-krasnjmi-bantami/","6826")</f>
      </c>
      <c r="B8185" s="8" t="s">
        <v>7877</v>
      </c>
      <c r="C8185" s="9">
        <v>442</v>
      </c>
      <c r="D8185" s="0">
        <v>10</v>
      </c>
      <c r="E8185" s="10">
        <f>HYPERLINK("http://www.lingerieopt.ru/images/original/983367ea-416b-4f55-9e9e-25da7f6ad684.jpg","Фото")</f>
      </c>
    </row>
    <row r="8186">
      <c r="A8186" s="7">
        <f>HYPERLINK("http://www.lingerieopt.ru/item/6828-kruzhevnoi-poyas-dlya-chulok-catia-v-komplekte-s-trusikami-string/","6828")</f>
      </c>
      <c r="B8186" s="8" t="s">
        <v>7878</v>
      </c>
      <c r="C8186" s="9">
        <v>792</v>
      </c>
      <c r="D8186" s="0">
        <v>1</v>
      </c>
      <c r="E8186" s="10">
        <f>HYPERLINK("http://www.lingerieopt.ru/images/original/4aba8bbe-579c-44f2-a243-411b740c3bfe.jpg","Фото")</f>
      </c>
    </row>
    <row r="8187">
      <c r="A8187" s="7">
        <f>HYPERLINK("http://www.lingerieopt.ru/item/6828-kruzhevnoi-poyas-dlya-chulok-catia-v-komplekte-s-trusikami-string/","6828")</f>
      </c>
      <c r="B8187" s="8" t="s">
        <v>7879</v>
      </c>
      <c r="C8187" s="9">
        <v>792</v>
      </c>
      <c r="D8187" s="0">
        <v>0</v>
      </c>
      <c r="E8187" s="10">
        <f>HYPERLINK("http://www.lingerieopt.ru/images/original/4aba8bbe-579c-44f2-a243-411b740c3bfe.jpg","Фото")</f>
      </c>
    </row>
    <row r="8188">
      <c r="A8188" s="7">
        <f>HYPERLINK("http://www.lingerieopt.ru/item/6893-originalnji-kruzhevnoi-poyas-dlya-chulok-swanita-v-komplekte-s-trusikami/","6893")</f>
      </c>
      <c r="B8188" s="8" t="s">
        <v>7880</v>
      </c>
      <c r="C8188" s="9">
        <v>936</v>
      </c>
      <c r="D8188" s="0">
        <v>0</v>
      </c>
      <c r="E8188" s="10">
        <f>HYPERLINK("http://www.lingerieopt.ru/images/original/6ae36415-45ff-4b38-b9d6-151e4318e99e.jpg","Фото")</f>
      </c>
    </row>
    <row r="8189">
      <c r="A8189" s="7">
        <f>HYPERLINK("http://www.lingerieopt.ru/item/6893-originalnji-kruzhevnoi-poyas-dlya-chulok-swanita-v-komplekte-s-trusikami/","6893")</f>
      </c>
      <c r="B8189" s="8" t="s">
        <v>7881</v>
      </c>
      <c r="C8189" s="9">
        <v>936</v>
      </c>
      <c r="D8189" s="0">
        <v>1</v>
      </c>
      <c r="E8189" s="10">
        <f>HYPERLINK("http://www.lingerieopt.ru/images/original/6ae36415-45ff-4b38-b9d6-151e4318e99e.jpg","Фото")</f>
      </c>
    </row>
    <row r="8190">
      <c r="A8190" s="7">
        <f>HYPERLINK("http://www.lingerieopt.ru/item/6893-originalnji-kruzhevnoi-poyas-dlya-chulok-swanita-v-komplekte-s-trusikami/","6893")</f>
      </c>
      <c r="B8190" s="8" t="s">
        <v>7882</v>
      </c>
      <c r="C8190" s="9">
        <v>936</v>
      </c>
      <c r="D8190" s="0">
        <v>3</v>
      </c>
      <c r="E8190" s="10">
        <f>HYPERLINK("http://www.lingerieopt.ru/images/original/6ae36415-45ff-4b38-b9d6-151e4318e99e.jpg","Фото")</f>
      </c>
    </row>
    <row r="8191">
      <c r="A8191" s="7">
        <f>HYPERLINK("http://www.lingerieopt.ru/item/6893-originalnji-kruzhevnoi-poyas-dlya-chulok-swanita-v-komplekte-s-trusikami/","6893")</f>
      </c>
      <c r="B8191" s="8" t="s">
        <v>7883</v>
      </c>
      <c r="C8191" s="9">
        <v>936</v>
      </c>
      <c r="D8191" s="0">
        <v>0</v>
      </c>
      <c r="E8191" s="10">
        <f>HYPERLINK("http://www.lingerieopt.ru/images/original/6ae36415-45ff-4b38-b9d6-151e4318e99e.jpg","Фото")</f>
      </c>
    </row>
    <row r="8192">
      <c r="A8192" s="7">
        <f>HYPERLINK("http://www.lingerieopt.ru/item/6941-chulki-v-setku-s-azhurnoi-kruzhevnoi-rezinkoi/","6941")</f>
      </c>
      <c r="B8192" s="8" t="s">
        <v>7884</v>
      </c>
      <c r="C8192" s="9">
        <v>466</v>
      </c>
      <c r="D8192" s="0">
        <v>9</v>
      </c>
      <c r="E8192" s="10">
        <f>HYPERLINK("http://www.lingerieopt.ru/images/original/6625d8c6-25e1-4d22-8a7a-1585c8a4efd0.jpg","Фото")</f>
      </c>
    </row>
    <row r="8193">
      <c r="A8193" s="7">
        <f>HYPERLINK("http://www.lingerieopt.ru/item/6941-chulki-v-setku-s-azhurnoi-kruzhevnoi-rezinkoi/","6941")</f>
      </c>
      <c r="B8193" s="8" t="s">
        <v>7885</v>
      </c>
      <c r="C8193" s="9">
        <v>466</v>
      </c>
      <c r="D8193" s="0">
        <v>13</v>
      </c>
      <c r="E8193" s="10">
        <f>HYPERLINK("http://www.lingerieopt.ru/images/original/6625d8c6-25e1-4d22-8a7a-1585c8a4efd0.jpg","Фото")</f>
      </c>
    </row>
    <row r="8194">
      <c r="A8194" s="7">
        <f>HYPERLINK("http://www.lingerieopt.ru/item/6944-poluprozrachnje-chulki-s-kruzhevnoi-rezinkoi/","6944")</f>
      </c>
      <c r="B8194" s="8" t="s">
        <v>7886</v>
      </c>
      <c r="C8194" s="9">
        <v>616</v>
      </c>
      <c r="D8194" s="0">
        <v>20</v>
      </c>
      <c r="E8194" s="10">
        <f>HYPERLINK("http://www.lingerieopt.ru/images/original/319efcba-04b7-4566-bd14-84ca3d53f5f4.jpg","Фото")</f>
      </c>
    </row>
    <row r="8195">
      <c r="A8195" s="7">
        <f>HYPERLINK("http://www.lingerieopt.ru/item/6945-alje-chulki-medsestrj-v-polosku/","6945")</f>
      </c>
      <c r="B8195" s="8" t="s">
        <v>7887</v>
      </c>
      <c r="C8195" s="9">
        <v>545</v>
      </c>
      <c r="D8195" s="0">
        <v>4</v>
      </c>
      <c r="E8195" s="10">
        <f>HYPERLINK("http://www.lingerieopt.ru/images/original/0f671624-447e-4038-b96e-e8aab5550a59.jpg","Фото")</f>
      </c>
    </row>
    <row r="8196">
      <c r="A8196" s="7">
        <f>HYPERLINK("http://www.lingerieopt.ru/item/6946-chulki-s-poyasom-iz-krupnoi-setki/","6946")</f>
      </c>
      <c r="B8196" s="8" t="s">
        <v>7888</v>
      </c>
      <c r="C8196" s="9">
        <v>604</v>
      </c>
      <c r="D8196" s="0">
        <v>1</v>
      </c>
      <c r="E8196" s="10">
        <f>HYPERLINK("http://www.lingerieopt.ru/images/original/1db9bb31-c1d4-4bd5-82f3-e6abb3746780.jpg","Фото")</f>
      </c>
    </row>
    <row r="8197">
      <c r="A8197" s="7">
        <f>HYPERLINK("http://www.lingerieopt.ru/item/6947-chulki-s-kruzhevnjm-poyasom-i-pazhami/","6947")</f>
      </c>
      <c r="B8197" s="8" t="s">
        <v>7889</v>
      </c>
      <c r="C8197" s="9">
        <v>588</v>
      </c>
      <c r="D8197" s="0">
        <v>4</v>
      </c>
      <c r="E8197" s="10">
        <f>HYPERLINK("http://www.lingerieopt.ru/images/original/6a275b4f-0c34-4952-9177-72006fa70693.jpg","Фото")</f>
      </c>
    </row>
    <row r="8198">
      <c r="A8198" s="7">
        <f>HYPERLINK("http://www.lingerieopt.ru/item/6948-telesnje-chulki-s-kontrastnjmi-strelkami-szadi/","6948")</f>
      </c>
      <c r="B8198" s="8" t="s">
        <v>7890</v>
      </c>
      <c r="C8198" s="9">
        <v>525</v>
      </c>
      <c r="D8198" s="0">
        <v>20</v>
      </c>
      <c r="E8198" s="10">
        <f>HYPERLINK("http://www.lingerieopt.ru/images/original/9c81cfa3-d4eb-4f18-b591-b0cc787bf23a.jpg","Фото")</f>
      </c>
    </row>
    <row r="8199">
      <c r="A8199" s="7">
        <f>HYPERLINK("http://www.lingerieopt.ru/item/6950-plotnje-chulki-na-rezinke/","6950")</f>
      </c>
      <c r="B8199" s="8" t="s">
        <v>7891</v>
      </c>
      <c r="C8199" s="9">
        <v>366</v>
      </c>
      <c r="D8199" s="0">
        <v>5</v>
      </c>
      <c r="E8199" s="10">
        <f>HYPERLINK("http://www.lingerieopt.ru/images/original/4d0078e9-1c35-478c-9283-fea291e2e879.jpg","Фото")</f>
      </c>
    </row>
    <row r="8200">
      <c r="A8200" s="7">
        <f>HYPERLINK("http://www.lingerieopt.ru/item/6971-plotnje-chulki-s-vjrezami-pod-rezinkoi/","6971")</f>
      </c>
      <c r="B8200" s="8" t="s">
        <v>7892</v>
      </c>
      <c r="C8200" s="9">
        <v>1309</v>
      </c>
      <c r="D8200" s="0">
        <v>19</v>
      </c>
      <c r="E8200" s="10">
        <f>HYPERLINK("http://www.lingerieopt.ru/images/original/87a7e313-8f18-4fdd-be66-883d3ab2b922.jpg","Фото")</f>
      </c>
    </row>
    <row r="8201">
      <c r="A8201" s="7">
        <f>HYPERLINK("http://www.lingerieopt.ru/item/6971-plotnje-chulki-s-vjrezami-pod-rezinkoi/","6971")</f>
      </c>
      <c r="B8201" s="8" t="s">
        <v>7893</v>
      </c>
      <c r="C8201" s="9">
        <v>1309</v>
      </c>
      <c r="D8201" s="0">
        <v>3</v>
      </c>
      <c r="E8201" s="10">
        <f>HYPERLINK("http://www.lingerieopt.ru/images/original/87a7e313-8f18-4fdd-be66-883d3ab2b922.jpg","Фото")</f>
      </c>
    </row>
    <row r="8202">
      <c r="A8202" s="7">
        <f>HYPERLINK("http://www.lingerieopt.ru/item/6971-plotnje-chulki-s-vjrezami-pod-rezinkoi/","6971")</f>
      </c>
      <c r="B8202" s="8" t="s">
        <v>7894</v>
      </c>
      <c r="C8202" s="9">
        <v>1309</v>
      </c>
      <c r="D8202" s="0">
        <v>10</v>
      </c>
      <c r="E8202" s="10">
        <f>HYPERLINK("http://www.lingerieopt.ru/images/original/87a7e313-8f18-4fdd-be66-883d3ab2b922.jpg","Фото")</f>
      </c>
    </row>
    <row r="8203">
      <c r="A8203" s="7">
        <f>HYPERLINK("http://www.lingerieopt.ru/item/7157-shirokii-kruzhevnoi-poyas-dlya-chulok-i-trusiki-s-vjrezom/","7157")</f>
      </c>
      <c r="B8203" s="8" t="s">
        <v>1857</v>
      </c>
      <c r="C8203" s="9">
        <v>1650</v>
      </c>
      <c r="D8203" s="0">
        <v>4</v>
      </c>
      <c r="E8203" s="10">
        <f>HYPERLINK("http://www.lingerieopt.ru/images/original/c66a724c-36f9-4dfa-a00d-6b4632f9f61b.jpg","Фото")</f>
      </c>
    </row>
    <row r="8204">
      <c r="A8204" s="7">
        <f>HYPERLINK("http://www.lingerieopt.ru/item/7157-shirokii-kruzhevnoi-poyas-dlya-chulok-i-trusiki-s-vjrezom/","7157")</f>
      </c>
      <c r="B8204" s="8" t="s">
        <v>1858</v>
      </c>
      <c r="C8204" s="9">
        <v>1650</v>
      </c>
      <c r="D8204" s="0">
        <v>3</v>
      </c>
      <c r="E8204" s="10">
        <f>HYPERLINK("http://www.lingerieopt.ru/images/original/c66a724c-36f9-4dfa-a00d-6b4632f9f61b.jpg","Фото")</f>
      </c>
    </row>
    <row r="8205">
      <c r="A8205" s="7">
        <f>HYPERLINK("http://www.lingerieopt.ru/item/7157-shirokii-kruzhevnoi-poyas-dlya-chulok-i-trusiki-s-vjrezom/","7157")</f>
      </c>
      <c r="B8205" s="8" t="s">
        <v>1859</v>
      </c>
      <c r="C8205" s="9">
        <v>1650</v>
      </c>
      <c r="D8205" s="0">
        <v>4</v>
      </c>
      <c r="E8205" s="10">
        <f>HYPERLINK("http://www.lingerieopt.ru/images/original/c66a724c-36f9-4dfa-a00d-6b4632f9f61b.jpg","Фото")</f>
      </c>
    </row>
    <row r="8206">
      <c r="A8206" s="7">
        <f>HYPERLINK("http://www.lingerieopt.ru/item/7187-azhurnji-poyas-dlya-chulok-v-vide-mini-yubki-so-shnurovkoi/","7187")</f>
      </c>
      <c r="B8206" s="8" t="s">
        <v>7895</v>
      </c>
      <c r="C8206" s="9">
        <v>1460</v>
      </c>
      <c r="D8206" s="0">
        <v>5</v>
      </c>
      <c r="E8206" s="10">
        <f>HYPERLINK("http://www.lingerieopt.ru/images/original/a5b21ff0-bd9e-48cc-ae35-ce754484ed1f.jpg","Фото")</f>
      </c>
    </row>
    <row r="8207">
      <c r="A8207" s="7">
        <f>HYPERLINK("http://www.lingerieopt.ru/item/7187-azhurnji-poyas-dlya-chulok-v-vide-mini-yubki-so-shnurovkoi/","7187")</f>
      </c>
      <c r="B8207" s="8" t="s">
        <v>7896</v>
      </c>
      <c r="C8207" s="9">
        <v>1460</v>
      </c>
      <c r="D8207" s="0">
        <v>3</v>
      </c>
      <c r="E8207" s="10">
        <f>HYPERLINK("http://www.lingerieopt.ru/images/original/a5b21ff0-bd9e-48cc-ae35-ce754484ed1f.jpg","Фото")</f>
      </c>
    </row>
    <row r="8208">
      <c r="A8208" s="7">
        <f>HYPERLINK("http://www.lingerieopt.ru/item/7187-azhurnji-poyas-dlya-chulok-v-vide-mini-yubki-so-shnurovkoi/","7187")</f>
      </c>
      <c r="B8208" s="8" t="s">
        <v>7897</v>
      </c>
      <c r="C8208" s="9">
        <v>1460</v>
      </c>
      <c r="D8208" s="0">
        <v>5</v>
      </c>
      <c r="E8208" s="10">
        <f>HYPERLINK("http://www.lingerieopt.ru/images/original/a5b21ff0-bd9e-48cc-ae35-ce754484ed1f.jpg","Фото")</f>
      </c>
    </row>
    <row r="8209">
      <c r="A8209" s="7">
        <f>HYPERLINK("http://www.lingerieopt.ru/item/7245-krasnje-chulki-v-setku-s-kruzhevnoi-rezinkoi-na-silikone/","7245")</f>
      </c>
      <c r="B8209" s="8" t="s">
        <v>7898</v>
      </c>
      <c r="C8209" s="9">
        <v>470</v>
      </c>
      <c r="D8209" s="0">
        <v>4</v>
      </c>
      <c r="E8209" s="10">
        <f>HYPERLINK("http://www.lingerieopt.ru/images/original/1b0fd11c-42d0-4767-b4cb-12b2bd7fe0cc.jpg","Фото")</f>
      </c>
    </row>
    <row r="8210">
      <c r="A8210" s="7">
        <f>HYPERLINK("http://www.lingerieopt.ru/item/7246-chulki-romantique-s-serdechkami-i-bantami/","7246")</f>
      </c>
      <c r="B8210" s="8" t="s">
        <v>7899</v>
      </c>
      <c r="C8210" s="9">
        <v>381</v>
      </c>
      <c r="D8210" s="0">
        <v>1</v>
      </c>
      <c r="E8210" s="10">
        <f>HYPERLINK("http://www.lingerieopt.ru/images/original/815c18fc-70d7-4849-90fd-e01df3dff63a.jpg","Фото")</f>
      </c>
    </row>
    <row r="8211">
      <c r="A8211" s="7">
        <f>HYPERLINK("http://www.lingerieopt.ru/item/7270-telesnje-chulki-lovica-s-krasnoi-kruzhevnoi-rezinkoi/","7270")</f>
      </c>
      <c r="B8211" s="8" t="s">
        <v>7900</v>
      </c>
      <c r="C8211" s="9">
        <v>556</v>
      </c>
      <c r="D8211" s="0">
        <v>9</v>
      </c>
      <c r="E8211" s="10">
        <f>HYPERLINK("http://www.lingerieopt.ru/images/original/dfcd14c2-24e1-4135-a3e6-1dda2763caba.jpg","Фото")</f>
      </c>
    </row>
    <row r="8212">
      <c r="A8212" s="7">
        <f>HYPERLINK("http://www.lingerieopt.ru/item/7270-telesnje-chulki-lovica-s-krasnoi-kruzhevnoi-rezinkoi/","7270")</f>
      </c>
      <c r="B8212" s="8" t="s">
        <v>7901</v>
      </c>
      <c r="C8212" s="9">
        <v>556</v>
      </c>
      <c r="D8212" s="0">
        <v>10</v>
      </c>
      <c r="E8212" s="10">
        <f>HYPERLINK("http://www.lingerieopt.ru/images/original/dfcd14c2-24e1-4135-a3e6-1dda2763caba.jpg","Фото")</f>
      </c>
    </row>
    <row r="8213">
      <c r="A8213" s="7">
        <f>HYPERLINK("http://www.lingerieopt.ru/item/7320-shirokii-poyas-dlya-chulok-amorous-rapture/","7320")</f>
      </c>
      <c r="B8213" s="8" t="s">
        <v>7902</v>
      </c>
      <c r="C8213" s="9">
        <v>1233</v>
      </c>
      <c r="D8213" s="0">
        <v>1</v>
      </c>
      <c r="E8213" s="10">
        <f>HYPERLINK("http://www.lingerieopt.ru/images/original/9d567806-28fa-4d0f-903c-47d2a8df2631.jpg","Фото")</f>
      </c>
    </row>
    <row r="8214">
      <c r="A8214" s="7">
        <f>HYPERLINK("http://www.lingerieopt.ru/item/7320-shirokii-poyas-dlya-chulok-amorous-rapture/","7320")</f>
      </c>
      <c r="B8214" s="8" t="s">
        <v>7903</v>
      </c>
      <c r="C8214" s="9">
        <v>1233</v>
      </c>
      <c r="D8214" s="0">
        <v>0</v>
      </c>
      <c r="E8214" s="10">
        <f>HYPERLINK("http://www.lingerieopt.ru/images/original/9d567806-28fa-4d0f-903c-47d2a8df2631.jpg","Фото")</f>
      </c>
    </row>
    <row r="8215">
      <c r="A8215" s="7">
        <f>HYPERLINK("http://www.lingerieopt.ru/item/7352-chulki-s-bantikami-bows-stockings/","7352")</f>
      </c>
      <c r="B8215" s="8" t="s">
        <v>7904</v>
      </c>
      <c r="C8215" s="9">
        <v>1335</v>
      </c>
      <c r="D8215" s="0">
        <v>1</v>
      </c>
      <c r="E8215" s="10">
        <f>HYPERLINK("http://www.lingerieopt.ru/images/original/bdfa13c5-2c98-4a02-9952-c8e6cefcf758.jpg","Фото")</f>
      </c>
    </row>
    <row r="8216">
      <c r="A8216" s="7">
        <f>HYPERLINK("http://www.lingerieopt.ru/item/7352-chulki-s-bantikami-bows-stockings/","7352")</f>
      </c>
      <c r="B8216" s="8" t="s">
        <v>7905</v>
      </c>
      <c r="C8216" s="9">
        <v>1335</v>
      </c>
      <c r="D8216" s="0">
        <v>3</v>
      </c>
      <c r="E8216" s="10">
        <f>HYPERLINK("http://www.lingerieopt.ru/images/original/bdfa13c5-2c98-4a02-9952-c8e6cefcf758.jpg","Фото")</f>
      </c>
    </row>
    <row r="8217">
      <c r="A8217" s="7">
        <f>HYPERLINK("http://www.lingerieopt.ru/item/7369-effektnji-poyas-yubka-dlya-chulok-sublime/","7369")</f>
      </c>
      <c r="B8217" s="8" t="s">
        <v>7906</v>
      </c>
      <c r="C8217" s="9">
        <v>2734</v>
      </c>
      <c r="D8217" s="0">
        <v>3</v>
      </c>
      <c r="E8217" s="10">
        <f>HYPERLINK("http://www.lingerieopt.ru/images/original/30b0d6ba-0103-4003-ae98-b6b39cfd4811.jpg","Фото")</f>
      </c>
    </row>
    <row r="8218">
      <c r="A8218" s="7">
        <f>HYPERLINK("http://www.lingerieopt.ru/item/7369-effektnji-poyas-yubka-dlya-chulok-sublime/","7369")</f>
      </c>
      <c r="B8218" s="8" t="s">
        <v>7907</v>
      </c>
      <c r="C8218" s="9">
        <v>2734</v>
      </c>
      <c r="D8218" s="0">
        <v>8</v>
      </c>
      <c r="E8218" s="10">
        <f>HYPERLINK("http://www.lingerieopt.ru/images/original/30b0d6ba-0103-4003-ae98-b6b39cfd4811.jpg","Фото")</f>
      </c>
    </row>
    <row r="8219">
      <c r="A8219" s="7">
        <f>HYPERLINK("http://www.lingerieopt.ru/item/7429-chulki-wetlook-s-otkrjtoi-pyatkoi-i-noskom/","7429")</f>
      </c>
      <c r="B8219" s="8" t="s">
        <v>7908</v>
      </c>
      <c r="C8219" s="9">
        <v>1045</v>
      </c>
      <c r="D8219" s="0">
        <v>15</v>
      </c>
      <c r="E8219" s="10">
        <f>HYPERLINK("http://www.lingerieopt.ru/images/original/43ffc33e-0f4d-4988-9de6-693adef99e8d.jpg","Фото")</f>
      </c>
    </row>
    <row r="8220">
      <c r="A8220" s="7">
        <f>HYPERLINK("http://www.lingerieopt.ru/item/7429-chulki-wetlook-s-otkrjtoi-pyatkoi-i-noskom/","7429")</f>
      </c>
      <c r="B8220" s="8" t="s">
        <v>7909</v>
      </c>
      <c r="C8220" s="9">
        <v>1045</v>
      </c>
      <c r="D8220" s="0">
        <v>8</v>
      </c>
      <c r="E8220" s="10">
        <f>HYPERLINK("http://www.lingerieopt.ru/images/original/43ffc33e-0f4d-4988-9de6-693adef99e8d.jpg","Фото")</f>
      </c>
    </row>
    <row r="8221">
      <c r="A8221" s="7">
        <f>HYPERLINK("http://www.lingerieopt.ru/item/7429-chulki-wetlook-s-otkrjtoi-pyatkoi-i-noskom/","7429")</f>
      </c>
      <c r="B8221" s="8" t="s">
        <v>7910</v>
      </c>
      <c r="C8221" s="9">
        <v>1045</v>
      </c>
      <c r="D8221" s="0">
        <v>15</v>
      </c>
      <c r="E8221" s="10">
        <f>HYPERLINK("http://www.lingerieopt.ru/images/original/43ffc33e-0f4d-4988-9de6-693adef99e8d.jpg","Фото")</f>
      </c>
    </row>
    <row r="8222">
      <c r="A8222" s="7">
        <f>HYPERLINK("http://www.lingerieopt.ru/item/7429-chulki-wetlook-s-otkrjtoi-pyatkoi-i-noskom/","7429")</f>
      </c>
      <c r="B8222" s="8" t="s">
        <v>7911</v>
      </c>
      <c r="C8222" s="9">
        <v>1045</v>
      </c>
      <c r="D8222" s="0">
        <v>0</v>
      </c>
      <c r="E8222" s="10">
        <f>HYPERLINK("http://www.lingerieopt.ru/images/original/43ffc33e-0f4d-4988-9de6-693adef99e8d.jpg","Фото")</f>
      </c>
    </row>
    <row r="8223">
      <c r="A8223" s="7">
        <f>HYPERLINK("http://www.lingerieopt.ru/item/7429-chulki-wetlook-s-otkrjtoi-pyatkoi-i-noskom/","7429")</f>
      </c>
      <c r="B8223" s="8" t="s">
        <v>7912</v>
      </c>
      <c r="C8223" s="9">
        <v>1045</v>
      </c>
      <c r="D8223" s="0">
        <v>9</v>
      </c>
      <c r="E8223" s="10">
        <f>HYPERLINK("http://www.lingerieopt.ru/images/original/43ffc33e-0f4d-4988-9de6-693adef99e8d.jpg","Фото")</f>
      </c>
    </row>
    <row r="8224">
      <c r="A8224" s="7">
        <f>HYPERLINK("http://www.lingerieopt.ru/item/7429-chulki-wetlook-s-otkrjtoi-pyatkoi-i-noskom/","7429")</f>
      </c>
      <c r="B8224" s="8" t="s">
        <v>7913</v>
      </c>
      <c r="C8224" s="9">
        <v>1045</v>
      </c>
      <c r="D8224" s="0">
        <v>10</v>
      </c>
      <c r="E8224" s="10">
        <f>HYPERLINK("http://www.lingerieopt.ru/images/original/43ffc33e-0f4d-4988-9de6-693adef99e8d.jpg","Фото")</f>
      </c>
    </row>
    <row r="8225">
      <c r="A8225" s="7">
        <f>HYPERLINK("http://www.lingerieopt.ru/item/7462-komplekt-iz-poyasa-s-kruzhevnoi-vstavkoi-i-trusikov-string/","7462")</f>
      </c>
      <c r="B8225" s="8" t="s">
        <v>6718</v>
      </c>
      <c r="C8225" s="9">
        <v>865</v>
      </c>
      <c r="D8225" s="0">
        <v>1</v>
      </c>
      <c r="E8225" s="10">
        <f>HYPERLINK("http://www.lingerieopt.ru/images/original/86a48960-6248-4a6e-8649-64afd82c1b6d.jpg","Фото")</f>
      </c>
    </row>
    <row r="8226">
      <c r="A8226" s="7">
        <f>HYPERLINK("http://www.lingerieopt.ru/item/7462-komplekt-iz-poyasa-s-kruzhevnoi-vstavkoi-i-trusikov-string/","7462")</f>
      </c>
      <c r="B8226" s="8" t="s">
        <v>6719</v>
      </c>
      <c r="C8226" s="9">
        <v>865</v>
      </c>
      <c r="D8226" s="0">
        <v>6</v>
      </c>
      <c r="E8226" s="10">
        <f>HYPERLINK("http://www.lingerieopt.ru/images/original/86a48960-6248-4a6e-8649-64afd82c1b6d.jpg","Фото")</f>
      </c>
    </row>
    <row r="8227">
      <c r="A8227" s="7">
        <f>HYPERLINK("http://www.lingerieopt.ru/item/7542-chulki-na-shnurovke-lacing/","7542")</f>
      </c>
      <c r="B8227" s="8" t="s">
        <v>7914</v>
      </c>
      <c r="C8227" s="9">
        <v>2076</v>
      </c>
      <c r="D8227" s="0">
        <v>0</v>
      </c>
      <c r="E8227" s="10">
        <f>HYPERLINK("http://www.lingerieopt.ru/images/original/0e2331af-719b-4c2c-a25a-29e65890dabd.jpg","Фото")</f>
      </c>
    </row>
    <row r="8228">
      <c r="A8228" s="7">
        <f>HYPERLINK("http://www.lingerieopt.ru/item/7542-chulki-na-shnurovke-lacing/","7542")</f>
      </c>
      <c r="B8228" s="8" t="s">
        <v>7915</v>
      </c>
      <c r="C8228" s="9">
        <v>2076</v>
      </c>
      <c r="D8228" s="0">
        <v>0</v>
      </c>
      <c r="E8228" s="10">
        <f>HYPERLINK("http://www.lingerieopt.ru/images/original/0e2331af-719b-4c2c-a25a-29e65890dabd.jpg","Фото")</f>
      </c>
    </row>
    <row r="8229">
      <c r="A8229" s="7">
        <f>HYPERLINK("http://www.lingerieopt.ru/item/7542-chulki-na-shnurovke-lacing/","7542")</f>
      </c>
      <c r="B8229" s="8" t="s">
        <v>7916</v>
      </c>
      <c r="C8229" s="9">
        <v>2076</v>
      </c>
      <c r="D8229" s="0">
        <v>2</v>
      </c>
      <c r="E8229" s="10">
        <f>HYPERLINK("http://www.lingerieopt.ru/images/original/0e2331af-719b-4c2c-a25a-29e65890dabd.jpg","Фото")</f>
      </c>
    </row>
    <row r="8230">
      <c r="A8230" s="7">
        <f>HYPERLINK("http://www.lingerieopt.ru/item/7542-chulki-na-shnurovke-lacing/","7542")</f>
      </c>
      <c r="B8230" s="8" t="s">
        <v>7917</v>
      </c>
      <c r="C8230" s="9">
        <v>2076</v>
      </c>
      <c r="D8230" s="0">
        <v>0</v>
      </c>
      <c r="E8230" s="10">
        <f>HYPERLINK("http://www.lingerieopt.ru/images/original/0e2331af-719b-4c2c-a25a-29e65890dabd.jpg","Фото")</f>
      </c>
    </row>
    <row r="8231">
      <c r="A8231" s="7">
        <f>HYPERLINK("http://www.lingerieopt.ru/item/7592-chulki-pod-poyas-bruna-s-shirokoi-kruzhevnoi-rezinkoi/","7592")</f>
      </c>
      <c r="B8231" s="8" t="s">
        <v>7918</v>
      </c>
      <c r="C8231" s="9">
        <v>335</v>
      </c>
      <c r="D8231" s="0">
        <v>0</v>
      </c>
      <c r="E8231" s="10">
        <f>HYPERLINK("http://www.lingerieopt.ru/images/original/3596f3e2-2126-4ffa-a216-b6165a1faa0c.jpg","Фото")</f>
      </c>
    </row>
    <row r="8232">
      <c r="A8232" s="7">
        <f>HYPERLINK("http://www.lingerieopt.ru/item/7592-chulki-pod-poyas-bruna-s-shirokoi-kruzhevnoi-rezinkoi/","7592")</f>
      </c>
      <c r="B8232" s="8" t="s">
        <v>7919</v>
      </c>
      <c r="C8232" s="9">
        <v>335</v>
      </c>
      <c r="D8232" s="0">
        <v>0</v>
      </c>
      <c r="E8232" s="10">
        <f>HYPERLINK("http://www.lingerieopt.ru/images/original/3596f3e2-2126-4ffa-a216-b6165a1faa0c.jpg","Фото")</f>
      </c>
    </row>
    <row r="8233">
      <c r="A8233" s="7">
        <f>HYPERLINK("http://www.lingerieopt.ru/item/7592-chulki-pod-poyas-bruna-s-shirokoi-kruzhevnoi-rezinkoi/","7592")</f>
      </c>
      <c r="B8233" s="8" t="s">
        <v>7920</v>
      </c>
      <c r="C8233" s="9">
        <v>335</v>
      </c>
      <c r="D8233" s="0">
        <v>0</v>
      </c>
      <c r="E8233" s="10">
        <f>HYPERLINK("http://www.lingerieopt.ru/images/original/3596f3e2-2126-4ffa-a216-b6165a1faa0c.jpg","Фото")</f>
      </c>
    </row>
    <row r="8234">
      <c r="A8234" s="7">
        <f>HYPERLINK("http://www.lingerieopt.ru/item/7592-chulki-pod-poyas-bruna-s-shirokoi-kruzhevnoi-rezinkoi/","7592")</f>
      </c>
      <c r="B8234" s="8" t="s">
        <v>7921</v>
      </c>
      <c r="C8234" s="9">
        <v>335</v>
      </c>
      <c r="D8234" s="0">
        <v>0</v>
      </c>
      <c r="E8234" s="10">
        <f>HYPERLINK("http://www.lingerieopt.ru/images/original/3596f3e2-2126-4ffa-a216-b6165a1faa0c.jpg","Фото")</f>
      </c>
    </row>
    <row r="8235">
      <c r="A8235" s="7">
        <f>HYPERLINK("http://www.lingerieopt.ru/item/7592-chulki-pod-poyas-bruna-s-shirokoi-kruzhevnoi-rezinkoi/","7592")</f>
      </c>
      <c r="B8235" s="8" t="s">
        <v>7922</v>
      </c>
      <c r="C8235" s="9">
        <v>335</v>
      </c>
      <c r="D8235" s="0">
        <v>1</v>
      </c>
      <c r="E8235" s="10">
        <f>HYPERLINK("http://www.lingerieopt.ru/images/original/3596f3e2-2126-4ffa-a216-b6165a1faa0c.jpg","Фото")</f>
      </c>
    </row>
    <row r="8236">
      <c r="A8236" s="7">
        <f>HYPERLINK("http://www.lingerieopt.ru/item/7592-chulki-pod-poyas-bruna-s-shirokoi-kruzhevnoi-rezinkoi/","7592")</f>
      </c>
      <c r="B8236" s="8" t="s">
        <v>7923</v>
      </c>
      <c r="C8236" s="9">
        <v>335</v>
      </c>
      <c r="D8236" s="0">
        <v>0</v>
      </c>
      <c r="E8236" s="10">
        <f>HYPERLINK("http://www.lingerieopt.ru/images/original/3596f3e2-2126-4ffa-a216-b6165a1faa0c.jpg","Фото")</f>
      </c>
    </row>
    <row r="8237">
      <c r="A8237" s="7">
        <f>HYPERLINK("http://www.lingerieopt.ru/item/7592-chulki-pod-poyas-bruna-s-shirokoi-kruzhevnoi-rezinkoi/","7592")</f>
      </c>
      <c r="B8237" s="8" t="s">
        <v>7924</v>
      </c>
      <c r="C8237" s="9">
        <v>335</v>
      </c>
      <c r="D8237" s="0">
        <v>0</v>
      </c>
      <c r="E8237" s="10">
        <f>HYPERLINK("http://www.lingerieopt.ru/images/original/3596f3e2-2126-4ffa-a216-b6165a1faa0c.jpg","Фото")</f>
      </c>
    </row>
    <row r="8238">
      <c r="A8238" s="7">
        <f>HYPERLINK("http://www.lingerieopt.ru/item/7592-chulki-pod-poyas-bruna-s-shirokoi-kruzhevnoi-rezinkoi/","7592")</f>
      </c>
      <c r="B8238" s="8" t="s">
        <v>7925</v>
      </c>
      <c r="C8238" s="9">
        <v>335</v>
      </c>
      <c r="D8238" s="0">
        <v>0</v>
      </c>
      <c r="E8238" s="10">
        <f>HYPERLINK("http://www.lingerieopt.ru/images/original/3596f3e2-2126-4ffa-a216-b6165a1faa0c.jpg","Фото")</f>
      </c>
    </row>
    <row r="8239">
      <c r="A8239" s="7">
        <f>HYPERLINK("http://www.lingerieopt.ru/item/7592-chulki-pod-poyas-bruna-s-shirokoi-kruzhevnoi-rezinkoi/","7592")</f>
      </c>
      <c r="B8239" s="8" t="s">
        <v>7926</v>
      </c>
      <c r="C8239" s="9">
        <v>335</v>
      </c>
      <c r="D8239" s="0">
        <v>0</v>
      </c>
      <c r="E8239" s="10">
        <f>HYPERLINK("http://www.lingerieopt.ru/images/original/3596f3e2-2126-4ffa-a216-b6165a1faa0c.jpg","Фото")</f>
      </c>
    </row>
    <row r="8240">
      <c r="A8240" s="7">
        <f>HYPERLINK("http://www.lingerieopt.ru/item/7592-chulki-pod-poyas-bruna-s-shirokoi-kruzhevnoi-rezinkoi/","7592")</f>
      </c>
      <c r="B8240" s="8" t="s">
        <v>7927</v>
      </c>
      <c r="C8240" s="9">
        <v>335</v>
      </c>
      <c r="D8240" s="0">
        <v>0</v>
      </c>
      <c r="E8240" s="10">
        <f>HYPERLINK("http://www.lingerieopt.ru/images/original/3596f3e2-2126-4ffa-a216-b6165a1faa0c.jpg","Фото")</f>
      </c>
    </row>
    <row r="8241">
      <c r="A8241" s="7">
        <f>HYPERLINK("http://www.lingerieopt.ru/item/7592-chulki-pod-poyas-bruna-s-shirokoi-kruzhevnoi-rezinkoi/","7592")</f>
      </c>
      <c r="B8241" s="8" t="s">
        <v>7928</v>
      </c>
      <c r="C8241" s="9">
        <v>335</v>
      </c>
      <c r="D8241" s="0">
        <v>0</v>
      </c>
      <c r="E8241" s="10">
        <f>HYPERLINK("http://www.lingerieopt.ru/images/original/3596f3e2-2126-4ffa-a216-b6165a1faa0c.jpg","Фото")</f>
      </c>
    </row>
    <row r="8242">
      <c r="A8242" s="7">
        <f>HYPERLINK("http://www.lingerieopt.ru/item/7592-chulki-pod-poyas-bruna-s-shirokoi-kruzhevnoi-rezinkoi/","7592")</f>
      </c>
      <c r="B8242" s="8" t="s">
        <v>7929</v>
      </c>
      <c r="C8242" s="9">
        <v>335</v>
      </c>
      <c r="D8242" s="0">
        <v>0</v>
      </c>
      <c r="E8242" s="10">
        <f>HYPERLINK("http://www.lingerieopt.ru/images/original/3596f3e2-2126-4ffa-a216-b6165a1faa0c.jpg","Фото")</f>
      </c>
    </row>
    <row r="8243">
      <c r="A8243" s="7">
        <f>HYPERLINK("http://www.lingerieopt.ru/item/7612-chulki-v-melkuyu-setku-denise-na-silikonovoi-rezinke-i-s-figurnoi-strelkoi-szadi/","7612")</f>
      </c>
      <c r="B8243" s="8" t="s">
        <v>7930</v>
      </c>
      <c r="C8243" s="9">
        <v>806</v>
      </c>
      <c r="D8243" s="0">
        <v>0</v>
      </c>
      <c r="E8243" s="10">
        <f>HYPERLINK("http://www.lingerieopt.ru/images/original/818354e8-3556-4b0c-8156-07c414b09d4d.jpg","Фото")</f>
      </c>
    </row>
    <row r="8244">
      <c r="A8244" s="7">
        <f>HYPERLINK("http://www.lingerieopt.ru/item/7612-chulki-v-melkuyu-setku-denise-na-silikonovoi-rezinke-i-s-figurnoi-strelkoi-szadi/","7612")</f>
      </c>
      <c r="B8244" s="8" t="s">
        <v>7931</v>
      </c>
      <c r="C8244" s="9">
        <v>806</v>
      </c>
      <c r="D8244" s="0">
        <v>0</v>
      </c>
      <c r="E8244" s="10">
        <f>HYPERLINK("http://www.lingerieopt.ru/images/original/818354e8-3556-4b0c-8156-07c414b09d4d.jpg","Фото")</f>
      </c>
    </row>
    <row r="8245">
      <c r="A8245" s="7">
        <f>HYPERLINK("http://www.lingerieopt.ru/item/7612-chulki-v-melkuyu-setku-denise-na-silikonovoi-rezinke-i-s-figurnoi-strelkoi-szadi/","7612")</f>
      </c>
      <c r="B8245" s="8" t="s">
        <v>7932</v>
      </c>
      <c r="C8245" s="9">
        <v>806</v>
      </c>
      <c r="D8245" s="0">
        <v>0</v>
      </c>
      <c r="E8245" s="10">
        <f>HYPERLINK("http://www.lingerieopt.ru/images/original/818354e8-3556-4b0c-8156-07c414b09d4d.jpg","Фото")</f>
      </c>
    </row>
    <row r="8246">
      <c r="A8246" s="7">
        <f>HYPERLINK("http://www.lingerieopt.ru/item/7612-chulki-v-melkuyu-setku-denise-na-silikonovoi-rezinke-i-s-figurnoi-strelkoi-szadi/","7612")</f>
      </c>
      <c r="B8246" s="8" t="s">
        <v>7933</v>
      </c>
      <c r="C8246" s="9">
        <v>806</v>
      </c>
      <c r="D8246" s="0">
        <v>1</v>
      </c>
      <c r="E8246" s="10">
        <f>HYPERLINK("http://www.lingerieopt.ru/images/original/818354e8-3556-4b0c-8156-07c414b09d4d.jpg","Фото")</f>
      </c>
    </row>
    <row r="8247">
      <c r="A8247" s="7">
        <f>HYPERLINK("http://www.lingerieopt.ru/item/7689-matovje-chulki-s-yarkoi-kruzhevnoi-rezinkoi-bez-silikona/","7689")</f>
      </c>
      <c r="B8247" s="8" t="s">
        <v>7934</v>
      </c>
      <c r="C8247" s="9">
        <v>362</v>
      </c>
      <c r="D8247" s="0">
        <v>17</v>
      </c>
      <c r="E8247" s="10">
        <f>HYPERLINK("http://www.lingerieopt.ru/images/original/521f850b-8c47-4ba8-b2f2-21a20f58f89e.jpg","Фото")</f>
      </c>
    </row>
    <row r="8248">
      <c r="A8248" s="7">
        <f>HYPERLINK("http://www.lingerieopt.ru/item/7691-chulki-setka-bez-rezinki-dlya-nosheniya-pod-poyas/","7691")</f>
      </c>
      <c r="B8248" s="8" t="s">
        <v>7935</v>
      </c>
      <c r="C8248" s="9">
        <v>194</v>
      </c>
      <c r="D8248" s="0">
        <v>37</v>
      </c>
      <c r="E8248" s="10">
        <f>HYPERLINK("http://www.lingerieopt.ru/images/original/e3ebb1ff-d056-4989-984f-739143d6a5fc.jpg","Фото")</f>
      </c>
    </row>
    <row r="8249">
      <c r="A8249" s="7">
        <f>HYPERLINK("http://www.lingerieopt.ru/item/7692-chulki-setka-s-rezinkami-v-polosku/","7692")</f>
      </c>
      <c r="B8249" s="8" t="s">
        <v>7936</v>
      </c>
      <c r="C8249" s="9">
        <v>384</v>
      </c>
      <c r="D8249" s="0">
        <v>34</v>
      </c>
      <c r="E8249" s="10">
        <f>HYPERLINK("http://www.lingerieopt.ru/images/original/8e17239d-0dad-4b39-bc0b-95a6340b04b8.jpg","Фото")</f>
      </c>
    </row>
    <row r="8250">
      <c r="A8250" s="7">
        <f>HYPERLINK("http://www.lingerieopt.ru/item/7693-matovje-chulki-so-strelkoi-i-kubinskoi-pyatochkoi/","7693")</f>
      </c>
      <c r="B8250" s="8" t="s">
        <v>7937</v>
      </c>
      <c r="C8250" s="9">
        <v>245</v>
      </c>
      <c r="D8250" s="0">
        <v>26</v>
      </c>
      <c r="E8250" s="10">
        <f>HYPERLINK("http://www.lingerieopt.ru/images/original/56015dba-6cd7-4d59-b4ae-d3e6cb969921.jpg","Фото")</f>
      </c>
    </row>
    <row r="8251">
      <c r="A8251" s="7">
        <f>HYPERLINK("http://www.lingerieopt.ru/item/7693-matovje-chulki-so-strelkoi-i-kubinskoi-pyatochkoi/","7693")</f>
      </c>
      <c r="B8251" s="8" t="s">
        <v>7938</v>
      </c>
      <c r="C8251" s="9">
        <v>245</v>
      </c>
      <c r="D8251" s="0">
        <v>0</v>
      </c>
      <c r="E8251" s="10">
        <f>HYPERLINK("http://www.lingerieopt.ru/images/original/56015dba-6cd7-4d59-b4ae-d3e6cb969921.jpg","Фото")</f>
      </c>
    </row>
    <row r="8252">
      <c r="A8252" s="7">
        <f>HYPERLINK("http://www.lingerieopt.ru/item/7694-chulki-setka-s-kruzhevnoi-rezinkoi-bez-silikonovjh-polos/","7694")</f>
      </c>
      <c r="B8252" s="8" t="s">
        <v>7939</v>
      </c>
      <c r="C8252" s="9">
        <v>330</v>
      </c>
      <c r="D8252" s="0">
        <v>28</v>
      </c>
      <c r="E8252" s="10">
        <f>HYPERLINK("http://www.lingerieopt.ru/images/original/34b007c8-4c5d-4204-8256-af8f662ee12f.jpg","Фото")</f>
      </c>
    </row>
    <row r="8253">
      <c r="A8253" s="7">
        <f>HYPERLINK("http://www.lingerieopt.ru/item/7695-chulki-pod-lateks-s-krasnoi-strelkoi-i-kruzhevnoi-rezinkoi/","7695")</f>
      </c>
      <c r="B8253" s="8" t="s">
        <v>7940</v>
      </c>
      <c r="C8253" s="9">
        <v>1949</v>
      </c>
      <c r="D8253" s="0">
        <v>6</v>
      </c>
      <c r="E8253" s="10">
        <f>HYPERLINK("http://www.lingerieopt.ru/images/original/e5b49b11-b46f-440c-985d-7fbce9bb98b6.jpg","Фото")</f>
      </c>
    </row>
    <row r="8254">
      <c r="A8254" s="7">
        <f>HYPERLINK("http://www.lingerieopt.ru/item/7761-chulki-medsestrj-dolce-piccante/","7761")</f>
      </c>
      <c r="B8254" s="8" t="s">
        <v>7941</v>
      </c>
      <c r="C8254" s="9">
        <v>560</v>
      </c>
      <c r="D8254" s="0">
        <v>32</v>
      </c>
      <c r="E8254" s="10">
        <f>HYPERLINK("http://www.lingerieopt.ru/images/original/556b6a5e-8172-45c6-b92f-2c0231fadfac.jpg","Фото")</f>
      </c>
    </row>
    <row r="8255">
      <c r="A8255" s="7">
        <f>HYPERLINK("http://www.lingerieopt.ru/item/7764-chulki-s-kontrastnoi-rezinkoi/","7764")</f>
      </c>
      <c r="B8255" s="8" t="s">
        <v>7942</v>
      </c>
      <c r="C8255" s="9">
        <v>401</v>
      </c>
      <c r="D8255" s="0">
        <v>28</v>
      </c>
      <c r="E8255" s="10">
        <f>HYPERLINK("http://www.lingerieopt.ru/images/original/a65da4f7-7e55-47c9-90cc-5547776c4f99.jpg","Фото")</f>
      </c>
    </row>
    <row r="8256">
      <c r="A8256" s="7">
        <f>HYPERLINK("http://www.lingerieopt.ru/item/7765-igrivje-chulki-s-vjrezami-szadi-i-bantikami-poverh/","7765")</f>
      </c>
      <c r="B8256" s="8" t="s">
        <v>7943</v>
      </c>
      <c r="C8256" s="9">
        <v>559</v>
      </c>
      <c r="D8256" s="0">
        <v>18</v>
      </c>
      <c r="E8256" s="10">
        <f>HYPERLINK("http://www.lingerieopt.ru/images/original/48cf8988-ceb7-4de9-8669-ae4c806f458d.jpg","Фото")</f>
      </c>
    </row>
    <row r="8257">
      <c r="A8257" s="7">
        <f>HYPERLINK("http://www.lingerieopt.ru/item/7766-koketlivje-chulki-s-vjrezami-i-kontrastnjmi-bantami/","7766")</f>
      </c>
      <c r="B8257" s="8" t="s">
        <v>7944</v>
      </c>
      <c r="C8257" s="9">
        <v>559</v>
      </c>
      <c r="D8257" s="0">
        <v>19</v>
      </c>
      <c r="E8257" s="10">
        <f>HYPERLINK("http://www.lingerieopt.ru/images/original/82561dcd-6114-46da-afd6-68f09c328c05.jpg","Фото")</f>
      </c>
    </row>
    <row r="8258">
      <c r="A8258" s="7">
        <f>HYPERLINK("http://www.lingerieopt.ru/item/7800-poyas-s-plotnjmi-chulkami/","7800")</f>
      </c>
      <c r="B8258" s="8" t="s">
        <v>7945</v>
      </c>
      <c r="C8258" s="9">
        <v>361</v>
      </c>
      <c r="D8258" s="0">
        <v>70</v>
      </c>
      <c r="E8258" s="10">
        <f>HYPERLINK("http://www.lingerieopt.ru/images/original/146e2783-c10f-4a92-926e-e7bdb7f7f362.jpg","Фото")</f>
      </c>
    </row>
    <row r="8259">
      <c r="A8259" s="7">
        <f>HYPERLINK("http://www.lingerieopt.ru/item/7809-chulki-frivolla-s-shirokoi-kruzhevnoi-rezinkoi-s-cvetochnjm-uzorom/","7809")</f>
      </c>
      <c r="B8259" s="8" t="s">
        <v>7946</v>
      </c>
      <c r="C8259" s="9">
        <v>610</v>
      </c>
      <c r="D8259" s="0">
        <v>4</v>
      </c>
      <c r="E8259" s="10">
        <f>HYPERLINK("http://www.lingerieopt.ru/images/original/ab9d9ef2-95b7-4ad8-a4f4-64d9582fd907.jpg","Фото")</f>
      </c>
    </row>
    <row r="8260">
      <c r="A8260" s="7">
        <f>HYPERLINK("http://www.lingerieopt.ru/item/7809-chulki-frivolla-s-shirokoi-kruzhevnoi-rezinkoi-s-cvetochnjm-uzorom/","7809")</f>
      </c>
      <c r="B8260" s="8" t="s">
        <v>7947</v>
      </c>
      <c r="C8260" s="9">
        <v>610</v>
      </c>
      <c r="D8260" s="0">
        <v>0</v>
      </c>
      <c r="E8260" s="10">
        <f>HYPERLINK("http://www.lingerieopt.ru/images/original/ab9d9ef2-95b7-4ad8-a4f4-64d9582fd907.jpg","Фото")</f>
      </c>
    </row>
    <row r="8261">
      <c r="A8261" s="7">
        <f>HYPERLINK("http://www.lingerieopt.ru/item/7901-tonkie-chulki-silvi-s-kruzhevnoi-rezinkoi/","7901")</f>
      </c>
      <c r="B8261" s="8" t="s">
        <v>7948</v>
      </c>
      <c r="C8261" s="9">
        <v>537</v>
      </c>
      <c r="D8261" s="0">
        <v>0</v>
      </c>
      <c r="E8261" s="10">
        <f>HYPERLINK("http://www.lingerieopt.ru/images/original/de74cd7c-4ee7-4fe3-af93-7dbfcc5ba473.jpg","Фото")</f>
      </c>
    </row>
    <row r="8262">
      <c r="A8262" s="7">
        <f>HYPERLINK("http://www.lingerieopt.ru/item/7901-tonkie-chulki-silvi-s-kruzhevnoi-rezinkoi/","7901")</f>
      </c>
      <c r="B8262" s="8" t="s">
        <v>7949</v>
      </c>
      <c r="C8262" s="9">
        <v>537</v>
      </c>
      <c r="D8262" s="0">
        <v>1</v>
      </c>
      <c r="E8262" s="10">
        <f>HYPERLINK("http://www.lingerieopt.ru/images/original/de74cd7c-4ee7-4fe3-af93-7dbfcc5ba473.jpg","Фото")</f>
      </c>
    </row>
    <row r="8263">
      <c r="A8263" s="7">
        <f>HYPERLINK("http://www.lingerieopt.ru/item/7901-tonkie-chulki-silvi-s-kruzhevnoi-rezinkoi/","7901")</f>
      </c>
      <c r="B8263" s="8" t="s">
        <v>7950</v>
      </c>
      <c r="C8263" s="9">
        <v>537</v>
      </c>
      <c r="D8263" s="0">
        <v>1</v>
      </c>
      <c r="E8263" s="10">
        <f>HYPERLINK("http://www.lingerieopt.ru/images/original/de74cd7c-4ee7-4fe3-af93-7dbfcc5ba473.jpg","Фото")</f>
      </c>
    </row>
    <row r="8264">
      <c r="A8264" s="7">
        <f>HYPERLINK("http://www.lingerieopt.ru/item/8183-komplekt-iz-poyasa-s-trusikami-stringami-s-dostupom/","8183")</f>
      </c>
      <c r="B8264" s="8" t="s">
        <v>6801</v>
      </c>
      <c r="C8264" s="9">
        <v>938</v>
      </c>
      <c r="D8264" s="0">
        <v>3</v>
      </c>
      <c r="E8264" s="10">
        <f>HYPERLINK("http://www.lingerieopt.ru/images/original/85ac4c36-3f24-4c77-9e81-1e0310026c18.jpg","Фото")</f>
      </c>
    </row>
    <row r="8265">
      <c r="A8265" s="7">
        <f>HYPERLINK("http://www.lingerieopt.ru/item/8183-komplekt-iz-poyasa-s-trusikami-stringami-s-dostupom/","8183")</f>
      </c>
      <c r="B8265" s="8" t="s">
        <v>6802</v>
      </c>
      <c r="C8265" s="9">
        <v>938</v>
      </c>
      <c r="D8265" s="0">
        <v>5</v>
      </c>
      <c r="E8265" s="10">
        <f>HYPERLINK("http://www.lingerieopt.ru/images/original/85ac4c36-3f24-4c77-9e81-1e0310026c18.jpg","Фото")</f>
      </c>
    </row>
    <row r="8266">
      <c r="A8266" s="7">
        <f>HYPERLINK("http://www.lingerieopt.ru/item/8185-belji-kruzhevnoi-poyas-s-trusikami/","8185")</f>
      </c>
      <c r="B8266" s="8" t="s">
        <v>6803</v>
      </c>
      <c r="C8266" s="9">
        <v>793</v>
      </c>
      <c r="D8266" s="0">
        <v>5</v>
      </c>
      <c r="E8266" s="10">
        <f>HYPERLINK("http://www.lingerieopt.ru/images/original/6d5ad921-eeed-4a85-96e2-ff4031b92c01.jpg","Фото")</f>
      </c>
    </row>
    <row r="8267">
      <c r="A8267" s="7">
        <f>HYPERLINK("http://www.lingerieopt.ru/item/8185-belji-kruzhevnoi-poyas-s-trusikami/","8185")</f>
      </c>
      <c r="B8267" s="8" t="s">
        <v>6804</v>
      </c>
      <c r="C8267" s="9">
        <v>793</v>
      </c>
      <c r="D8267" s="0">
        <v>5</v>
      </c>
      <c r="E8267" s="10">
        <f>HYPERLINK("http://www.lingerieopt.ru/images/original/6d5ad921-eeed-4a85-96e2-ff4031b92c01.jpg","Фото")</f>
      </c>
    </row>
    <row r="8268">
      <c r="A8268" s="7">
        <f>HYPERLINK("http://www.lingerieopt.ru/item/8186-shirokii-kruzhevnoi-poyas-s-pazhami-dlya-chulok-i-trusiki-stringi/","8186")</f>
      </c>
      <c r="B8268" s="8" t="s">
        <v>6806</v>
      </c>
      <c r="C8268" s="9">
        <v>907</v>
      </c>
      <c r="D8268" s="0">
        <v>0</v>
      </c>
      <c r="E8268" s="10">
        <f>HYPERLINK("http://www.lingerieopt.ru/images/original/bf560d5c-194e-459f-9e4d-3a0f6a2e17a7.jpg","Фото")</f>
      </c>
    </row>
    <row r="8269">
      <c r="A8269" s="7">
        <f>HYPERLINK("http://www.lingerieopt.ru/item/8186-shirokii-kruzhevnoi-poyas-s-pazhami-dlya-chulok-i-trusiki-stringi/","8186")</f>
      </c>
      <c r="B8269" s="8" t="s">
        <v>6805</v>
      </c>
      <c r="C8269" s="9">
        <v>907</v>
      </c>
      <c r="D8269" s="0">
        <v>4</v>
      </c>
      <c r="E8269" s="10">
        <f>HYPERLINK("http://www.lingerieopt.ru/images/original/bf560d5c-194e-459f-9e4d-3a0f6a2e17a7.jpg","Фото")</f>
      </c>
    </row>
    <row r="8270">
      <c r="A8270" s="7">
        <f>HYPERLINK("http://www.lingerieopt.ru/item/8188-komplekt-iz-kruzhevnogo-poyasa-dlya-chulok-i-trusikov/","8188")</f>
      </c>
      <c r="B8270" s="8" t="s">
        <v>6808</v>
      </c>
      <c r="C8270" s="9">
        <v>751</v>
      </c>
      <c r="D8270" s="0">
        <v>0</v>
      </c>
      <c r="E8270" s="10">
        <f>HYPERLINK("http://www.lingerieopt.ru/images/original/0e563914-4a16-4b85-bf02-403bb2a0475c.jpg","Фото")</f>
      </c>
    </row>
    <row r="8271">
      <c r="A8271" s="7">
        <f>HYPERLINK("http://www.lingerieopt.ru/item/8188-komplekt-iz-kruzhevnogo-poyasa-dlya-chulok-i-trusikov/","8188")</f>
      </c>
      <c r="B8271" s="8" t="s">
        <v>6807</v>
      </c>
      <c r="C8271" s="9">
        <v>751</v>
      </c>
      <c r="D8271" s="0">
        <v>1</v>
      </c>
      <c r="E8271" s="10">
        <f>HYPERLINK("http://www.lingerieopt.ru/images/original/0e563914-4a16-4b85-bf02-403bb2a0475c.jpg","Фото")</f>
      </c>
    </row>
    <row r="8272">
      <c r="A8272" s="7">
        <f>HYPERLINK("http://www.lingerieopt.ru/item/8189-kruzhevnoi-poyas-s-atlasnjmi-bantikami-i-trusiki-stringi/","8189")</f>
      </c>
      <c r="B8272" s="8" t="s">
        <v>7951</v>
      </c>
      <c r="C8272" s="9">
        <v>864</v>
      </c>
      <c r="D8272" s="0">
        <v>1</v>
      </c>
      <c r="E8272" s="10">
        <f>HYPERLINK("http://www.lingerieopt.ru/images/original/9140ac7d-3f4a-4200-9496-4659943efe56.jpg","Фото")</f>
      </c>
    </row>
    <row r="8273">
      <c r="A8273" s="7">
        <f>HYPERLINK("http://www.lingerieopt.ru/item/8189-kruzhevnoi-poyas-s-atlasnjmi-bantikami-i-trusiki-stringi/","8189")</f>
      </c>
      <c r="B8273" s="8" t="s">
        <v>7952</v>
      </c>
      <c r="C8273" s="9">
        <v>864</v>
      </c>
      <c r="D8273" s="0">
        <v>0</v>
      </c>
      <c r="E8273" s="10">
        <f>HYPERLINK("http://www.lingerieopt.ru/images/original/9140ac7d-3f4a-4200-9496-4659943efe56.jpg","Фото")</f>
      </c>
    </row>
    <row r="8274">
      <c r="A8274" s="7">
        <f>HYPERLINK("http://www.lingerieopt.ru/item/8190-shirokii-poyas-iz-nezhnogo-kruzheva-i-trusiki-stringi/","8190")</f>
      </c>
      <c r="B8274" s="8" t="s">
        <v>6810</v>
      </c>
      <c r="C8274" s="9">
        <v>938</v>
      </c>
      <c r="D8274" s="0">
        <v>8</v>
      </c>
      <c r="E8274" s="10">
        <f>HYPERLINK("http://www.lingerieopt.ru/images/original/ad08b02f-53c7-4ba0-81b0-5d5315537028.jpg","Фото")</f>
      </c>
    </row>
    <row r="8275">
      <c r="A8275" s="7">
        <f>HYPERLINK("http://www.lingerieopt.ru/item/8190-shirokii-poyas-iz-nezhnogo-kruzheva-i-trusiki-stringi/","8190")</f>
      </c>
      <c r="B8275" s="8" t="s">
        <v>6809</v>
      </c>
      <c r="C8275" s="9">
        <v>938</v>
      </c>
      <c r="D8275" s="0">
        <v>2</v>
      </c>
      <c r="E8275" s="10">
        <f>HYPERLINK("http://www.lingerieopt.ru/images/original/ad08b02f-53c7-4ba0-81b0-5d5315537028.jpg","Фото")</f>
      </c>
    </row>
    <row r="8276">
      <c r="A8276" s="7">
        <f>HYPERLINK("http://www.lingerieopt.ru/item/8216-cherno-belji-poyas-s-kruzhevom-i-trusikami-string-v-komplekte/","8216")</f>
      </c>
      <c r="B8276" s="8" t="s">
        <v>6811</v>
      </c>
      <c r="C8276" s="9">
        <v>865</v>
      </c>
      <c r="D8276" s="0">
        <v>0</v>
      </c>
      <c r="E8276" s="10">
        <f>HYPERLINK("http://www.lingerieopt.ru/images/original/8d7a6ea0-902a-4338-bb78-c340534d66aa.jpg","Фото")</f>
      </c>
    </row>
    <row r="8277">
      <c r="A8277" s="7">
        <f>HYPERLINK("http://www.lingerieopt.ru/item/8216-cherno-belji-poyas-s-kruzhevom-i-trusikami-string-v-komplekte/","8216")</f>
      </c>
      <c r="B8277" s="8" t="s">
        <v>6812</v>
      </c>
      <c r="C8277" s="9">
        <v>865</v>
      </c>
      <c r="D8277" s="0">
        <v>1</v>
      </c>
      <c r="E8277" s="10">
        <f>HYPERLINK("http://www.lingerieopt.ru/images/original/8d7a6ea0-902a-4338-bb78-c340534d66aa.jpg","Фото")</f>
      </c>
    </row>
    <row r="8278">
      <c r="A8278" s="7">
        <f>HYPERLINK("http://www.lingerieopt.ru/item/8300-poyas-dlya-chulok-moketta-s-kruzhevnoi-oborkoi-i-trusikami/","8300")</f>
      </c>
      <c r="B8278" s="8" t="s">
        <v>6813</v>
      </c>
      <c r="C8278" s="9">
        <v>946</v>
      </c>
      <c r="D8278" s="0">
        <v>2</v>
      </c>
      <c r="E8278" s="10">
        <f>HYPERLINK("http://www.lingerieopt.ru/images/original/6bad3c06-ec5b-4c12-9ebb-9f7931c907f3.jpg","Фото")</f>
      </c>
    </row>
    <row r="8279">
      <c r="A8279" s="7">
        <f>HYPERLINK("http://www.lingerieopt.ru/item/8300-poyas-dlya-chulok-moketta-s-kruzhevnoi-oborkoi-i-trusikami/","8300")</f>
      </c>
      <c r="B8279" s="8" t="s">
        <v>6814</v>
      </c>
      <c r="C8279" s="9">
        <v>946</v>
      </c>
      <c r="D8279" s="0">
        <v>4</v>
      </c>
      <c r="E8279" s="10">
        <f>HYPERLINK("http://www.lingerieopt.ru/images/original/6bad3c06-ec5b-4c12-9ebb-9f7931c907f3.jpg","Фото")</f>
      </c>
    </row>
    <row r="8280">
      <c r="A8280" s="7">
        <f>HYPERLINK("http://www.lingerieopt.ru/item/8331-shirokii-kruzhevnoi-poyas-i-kontaktnje-trusiki-stringi-s-cvetochnjm-uzorom/","8331")</f>
      </c>
      <c r="B8280" s="8" t="s">
        <v>6822</v>
      </c>
      <c r="C8280" s="9">
        <v>744</v>
      </c>
      <c r="D8280" s="0">
        <v>2</v>
      </c>
      <c r="E8280" s="10">
        <f>HYPERLINK("http://www.lingerieopt.ru/images/original/b8a7f78c-f2f9-466f-9a1f-ab0129d7ea30.jpg","Фото")</f>
      </c>
    </row>
    <row r="8281">
      <c r="A8281" s="7">
        <f>HYPERLINK("http://www.lingerieopt.ru/item/8331-shirokii-kruzhevnoi-poyas-i-kontaktnje-trusiki-stringi-s-cvetochnjm-uzorom/","8331")</f>
      </c>
      <c r="B8281" s="8" t="s">
        <v>6821</v>
      </c>
      <c r="C8281" s="9">
        <v>744</v>
      </c>
      <c r="D8281" s="0">
        <v>2</v>
      </c>
      <c r="E8281" s="10">
        <f>HYPERLINK("http://www.lingerieopt.ru/images/original/b8a7f78c-f2f9-466f-9a1f-ab0129d7ea30.jpg","Фото")</f>
      </c>
    </row>
    <row r="8282">
      <c r="A8282" s="7">
        <f>HYPERLINK("http://www.lingerieopt.ru/item/8331-shirokii-kruzhevnoi-poyas-i-kontaktnje-trusiki-stringi-s-cvetochnjm-uzorom/","8331")</f>
      </c>
      <c r="B8282" s="8" t="s">
        <v>6820</v>
      </c>
      <c r="C8282" s="9">
        <v>744</v>
      </c>
      <c r="D8282" s="0">
        <v>2</v>
      </c>
      <c r="E8282" s="10">
        <f>HYPERLINK("http://www.lingerieopt.ru/images/original/b8a7f78c-f2f9-466f-9a1f-ab0129d7ea30.jpg","Фото")</f>
      </c>
    </row>
    <row r="8283">
      <c r="A8283" s="7">
        <f>HYPERLINK("http://www.lingerieopt.ru/item/8331-shirokii-kruzhevnoi-poyas-i-kontaktnje-trusiki-stringi-s-cvetochnjm-uzorom/","8331")</f>
      </c>
      <c r="B8283" s="8" t="s">
        <v>6819</v>
      </c>
      <c r="C8283" s="9">
        <v>744</v>
      </c>
      <c r="D8283" s="0">
        <v>2</v>
      </c>
      <c r="E8283" s="10">
        <f>HYPERLINK("http://www.lingerieopt.ru/images/original/b8a7f78c-f2f9-466f-9a1f-ab0129d7ea30.jpg","Фото")</f>
      </c>
    </row>
    <row r="8284">
      <c r="A8284" s="7">
        <f>HYPERLINK("http://www.lingerieopt.ru/item/8336-poyas-s-kruzhevom-szadi-i-kontaktnje-trusiki-stringi-s-cvetochnjm-uzorom/","8336")</f>
      </c>
      <c r="B8284" s="8" t="s">
        <v>6824</v>
      </c>
      <c r="C8284" s="9">
        <v>977</v>
      </c>
      <c r="D8284" s="0">
        <v>2</v>
      </c>
      <c r="E8284" s="10">
        <f>HYPERLINK("http://www.lingerieopt.ru/images/original/86ad79b0-dda2-456d-928a-56a88136216a.jpg","Фото")</f>
      </c>
    </row>
    <row r="8285">
      <c r="A8285" s="7">
        <f>HYPERLINK("http://www.lingerieopt.ru/item/8336-poyas-s-kruzhevom-szadi-i-kontaktnje-trusiki-stringi-s-cvetochnjm-uzorom/","8336")</f>
      </c>
      <c r="B8285" s="8" t="s">
        <v>6823</v>
      </c>
      <c r="C8285" s="9">
        <v>977</v>
      </c>
      <c r="D8285" s="0">
        <v>0</v>
      </c>
      <c r="E8285" s="10">
        <f>HYPERLINK("http://www.lingerieopt.ru/images/original/86ad79b0-dda2-456d-928a-56a88136216a.jpg","Фото")</f>
      </c>
    </row>
    <row r="8286">
      <c r="A8286" s="7">
        <f>HYPERLINK("http://www.lingerieopt.ru/item/8338-krasivji-kruzhevnoi-poyas-v-komplekte-s-kontaktnjmi-trusikami-string/","8338")</f>
      </c>
      <c r="B8286" s="8" t="s">
        <v>6826</v>
      </c>
      <c r="C8286" s="9">
        <v>1015</v>
      </c>
      <c r="D8286" s="0">
        <v>5</v>
      </c>
      <c r="E8286" s="10">
        <f>HYPERLINK("http://www.lingerieopt.ru/images/original/a4ba18d2-0a5c-4299-8c1e-15d668230764.jpg","Фото")</f>
      </c>
    </row>
    <row r="8287">
      <c r="A8287" s="7">
        <f>HYPERLINK("http://www.lingerieopt.ru/item/8338-krasivji-kruzhevnoi-poyas-v-komplekte-s-kontaktnjmi-trusikami-string/","8338")</f>
      </c>
      <c r="B8287" s="8" t="s">
        <v>6825</v>
      </c>
      <c r="C8287" s="9">
        <v>1015</v>
      </c>
      <c r="D8287" s="0">
        <v>5</v>
      </c>
      <c r="E8287" s="10">
        <f>HYPERLINK("http://www.lingerieopt.ru/images/original/a4ba18d2-0a5c-4299-8c1e-15d668230764.jpg","Фото")</f>
      </c>
    </row>
    <row r="8288">
      <c r="A8288" s="7">
        <f>HYPERLINK("http://www.lingerieopt.ru/item/8339-chulki-iz-melkoi-setki-s-kruzhevnoi-rezinkoi/","8339")</f>
      </c>
      <c r="B8288" s="8" t="s">
        <v>7953</v>
      </c>
      <c r="C8288" s="9">
        <v>640</v>
      </c>
      <c r="D8288" s="0">
        <v>0</v>
      </c>
      <c r="E8288" s="10">
        <f>HYPERLINK("http://www.lingerieopt.ru/images/original/47c6b32a-8664-4491-8c88-cbe21ebe1161.jpg","Фото")</f>
      </c>
    </row>
    <row r="8289">
      <c r="A8289" s="7">
        <f>HYPERLINK("http://www.lingerieopt.ru/item/8339-chulki-iz-melkoi-setki-s-kruzhevnoi-rezinkoi/","8339")</f>
      </c>
      <c r="B8289" s="8" t="s">
        <v>7954</v>
      </c>
      <c r="C8289" s="9">
        <v>640</v>
      </c>
      <c r="D8289" s="0">
        <v>0</v>
      </c>
      <c r="E8289" s="10">
        <f>HYPERLINK("http://www.lingerieopt.ru/images/original/47c6b32a-8664-4491-8c88-cbe21ebe1161.jpg","Фото")</f>
      </c>
    </row>
    <row r="8290">
      <c r="A8290" s="7">
        <f>HYPERLINK("http://www.lingerieopt.ru/item/8339-chulki-iz-melkoi-setki-s-kruzhevnoi-rezinkoi/","8339")</f>
      </c>
      <c r="B8290" s="8" t="s">
        <v>7955</v>
      </c>
      <c r="C8290" s="9">
        <v>640</v>
      </c>
      <c r="D8290" s="0">
        <v>11</v>
      </c>
      <c r="E8290" s="10">
        <f>HYPERLINK("http://www.lingerieopt.ru/images/original/47c6b32a-8664-4491-8c88-cbe21ebe1161.jpg","Фото")</f>
      </c>
    </row>
    <row r="8291">
      <c r="A8291" s="7">
        <f>HYPERLINK("http://www.lingerieopt.ru/item/8339-chulki-iz-melkoi-setki-s-kruzhevnoi-rezinkoi/","8339")</f>
      </c>
      <c r="B8291" s="8" t="s">
        <v>7956</v>
      </c>
      <c r="C8291" s="9">
        <v>640</v>
      </c>
      <c r="D8291" s="0">
        <v>2</v>
      </c>
      <c r="E8291" s="10">
        <f>HYPERLINK("http://www.lingerieopt.ru/images/original/47c6b32a-8664-4491-8c88-cbe21ebe1161.jpg","Фото")</f>
      </c>
    </row>
    <row r="8292">
      <c r="A8292" s="7">
        <f>HYPERLINK("http://www.lingerieopt.ru/item/8339-chulki-iz-melkoi-setki-s-kruzhevnoi-rezinkoi/","8339")</f>
      </c>
      <c r="B8292" s="8" t="s">
        <v>7957</v>
      </c>
      <c r="C8292" s="9">
        <v>640</v>
      </c>
      <c r="D8292" s="0">
        <v>0</v>
      </c>
      <c r="E8292" s="10">
        <f>HYPERLINK("http://www.lingerieopt.ru/images/original/47c6b32a-8664-4491-8c88-cbe21ebe1161.jpg","Фото")</f>
      </c>
    </row>
    <row r="8293">
      <c r="A8293" s="7">
        <f>HYPERLINK("http://www.lingerieopt.ru/item/8339-chulki-iz-melkoi-setki-s-kruzhevnoi-rezinkoi/","8339")</f>
      </c>
      <c r="B8293" s="8" t="s">
        <v>7958</v>
      </c>
      <c r="C8293" s="9">
        <v>640</v>
      </c>
      <c r="D8293" s="0">
        <v>5</v>
      </c>
      <c r="E8293" s="10">
        <f>HYPERLINK("http://www.lingerieopt.ru/images/original/47c6b32a-8664-4491-8c88-cbe21ebe1161.jpg","Фото")</f>
      </c>
    </row>
    <row r="8294">
      <c r="A8294" s="7">
        <f>HYPERLINK("http://www.lingerieopt.ru/item/8339-chulki-iz-melkoi-setki-s-kruzhevnoi-rezinkoi/","8339")</f>
      </c>
      <c r="B8294" s="8" t="s">
        <v>7959</v>
      </c>
      <c r="C8294" s="9">
        <v>640</v>
      </c>
      <c r="D8294" s="0">
        <v>3</v>
      </c>
      <c r="E8294" s="10">
        <f>HYPERLINK("http://www.lingerieopt.ru/images/original/47c6b32a-8664-4491-8c88-cbe21ebe1161.jpg","Фото")</f>
      </c>
    </row>
    <row r="8295">
      <c r="A8295" s="7">
        <f>HYPERLINK("http://www.lingerieopt.ru/item/8339-chulki-iz-melkoi-setki-s-kruzhevnoi-rezinkoi/","8339")</f>
      </c>
      <c r="B8295" s="8" t="s">
        <v>7960</v>
      </c>
      <c r="C8295" s="9">
        <v>640</v>
      </c>
      <c r="D8295" s="0">
        <v>0</v>
      </c>
      <c r="E8295" s="10">
        <f>HYPERLINK("http://www.lingerieopt.ru/images/original/47c6b32a-8664-4491-8c88-cbe21ebe1161.jpg","Фото")</f>
      </c>
    </row>
    <row r="8296">
      <c r="A8296" s="7">
        <f>HYPERLINK("http://www.lingerieopt.ru/item/8339-chulki-iz-melkoi-setki-s-kruzhevnoi-rezinkoi/","8339")</f>
      </c>
      <c r="B8296" s="8" t="s">
        <v>7961</v>
      </c>
      <c r="C8296" s="9">
        <v>640</v>
      </c>
      <c r="D8296" s="0">
        <v>0</v>
      </c>
      <c r="E8296" s="10">
        <f>HYPERLINK("http://www.lingerieopt.ru/images/original/47c6b32a-8664-4491-8c88-cbe21ebe1161.jpg","Фото")</f>
      </c>
    </row>
    <row r="8297">
      <c r="A8297" s="7">
        <f>HYPERLINK("http://www.lingerieopt.ru/item/8339-chulki-iz-melkoi-setki-s-kruzhevnoi-rezinkoi/","8339")</f>
      </c>
      <c r="B8297" s="8" t="s">
        <v>7962</v>
      </c>
      <c r="C8297" s="9">
        <v>640</v>
      </c>
      <c r="D8297" s="0">
        <v>2</v>
      </c>
      <c r="E8297" s="10">
        <f>HYPERLINK("http://www.lingerieopt.ru/images/original/47c6b32a-8664-4491-8c88-cbe21ebe1161.jpg","Фото")</f>
      </c>
    </row>
    <row r="8298">
      <c r="A8298" s="7">
        <f>HYPERLINK("http://www.lingerieopt.ru/item/8339-chulki-iz-melkoi-setki-s-kruzhevnoi-rezinkoi/","8339")</f>
      </c>
      <c r="B8298" s="8" t="s">
        <v>7963</v>
      </c>
      <c r="C8298" s="9">
        <v>640</v>
      </c>
      <c r="D8298" s="0">
        <v>1</v>
      </c>
      <c r="E8298" s="10">
        <f>HYPERLINK("http://www.lingerieopt.ru/images/original/47c6b32a-8664-4491-8c88-cbe21ebe1161.jpg","Фото")</f>
      </c>
    </row>
    <row r="8299">
      <c r="A8299" s="7">
        <f>HYPERLINK("http://www.lingerieopt.ru/item/8339-chulki-iz-melkoi-setki-s-kruzhevnoi-rezinkoi/","8339")</f>
      </c>
      <c r="B8299" s="8" t="s">
        <v>7964</v>
      </c>
      <c r="C8299" s="9">
        <v>640</v>
      </c>
      <c r="D8299" s="0">
        <v>2</v>
      </c>
      <c r="E8299" s="10">
        <f>HYPERLINK("http://www.lingerieopt.ru/images/original/47c6b32a-8664-4491-8c88-cbe21ebe1161.jpg","Фото")</f>
      </c>
    </row>
    <row r="8300">
      <c r="A8300" s="7">
        <f>HYPERLINK("http://www.lingerieopt.ru/item/8340-plotnje-chulki-s-polosatoi-rezinkoi/","8340")</f>
      </c>
      <c r="B8300" s="8" t="s">
        <v>7965</v>
      </c>
      <c r="C8300" s="9">
        <v>943</v>
      </c>
      <c r="D8300" s="0">
        <v>21</v>
      </c>
      <c r="E8300" s="10">
        <f>HYPERLINK("http://www.lingerieopt.ru/images/original/c9ea0a29-aca5-440d-aef2-3461e146dd66.jpg","Фото")</f>
      </c>
    </row>
    <row r="8301">
      <c r="A8301" s="7">
        <f>HYPERLINK("http://www.lingerieopt.ru/item/8340-plotnje-chulki-s-polosatoi-rezinkoi/","8340")</f>
      </c>
      <c r="B8301" s="8" t="s">
        <v>7966</v>
      </c>
      <c r="C8301" s="9">
        <v>943</v>
      </c>
      <c r="D8301" s="0">
        <v>10</v>
      </c>
      <c r="E8301" s="10">
        <f>HYPERLINK("http://www.lingerieopt.ru/images/original/c9ea0a29-aca5-440d-aef2-3461e146dd66.jpg","Фото")</f>
      </c>
    </row>
    <row r="8302">
      <c r="A8302" s="7">
        <f>HYPERLINK("http://www.lingerieopt.ru/item/8340-plotnje-chulki-s-polosatoi-rezinkoi/","8340")</f>
      </c>
      <c r="B8302" s="8" t="s">
        <v>7967</v>
      </c>
      <c r="C8302" s="9">
        <v>943</v>
      </c>
      <c r="D8302" s="0">
        <v>6</v>
      </c>
      <c r="E8302" s="10">
        <f>HYPERLINK("http://www.lingerieopt.ru/images/original/c9ea0a29-aca5-440d-aef2-3461e146dd66.jpg","Фото")</f>
      </c>
    </row>
    <row r="8303">
      <c r="A8303" s="7">
        <f>HYPERLINK("http://www.lingerieopt.ru/item/8342-chulki-s-kontrastnoi-kruzhevnoi-rezinkoi/","8342")</f>
      </c>
      <c r="B8303" s="8" t="s">
        <v>7968</v>
      </c>
      <c r="C8303" s="9">
        <v>642</v>
      </c>
      <c r="D8303" s="0">
        <v>0</v>
      </c>
      <c r="E8303" s="10">
        <f>HYPERLINK("http://www.lingerieopt.ru/images/original/3e33d163-0052-4331-9dfe-7ce14242fe0e.jpg","Фото")</f>
      </c>
    </row>
    <row r="8304">
      <c r="A8304" s="7">
        <f>HYPERLINK("http://www.lingerieopt.ru/item/8342-chulki-s-kontrastnoi-kruzhevnoi-rezinkoi/","8342")</f>
      </c>
      <c r="B8304" s="8" t="s">
        <v>7969</v>
      </c>
      <c r="C8304" s="9">
        <v>642</v>
      </c>
      <c r="D8304" s="0">
        <v>0</v>
      </c>
      <c r="E8304" s="10">
        <f>HYPERLINK("http://www.lingerieopt.ru/images/original/3e33d163-0052-4331-9dfe-7ce14242fe0e.jpg","Фото")</f>
      </c>
    </row>
    <row r="8305">
      <c r="A8305" s="7">
        <f>HYPERLINK("http://www.lingerieopt.ru/item/8342-chulki-s-kontrastnoi-kruzhevnoi-rezinkoi/","8342")</f>
      </c>
      <c r="B8305" s="8" t="s">
        <v>7970</v>
      </c>
      <c r="C8305" s="9">
        <v>642</v>
      </c>
      <c r="D8305" s="0">
        <v>6</v>
      </c>
      <c r="E8305" s="10">
        <f>HYPERLINK("http://www.lingerieopt.ru/images/original/3e33d163-0052-4331-9dfe-7ce14242fe0e.jpg","Фото")</f>
      </c>
    </row>
    <row r="8306">
      <c r="A8306" s="7">
        <f>HYPERLINK("http://www.lingerieopt.ru/item/8342-chulki-s-kontrastnoi-kruzhevnoi-rezinkoi/","8342")</f>
      </c>
      <c r="B8306" s="8" t="s">
        <v>7971</v>
      </c>
      <c r="C8306" s="9">
        <v>642</v>
      </c>
      <c r="D8306" s="0">
        <v>6</v>
      </c>
      <c r="E8306" s="10">
        <f>HYPERLINK("http://www.lingerieopt.ru/images/original/3e33d163-0052-4331-9dfe-7ce14242fe0e.jpg","Фото")</f>
      </c>
    </row>
    <row r="8307">
      <c r="A8307" s="7">
        <f>HYPERLINK("http://www.lingerieopt.ru/item/8342-chulki-s-kontrastnoi-kruzhevnoi-rezinkoi/","8342")</f>
      </c>
      <c r="B8307" s="8" t="s">
        <v>7972</v>
      </c>
      <c r="C8307" s="9">
        <v>642</v>
      </c>
      <c r="D8307" s="0">
        <v>0</v>
      </c>
      <c r="E8307" s="10">
        <f>HYPERLINK("http://www.lingerieopt.ru/images/original/3e33d163-0052-4331-9dfe-7ce14242fe0e.jpg","Фото")</f>
      </c>
    </row>
    <row r="8308">
      <c r="A8308" s="7">
        <f>HYPERLINK("http://www.lingerieopt.ru/item/8342-chulki-s-kontrastnoi-kruzhevnoi-rezinkoi/","8342")</f>
      </c>
      <c r="B8308" s="8" t="s">
        <v>7973</v>
      </c>
      <c r="C8308" s="9">
        <v>642</v>
      </c>
      <c r="D8308" s="0">
        <v>4</v>
      </c>
      <c r="E8308" s="10">
        <f>HYPERLINK("http://www.lingerieopt.ru/images/original/3e33d163-0052-4331-9dfe-7ce14242fe0e.jpg","Фото")</f>
      </c>
    </row>
    <row r="8309">
      <c r="A8309" s="7">
        <f>HYPERLINK("http://www.lingerieopt.ru/item/8342-chulki-s-kontrastnoi-kruzhevnoi-rezinkoi/","8342")</f>
      </c>
      <c r="B8309" s="8" t="s">
        <v>7974</v>
      </c>
      <c r="C8309" s="9">
        <v>642</v>
      </c>
      <c r="D8309" s="0">
        <v>20</v>
      </c>
      <c r="E8309" s="10">
        <f>HYPERLINK("http://www.lingerieopt.ru/images/original/3e33d163-0052-4331-9dfe-7ce14242fe0e.jpg","Фото")</f>
      </c>
    </row>
    <row r="8310">
      <c r="A8310" s="7">
        <f>HYPERLINK("http://www.lingerieopt.ru/item/8342-chulki-s-kontrastnoi-kruzhevnoi-rezinkoi/","8342")</f>
      </c>
      <c r="B8310" s="8" t="s">
        <v>7975</v>
      </c>
      <c r="C8310" s="9">
        <v>642</v>
      </c>
      <c r="D8310" s="0">
        <v>4</v>
      </c>
      <c r="E8310" s="10">
        <f>HYPERLINK("http://www.lingerieopt.ru/images/original/3e33d163-0052-4331-9dfe-7ce14242fe0e.jpg","Фото")</f>
      </c>
    </row>
    <row r="8311">
      <c r="A8311" s="7">
        <f>HYPERLINK("http://www.lingerieopt.ru/item/8342-chulki-s-kontrastnoi-kruzhevnoi-rezinkoi/","8342")</f>
      </c>
      <c r="B8311" s="8" t="s">
        <v>7976</v>
      </c>
      <c r="C8311" s="9">
        <v>642</v>
      </c>
      <c r="D8311" s="0">
        <v>0</v>
      </c>
      <c r="E8311" s="10">
        <f>HYPERLINK("http://www.lingerieopt.ru/images/original/3e33d163-0052-4331-9dfe-7ce14242fe0e.jpg","Фото")</f>
      </c>
    </row>
    <row r="8312">
      <c r="A8312" s="7">
        <f>HYPERLINK("http://www.lingerieopt.ru/item/8343-klassicheskie-tonkie-chulki-s-kruzhevnoi-rezinkoi/","8343")</f>
      </c>
      <c r="B8312" s="8" t="s">
        <v>7977</v>
      </c>
      <c r="C8312" s="9">
        <v>640</v>
      </c>
      <c r="D8312" s="0">
        <v>2</v>
      </c>
      <c r="E8312" s="10">
        <f>HYPERLINK("http://www.lingerieopt.ru/images/original/75332e89-d3a9-4638-abe4-7d219743cd59.jpg","Фото")</f>
      </c>
    </row>
    <row r="8313">
      <c r="A8313" s="7">
        <f>HYPERLINK("http://www.lingerieopt.ru/item/8343-klassicheskie-tonkie-chulki-s-kruzhevnoi-rezinkoi/","8343")</f>
      </c>
      <c r="B8313" s="8" t="s">
        <v>7978</v>
      </c>
      <c r="C8313" s="9">
        <v>640</v>
      </c>
      <c r="D8313" s="0">
        <v>0</v>
      </c>
      <c r="E8313" s="10">
        <f>HYPERLINK("http://www.lingerieopt.ru/images/original/75332e89-d3a9-4638-abe4-7d219743cd59.jpg","Фото")</f>
      </c>
    </row>
    <row r="8314">
      <c r="A8314" s="7">
        <f>HYPERLINK("http://www.lingerieopt.ru/item/8343-klassicheskie-tonkie-chulki-s-kruzhevnoi-rezinkoi/","8343")</f>
      </c>
      <c r="B8314" s="8" t="s">
        <v>7979</v>
      </c>
      <c r="C8314" s="9">
        <v>640</v>
      </c>
      <c r="D8314" s="0">
        <v>2</v>
      </c>
      <c r="E8314" s="10">
        <f>HYPERLINK("http://www.lingerieopt.ru/images/original/75332e89-d3a9-4638-abe4-7d219743cd59.jpg","Фото")</f>
      </c>
    </row>
    <row r="8315">
      <c r="A8315" s="7">
        <f>HYPERLINK("http://www.lingerieopt.ru/item/8343-klassicheskie-tonkie-chulki-s-kruzhevnoi-rezinkoi/","8343")</f>
      </c>
      <c r="B8315" s="8" t="s">
        <v>7980</v>
      </c>
      <c r="C8315" s="9">
        <v>640</v>
      </c>
      <c r="D8315" s="0">
        <v>0</v>
      </c>
      <c r="E8315" s="10">
        <f>HYPERLINK("http://www.lingerieopt.ru/images/original/75332e89-d3a9-4638-abe4-7d219743cd59.jpg","Фото")</f>
      </c>
    </row>
    <row r="8316">
      <c r="A8316" s="7">
        <f>HYPERLINK("http://www.lingerieopt.ru/item/8343-klassicheskie-tonkie-chulki-s-kruzhevnoi-rezinkoi/","8343")</f>
      </c>
      <c r="B8316" s="8" t="s">
        <v>7981</v>
      </c>
      <c r="C8316" s="9">
        <v>640</v>
      </c>
      <c r="D8316" s="0">
        <v>1</v>
      </c>
      <c r="E8316" s="10">
        <f>HYPERLINK("http://www.lingerieopt.ru/images/original/75332e89-d3a9-4638-abe4-7d219743cd59.jpg","Фото")</f>
      </c>
    </row>
    <row r="8317">
      <c r="A8317" s="7">
        <f>HYPERLINK("http://www.lingerieopt.ru/item/8343-klassicheskie-tonkie-chulki-s-kruzhevnoi-rezinkoi/","8343")</f>
      </c>
      <c r="B8317" s="8" t="s">
        <v>7982</v>
      </c>
      <c r="C8317" s="9">
        <v>640</v>
      </c>
      <c r="D8317" s="0">
        <v>0</v>
      </c>
      <c r="E8317" s="10">
        <f>HYPERLINK("http://www.lingerieopt.ru/images/original/75332e89-d3a9-4638-abe4-7d219743cd59.jpg","Фото")</f>
      </c>
    </row>
    <row r="8318">
      <c r="A8318" s="7">
        <f>HYPERLINK("http://www.lingerieopt.ru/item/8343-klassicheskie-tonkie-chulki-s-kruzhevnoi-rezinkoi/","8343")</f>
      </c>
      <c r="B8318" s="8" t="s">
        <v>7983</v>
      </c>
      <c r="C8318" s="9">
        <v>640</v>
      </c>
      <c r="D8318" s="0">
        <v>4</v>
      </c>
      <c r="E8318" s="10">
        <f>HYPERLINK("http://www.lingerieopt.ru/images/original/75332e89-d3a9-4638-abe4-7d219743cd59.jpg","Фото")</f>
      </c>
    </row>
    <row r="8319">
      <c r="A8319" s="7">
        <f>HYPERLINK("http://www.lingerieopt.ru/item/8343-klassicheskie-tonkie-chulki-s-kruzhevnoi-rezinkoi/","8343")</f>
      </c>
      <c r="B8319" s="8" t="s">
        <v>7984</v>
      </c>
      <c r="C8319" s="9">
        <v>640</v>
      </c>
      <c r="D8319" s="0">
        <v>3</v>
      </c>
      <c r="E8319" s="10">
        <f>HYPERLINK("http://www.lingerieopt.ru/images/original/75332e89-d3a9-4638-abe4-7d219743cd59.jpg","Фото")</f>
      </c>
    </row>
    <row r="8320">
      <c r="A8320" s="7">
        <f>HYPERLINK("http://www.lingerieopt.ru/item/8343-klassicheskie-tonkie-chulki-s-kruzhevnoi-rezinkoi/","8343")</f>
      </c>
      <c r="B8320" s="8" t="s">
        <v>7985</v>
      </c>
      <c r="C8320" s="9">
        <v>640</v>
      </c>
      <c r="D8320" s="0">
        <v>0</v>
      </c>
      <c r="E8320" s="10">
        <f>HYPERLINK("http://www.lingerieopt.ru/images/original/75332e89-d3a9-4638-abe4-7d219743cd59.jpg","Фото")</f>
      </c>
    </row>
    <row r="8321">
      <c r="A8321" s="7">
        <f>HYPERLINK("http://www.lingerieopt.ru/item/8343-klassicheskie-tonkie-chulki-s-kruzhevnoi-rezinkoi/","8343")</f>
      </c>
      <c r="B8321" s="8" t="s">
        <v>7986</v>
      </c>
      <c r="C8321" s="9">
        <v>640</v>
      </c>
      <c r="D8321" s="0">
        <v>1</v>
      </c>
      <c r="E8321" s="10">
        <f>HYPERLINK("http://www.lingerieopt.ru/images/original/75332e89-d3a9-4638-abe4-7d219743cd59.jpg","Фото")</f>
      </c>
    </row>
    <row r="8322">
      <c r="A8322" s="7">
        <f>HYPERLINK("http://www.lingerieopt.ru/item/8343-klassicheskie-tonkie-chulki-s-kruzhevnoi-rezinkoi/","8343")</f>
      </c>
      <c r="B8322" s="8" t="s">
        <v>7987</v>
      </c>
      <c r="C8322" s="9">
        <v>640</v>
      </c>
      <c r="D8322" s="0">
        <v>0</v>
      </c>
      <c r="E8322" s="10">
        <f>HYPERLINK("http://www.lingerieopt.ru/images/original/75332e89-d3a9-4638-abe4-7d219743cd59.jpg","Фото")</f>
      </c>
    </row>
    <row r="8323">
      <c r="A8323" s="7">
        <f>HYPERLINK("http://www.lingerieopt.ru/item/8343-klassicheskie-tonkie-chulki-s-kruzhevnoi-rezinkoi/","8343")</f>
      </c>
      <c r="B8323" s="8" t="s">
        <v>7988</v>
      </c>
      <c r="C8323" s="9">
        <v>640</v>
      </c>
      <c r="D8323" s="0">
        <v>3</v>
      </c>
      <c r="E8323" s="10">
        <f>HYPERLINK("http://www.lingerieopt.ru/images/original/75332e89-d3a9-4638-abe4-7d219743cd59.jpg","Фото")</f>
      </c>
    </row>
    <row r="8324">
      <c r="A8324" s="7">
        <f>HYPERLINK("http://www.lingerieopt.ru/item/8343-klassicheskie-tonkie-chulki-s-kruzhevnoi-rezinkoi/","8343")</f>
      </c>
      <c r="B8324" s="8" t="s">
        <v>7989</v>
      </c>
      <c r="C8324" s="9">
        <v>640</v>
      </c>
      <c r="D8324" s="0">
        <v>0</v>
      </c>
      <c r="E8324" s="10">
        <f>HYPERLINK("http://www.lingerieopt.ru/images/original/75332e89-d3a9-4638-abe4-7d219743cd59.jpg","Фото")</f>
      </c>
    </row>
    <row r="8325">
      <c r="A8325" s="7">
        <f>HYPERLINK("http://www.lingerieopt.ru/item/8343-klassicheskie-tonkie-chulki-s-kruzhevnoi-rezinkoi/","8343")</f>
      </c>
      <c r="B8325" s="8" t="s">
        <v>7990</v>
      </c>
      <c r="C8325" s="9">
        <v>640</v>
      </c>
      <c r="D8325" s="0">
        <v>0</v>
      </c>
      <c r="E8325" s="10">
        <f>HYPERLINK("http://www.lingerieopt.ru/images/original/75332e89-d3a9-4638-abe4-7d219743cd59.jpg","Фото")</f>
      </c>
    </row>
    <row r="8326">
      <c r="A8326" s="7">
        <f>HYPERLINK("http://www.lingerieopt.ru/item/8343-klassicheskie-tonkie-chulki-s-kruzhevnoi-rezinkoi/","8343")</f>
      </c>
      <c r="B8326" s="8" t="s">
        <v>7991</v>
      </c>
      <c r="C8326" s="9">
        <v>640</v>
      </c>
      <c r="D8326" s="0">
        <v>0</v>
      </c>
      <c r="E8326" s="10">
        <f>HYPERLINK("http://www.lingerieopt.ru/images/original/75332e89-d3a9-4638-abe4-7d219743cd59.jpg","Фото")</f>
      </c>
    </row>
    <row r="8327">
      <c r="A8327" s="7">
        <f>HYPERLINK("http://www.lingerieopt.ru/item/8343-klassicheskie-tonkie-chulki-s-kruzhevnoi-rezinkoi/","8343")</f>
      </c>
      <c r="B8327" s="8" t="s">
        <v>7992</v>
      </c>
      <c r="C8327" s="9">
        <v>640</v>
      </c>
      <c r="D8327" s="0">
        <v>0</v>
      </c>
      <c r="E8327" s="10">
        <f>HYPERLINK("http://www.lingerieopt.ru/images/original/75332e89-d3a9-4638-abe4-7d219743cd59.jpg","Фото")</f>
      </c>
    </row>
    <row r="8328">
      <c r="A8328" s="7">
        <f>HYPERLINK("http://www.lingerieopt.ru/item/8345-klassicheskie-tonkie-chulki-pod-poyas/","8345")</f>
      </c>
      <c r="B8328" s="8" t="s">
        <v>7993</v>
      </c>
      <c r="C8328" s="9">
        <v>357</v>
      </c>
      <c r="D8328" s="0">
        <v>0</v>
      </c>
      <c r="E8328" s="10">
        <f>HYPERLINK("http://www.lingerieopt.ru/images/original/98cc6f33-860b-48ad-94b3-0b93851a318f.jpg","Фото")</f>
      </c>
    </row>
    <row r="8329">
      <c r="A8329" s="7">
        <f>HYPERLINK("http://www.lingerieopt.ru/item/8345-klassicheskie-tonkie-chulki-pod-poyas/","8345")</f>
      </c>
      <c r="B8329" s="8" t="s">
        <v>7994</v>
      </c>
      <c r="C8329" s="9">
        <v>357</v>
      </c>
      <c r="D8329" s="0">
        <v>0</v>
      </c>
      <c r="E8329" s="10">
        <f>HYPERLINK("http://www.lingerieopt.ru/images/original/98cc6f33-860b-48ad-94b3-0b93851a318f.jpg","Фото")</f>
      </c>
    </row>
    <row r="8330">
      <c r="A8330" s="7">
        <f>HYPERLINK("http://www.lingerieopt.ru/item/8345-klassicheskie-tonkie-chulki-pod-poyas/","8345")</f>
      </c>
      <c r="B8330" s="8" t="s">
        <v>7995</v>
      </c>
      <c r="C8330" s="9">
        <v>357</v>
      </c>
      <c r="D8330" s="0">
        <v>5</v>
      </c>
      <c r="E8330" s="10">
        <f>HYPERLINK("http://www.lingerieopt.ru/images/original/98cc6f33-860b-48ad-94b3-0b93851a318f.jpg","Фото")</f>
      </c>
    </row>
    <row r="8331">
      <c r="A8331" s="7">
        <f>HYPERLINK("http://www.lingerieopt.ru/item/8345-klassicheskie-tonkie-chulki-pod-poyas/","8345")</f>
      </c>
      <c r="B8331" s="8" t="s">
        <v>7996</v>
      </c>
      <c r="C8331" s="9">
        <v>357</v>
      </c>
      <c r="D8331" s="0">
        <v>4</v>
      </c>
      <c r="E8331" s="10">
        <f>HYPERLINK("http://www.lingerieopt.ru/images/original/98cc6f33-860b-48ad-94b3-0b93851a318f.jpg","Фото")</f>
      </c>
    </row>
    <row r="8332">
      <c r="A8332" s="7">
        <f>HYPERLINK("http://www.lingerieopt.ru/item/8345-klassicheskie-tonkie-chulki-pod-poyas/","8345")</f>
      </c>
      <c r="B8332" s="8" t="s">
        <v>7997</v>
      </c>
      <c r="C8332" s="9">
        <v>357</v>
      </c>
      <c r="D8332" s="0">
        <v>0</v>
      </c>
      <c r="E8332" s="10">
        <f>HYPERLINK("http://www.lingerieopt.ru/images/original/98cc6f33-860b-48ad-94b3-0b93851a318f.jpg","Фото")</f>
      </c>
    </row>
    <row r="8333">
      <c r="A8333" s="7">
        <f>HYPERLINK("http://www.lingerieopt.ru/item/8345-klassicheskie-tonkie-chulki-pod-poyas/","8345")</f>
      </c>
      <c r="B8333" s="8" t="s">
        <v>7998</v>
      </c>
      <c r="C8333" s="9">
        <v>357</v>
      </c>
      <c r="D8333" s="0">
        <v>7</v>
      </c>
      <c r="E8333" s="10">
        <f>HYPERLINK("http://www.lingerieopt.ru/images/original/98cc6f33-860b-48ad-94b3-0b93851a318f.jpg","Фото")</f>
      </c>
    </row>
    <row r="8334">
      <c r="A8334" s="7">
        <f>HYPERLINK("http://www.lingerieopt.ru/item/8345-klassicheskie-tonkie-chulki-pod-poyas/","8345")</f>
      </c>
      <c r="B8334" s="8" t="s">
        <v>7999</v>
      </c>
      <c r="C8334" s="9">
        <v>357</v>
      </c>
      <c r="D8334" s="0">
        <v>2</v>
      </c>
      <c r="E8334" s="10">
        <f>HYPERLINK("http://www.lingerieopt.ru/images/original/98cc6f33-860b-48ad-94b3-0b93851a318f.jpg","Фото")</f>
      </c>
    </row>
    <row r="8335">
      <c r="A8335" s="7">
        <f>HYPERLINK("http://www.lingerieopt.ru/item/8345-klassicheskie-tonkie-chulki-pod-poyas/","8345")</f>
      </c>
      <c r="B8335" s="8" t="s">
        <v>8000</v>
      </c>
      <c r="C8335" s="9">
        <v>357</v>
      </c>
      <c r="D8335" s="0">
        <v>0</v>
      </c>
      <c r="E8335" s="10">
        <f>HYPERLINK("http://www.lingerieopt.ru/images/original/98cc6f33-860b-48ad-94b3-0b93851a318f.jpg","Фото")</f>
      </c>
    </row>
    <row r="8336">
      <c r="A8336" s="7">
        <f>HYPERLINK("http://www.lingerieopt.ru/item/8345-klassicheskie-tonkie-chulki-pod-poyas/","8345")</f>
      </c>
      <c r="B8336" s="8" t="s">
        <v>8001</v>
      </c>
      <c r="C8336" s="9">
        <v>357</v>
      </c>
      <c r="D8336" s="0">
        <v>0</v>
      </c>
      <c r="E8336" s="10">
        <f>HYPERLINK("http://www.lingerieopt.ru/images/original/98cc6f33-860b-48ad-94b3-0b93851a318f.jpg","Фото")</f>
      </c>
    </row>
    <row r="8337">
      <c r="A8337" s="7">
        <f>HYPERLINK("http://www.lingerieopt.ru/item/8345-klassicheskie-tonkie-chulki-pod-poyas/","8345")</f>
      </c>
      <c r="B8337" s="8" t="s">
        <v>8002</v>
      </c>
      <c r="C8337" s="9">
        <v>357</v>
      </c>
      <c r="D8337" s="0">
        <v>0</v>
      </c>
      <c r="E8337" s="10">
        <f>HYPERLINK("http://www.lingerieopt.ru/images/original/98cc6f33-860b-48ad-94b3-0b93851a318f.jpg","Фото")</f>
      </c>
    </row>
    <row r="8338">
      <c r="A8338" s="7">
        <f>HYPERLINK("http://www.lingerieopt.ru/item/8345-klassicheskie-tonkie-chulki-pod-poyas/","8345")</f>
      </c>
      <c r="B8338" s="8" t="s">
        <v>8003</v>
      </c>
      <c r="C8338" s="9">
        <v>357</v>
      </c>
      <c r="D8338" s="0">
        <v>3</v>
      </c>
      <c r="E8338" s="10">
        <f>HYPERLINK("http://www.lingerieopt.ru/images/original/98cc6f33-860b-48ad-94b3-0b93851a318f.jpg","Фото")</f>
      </c>
    </row>
    <row r="8339">
      <c r="A8339" s="7">
        <f>HYPERLINK("http://www.lingerieopt.ru/item/8345-klassicheskie-tonkie-chulki-pod-poyas/","8345")</f>
      </c>
      <c r="B8339" s="8" t="s">
        <v>8004</v>
      </c>
      <c r="C8339" s="9">
        <v>357</v>
      </c>
      <c r="D8339" s="0">
        <v>20</v>
      </c>
      <c r="E8339" s="10">
        <f>HYPERLINK("http://www.lingerieopt.ru/images/original/98cc6f33-860b-48ad-94b3-0b93851a318f.jpg","Фото")</f>
      </c>
    </row>
    <row r="8340">
      <c r="A8340" s="7">
        <f>HYPERLINK("http://www.lingerieopt.ru/item/8346-originalnje-chulki-s-serebristjm-risunkom-szadi/","8346")</f>
      </c>
      <c r="B8340" s="8" t="s">
        <v>8005</v>
      </c>
      <c r="C8340" s="9">
        <v>1273</v>
      </c>
      <c r="D8340" s="0">
        <v>20</v>
      </c>
      <c r="E8340" s="10">
        <f>HYPERLINK("http://www.lingerieopt.ru/images/original/043bc449-a4d8-46f2-8bf5-ad0ebb24e71b.jpg","Фото")</f>
      </c>
    </row>
    <row r="8341">
      <c r="A8341" s="7">
        <f>HYPERLINK("http://www.lingerieopt.ru/item/8346-originalnje-chulki-s-serebristjm-risunkom-szadi/","8346")</f>
      </c>
      <c r="B8341" s="8" t="s">
        <v>8006</v>
      </c>
      <c r="C8341" s="9">
        <v>1273</v>
      </c>
      <c r="D8341" s="0">
        <v>20</v>
      </c>
      <c r="E8341" s="10">
        <f>HYPERLINK("http://www.lingerieopt.ru/images/original/043bc449-a4d8-46f2-8bf5-ad0ebb24e71b.jpg","Фото")</f>
      </c>
    </row>
    <row r="8342">
      <c r="A8342" s="7">
        <f>HYPERLINK("http://www.lingerieopt.ru/item/8346-originalnje-chulki-s-serebristjm-risunkom-szadi/","8346")</f>
      </c>
      <c r="B8342" s="8" t="s">
        <v>8007</v>
      </c>
      <c r="C8342" s="9">
        <v>1273</v>
      </c>
      <c r="D8342" s="0">
        <v>4</v>
      </c>
      <c r="E8342" s="10">
        <f>HYPERLINK("http://www.lingerieopt.ru/images/original/043bc449-a4d8-46f2-8bf5-ad0ebb24e71b.jpg","Фото")</f>
      </c>
    </row>
    <row r="8343">
      <c r="A8343" s="7">
        <f>HYPERLINK("http://www.lingerieopt.ru/item/8346-originalnje-chulki-s-serebristjm-risunkom-szadi/","8346")</f>
      </c>
      <c r="B8343" s="8" t="s">
        <v>8008</v>
      </c>
      <c r="C8343" s="9">
        <v>1273</v>
      </c>
      <c r="D8343" s="0">
        <v>2</v>
      </c>
      <c r="E8343" s="10">
        <f>HYPERLINK("http://www.lingerieopt.ru/images/original/043bc449-a4d8-46f2-8bf5-ad0ebb24e71b.jpg","Фото")</f>
      </c>
    </row>
    <row r="8344">
      <c r="A8344" s="7">
        <f>HYPERLINK("http://www.lingerieopt.ru/item/8374-chulki-s-kubanskoi-pyatochkoi-sheer-cuban-heel-thigh-highs/","8374")</f>
      </c>
      <c r="B8344" s="8" t="s">
        <v>8009</v>
      </c>
      <c r="C8344" s="9">
        <v>502</v>
      </c>
      <c r="D8344" s="0">
        <v>2</v>
      </c>
      <c r="E8344" s="10">
        <f>HYPERLINK("http://www.lingerieopt.ru/images/original/9b7ee652-bc47-412d-88b9-80002e812ec7.jpg","Фото")</f>
      </c>
    </row>
    <row r="8345">
      <c r="A8345" s="7">
        <f>HYPERLINK("http://www.lingerieopt.ru/item/8376-chulki-s-poloskami-na-rezinke-banded-silicone-stay-up-thigh-highs/","8376")</f>
      </c>
      <c r="B8345" s="8" t="s">
        <v>8010</v>
      </c>
      <c r="C8345" s="9">
        <v>800</v>
      </c>
      <c r="D8345" s="0">
        <v>11</v>
      </c>
      <c r="E8345" s="10">
        <f>HYPERLINK("http://www.lingerieopt.ru/images/original/cd3ed0ad-653f-4d8e-a657-e2fee7c7399e.jpg","Фото")</f>
      </c>
    </row>
    <row r="8346">
      <c r="A8346" s="7">
        <f>HYPERLINK("http://www.lingerieopt.ru/item/8395-originalnje-chulki-pod-poyas-stockings-scroll-backseam/","8395")</f>
      </c>
      <c r="B8346" s="8" t="s">
        <v>8011</v>
      </c>
      <c r="C8346" s="9">
        <v>1080</v>
      </c>
      <c r="D8346" s="0">
        <v>3</v>
      </c>
      <c r="E8346" s="10">
        <f>HYPERLINK("http://www.lingerieopt.ru/images/original/9111e5a2-21fe-4ea9-8be8-c74fc7663a89.jpg","Фото")</f>
      </c>
    </row>
    <row r="8347">
      <c r="A8347" s="7">
        <f>HYPERLINK("http://www.lingerieopt.ru/item/8441-chulki-s-imitaciei-shnurovki/","8441")</f>
      </c>
      <c r="B8347" s="8" t="s">
        <v>8012</v>
      </c>
      <c r="C8347" s="9">
        <v>1743</v>
      </c>
      <c r="D8347" s="0">
        <v>0</v>
      </c>
      <c r="E8347" s="10">
        <f>HYPERLINK("http://www.lingerieopt.ru/images/original/aa952689-5953-4158-89af-f5f4a00c8947.jpg","Фото")</f>
      </c>
    </row>
    <row r="8348">
      <c r="A8348" s="7">
        <f>HYPERLINK("http://www.lingerieopt.ru/item/8441-chulki-s-imitaciei-shnurovki/","8441")</f>
      </c>
      <c r="B8348" s="8" t="s">
        <v>8013</v>
      </c>
      <c r="C8348" s="9">
        <v>1743</v>
      </c>
      <c r="D8348" s="0">
        <v>19</v>
      </c>
      <c r="E8348" s="10">
        <f>HYPERLINK("http://www.lingerieopt.ru/images/original/aa952689-5953-4158-89af-f5f4a00c8947.jpg","Фото")</f>
      </c>
    </row>
    <row r="8349">
      <c r="A8349" s="7">
        <f>HYPERLINK("http://www.lingerieopt.ru/item/8441-chulki-s-imitaciei-shnurovki/","8441")</f>
      </c>
      <c r="B8349" s="8" t="s">
        <v>8014</v>
      </c>
      <c r="C8349" s="9">
        <v>1743</v>
      </c>
      <c r="D8349" s="0">
        <v>0</v>
      </c>
      <c r="E8349" s="10">
        <f>HYPERLINK("http://www.lingerieopt.ru/images/original/aa952689-5953-4158-89af-f5f4a00c8947.jpg","Фото")</f>
      </c>
    </row>
    <row r="8350">
      <c r="A8350" s="7">
        <f>HYPERLINK("http://www.lingerieopt.ru/item/8442-chulki-s-kontrastnjm-uzorom-i-strelkami/","8442")</f>
      </c>
      <c r="B8350" s="8" t="s">
        <v>8015</v>
      </c>
      <c r="C8350" s="9">
        <v>1743</v>
      </c>
      <c r="D8350" s="0">
        <v>15</v>
      </c>
      <c r="E8350" s="10">
        <f>HYPERLINK("http://www.lingerieopt.ru/images/original/c6539bb4-96f1-4288-8aba-0f970be06e8e.jpg","Фото")</f>
      </c>
    </row>
    <row r="8351">
      <c r="A8351" s="7">
        <f>HYPERLINK("http://www.lingerieopt.ru/item/8442-chulki-s-kontrastnjm-uzorom-i-strelkami/","8442")</f>
      </c>
      <c r="B8351" s="8" t="s">
        <v>8016</v>
      </c>
      <c r="C8351" s="9">
        <v>1743</v>
      </c>
      <c r="D8351" s="0">
        <v>3</v>
      </c>
      <c r="E8351" s="10">
        <f>HYPERLINK("http://www.lingerieopt.ru/images/original/c6539bb4-96f1-4288-8aba-0f970be06e8e.jpg","Фото")</f>
      </c>
    </row>
    <row r="8352">
      <c r="A8352" s="7">
        <f>HYPERLINK("http://www.lingerieopt.ru/item/8442-chulki-s-kontrastnjm-uzorom-i-strelkami/","8442")</f>
      </c>
      <c r="B8352" s="8" t="s">
        <v>8017</v>
      </c>
      <c r="C8352" s="9">
        <v>1743</v>
      </c>
      <c r="D8352" s="0">
        <v>2</v>
      </c>
      <c r="E8352" s="10">
        <f>HYPERLINK("http://www.lingerieopt.ru/images/original/c6539bb4-96f1-4288-8aba-0f970be06e8e.jpg","Фото")</f>
      </c>
    </row>
    <row r="8353">
      <c r="A8353" s="7">
        <f>HYPERLINK("http://www.lingerieopt.ru/item/8442-chulki-s-kontrastnjm-uzorom-i-strelkami/","8442")</f>
      </c>
      <c r="B8353" s="8" t="s">
        <v>8018</v>
      </c>
      <c r="C8353" s="9">
        <v>1743</v>
      </c>
      <c r="D8353" s="0">
        <v>20</v>
      </c>
      <c r="E8353" s="10">
        <f>HYPERLINK("http://www.lingerieopt.ru/images/original/c6539bb4-96f1-4288-8aba-0f970be06e8e.jpg","Фото")</f>
      </c>
    </row>
    <row r="8354">
      <c r="A8354" s="7">
        <f>HYPERLINK("http://www.lingerieopt.ru/item/8445-chulki-finesse-8-den-s-shirokoi-kruzhevnoi-rezinkoi-na-silikone/","8445")</f>
      </c>
      <c r="B8354" s="8" t="s">
        <v>8019</v>
      </c>
      <c r="C8354" s="9">
        <v>824</v>
      </c>
      <c r="D8354" s="0">
        <v>1</v>
      </c>
      <c r="E8354" s="10">
        <f>HYPERLINK("http://www.lingerieopt.ru/images/original/2bd0cf95-d710-40f4-80d5-2de9b7ba6fe0.jpg","Фото")</f>
      </c>
    </row>
    <row r="8355">
      <c r="A8355" s="7">
        <f>HYPERLINK("http://www.lingerieopt.ru/item/8445-chulki-finesse-8-den-s-shirokoi-kruzhevnoi-rezinkoi-na-silikone/","8445")</f>
      </c>
      <c r="B8355" s="8" t="s">
        <v>8020</v>
      </c>
      <c r="C8355" s="9">
        <v>824</v>
      </c>
      <c r="D8355" s="0">
        <v>1</v>
      </c>
      <c r="E8355" s="10">
        <f>HYPERLINK("http://www.lingerieopt.ru/images/original/2bd0cf95-d710-40f4-80d5-2de9b7ba6fe0.jpg","Фото")</f>
      </c>
    </row>
    <row r="8356">
      <c r="A8356" s="7">
        <f>HYPERLINK("http://www.lingerieopt.ru/item/8445-chulki-finesse-8-den-s-shirokoi-kruzhevnoi-rezinkoi-na-silikone/","8445")</f>
      </c>
      <c r="B8356" s="8" t="s">
        <v>8021</v>
      </c>
      <c r="C8356" s="9">
        <v>824</v>
      </c>
      <c r="D8356" s="0">
        <v>1</v>
      </c>
      <c r="E8356" s="10">
        <f>HYPERLINK("http://www.lingerieopt.ru/images/original/2bd0cf95-d710-40f4-80d5-2de9b7ba6fe0.jpg","Фото")</f>
      </c>
    </row>
    <row r="8357">
      <c r="A8357" s="7">
        <f>HYPERLINK("http://www.lingerieopt.ru/item/8447-chulki-edith-8-den-s-kruzhevnoi-rezinkoi-na-silikone/","8447")</f>
      </c>
      <c r="B8357" s="8" t="s">
        <v>8022</v>
      </c>
      <c r="C8357" s="9">
        <v>746</v>
      </c>
      <c r="D8357" s="0">
        <v>1</v>
      </c>
      <c r="E8357" s="10">
        <f>HYPERLINK("http://www.lingerieopt.ru/images/original/9c52383e-a3e5-4d42-8482-48c7235dbf81.jpg","Фото")</f>
      </c>
    </row>
    <row r="8358">
      <c r="A8358" s="7">
        <f>HYPERLINK("http://www.lingerieopt.ru/item/8447-chulki-edith-8-den-s-kruzhevnoi-rezinkoi-na-silikone/","8447")</f>
      </c>
      <c r="B8358" s="8" t="s">
        <v>8023</v>
      </c>
      <c r="C8358" s="9">
        <v>746</v>
      </c>
      <c r="D8358" s="0">
        <v>3</v>
      </c>
      <c r="E8358" s="10">
        <f>HYPERLINK("http://www.lingerieopt.ru/images/original/9c52383e-a3e5-4d42-8482-48c7235dbf81.jpg","Фото")</f>
      </c>
    </row>
    <row r="8359">
      <c r="A8359" s="7">
        <f>HYPERLINK("http://www.lingerieopt.ru/item/8447-chulki-edith-8-den-s-kruzhevnoi-rezinkoi-na-silikone/","8447")</f>
      </c>
      <c r="B8359" s="8" t="s">
        <v>8024</v>
      </c>
      <c r="C8359" s="9">
        <v>746</v>
      </c>
      <c r="D8359" s="0">
        <v>1</v>
      </c>
      <c r="E8359" s="10">
        <f>HYPERLINK("http://www.lingerieopt.ru/images/original/9c52383e-a3e5-4d42-8482-48c7235dbf81.jpg","Фото")</f>
      </c>
    </row>
    <row r="8360">
      <c r="A8360" s="7">
        <f>HYPERLINK("http://www.lingerieopt.ru/item/8448-chulki-pod-poyas-tempesta-20-den-so-shvom-v-vide-stezhkov/","8448")</f>
      </c>
      <c r="B8360" s="8" t="s">
        <v>8025</v>
      </c>
      <c r="C8360" s="9">
        <v>328</v>
      </c>
      <c r="D8360" s="0">
        <v>1</v>
      </c>
      <c r="E8360" s="10">
        <f>HYPERLINK("http://www.lingerieopt.ru/images/original/9cfe6ba1-8253-457f-8dae-d3043945238b.jpg","Фото")</f>
      </c>
    </row>
    <row r="8361">
      <c r="A8361" s="7">
        <f>HYPERLINK("http://www.lingerieopt.ru/item/8448-chulki-pod-poyas-tempesta-20-den-so-shvom-v-vide-stezhkov/","8448")</f>
      </c>
      <c r="B8361" s="8" t="s">
        <v>8026</v>
      </c>
      <c r="C8361" s="9">
        <v>328</v>
      </c>
      <c r="D8361" s="0">
        <v>3</v>
      </c>
      <c r="E8361" s="10">
        <f>HYPERLINK("http://www.lingerieopt.ru/images/original/9cfe6ba1-8253-457f-8dae-d3043945238b.jpg","Фото")</f>
      </c>
    </row>
    <row r="8362">
      <c r="A8362" s="7">
        <f>HYPERLINK("http://www.lingerieopt.ru/item/8448-chulki-pod-poyas-tempesta-20-den-so-shvom-v-vide-stezhkov/","8448")</f>
      </c>
      <c r="B8362" s="8" t="s">
        <v>8027</v>
      </c>
      <c r="C8362" s="9">
        <v>328</v>
      </c>
      <c r="D8362" s="0">
        <v>0</v>
      </c>
      <c r="E8362" s="10">
        <f>HYPERLINK("http://www.lingerieopt.ru/images/original/9cfe6ba1-8253-457f-8dae-d3043945238b.jpg","Фото")</f>
      </c>
    </row>
    <row r="8363">
      <c r="A8363" s="7">
        <f>HYPERLINK("http://www.lingerieopt.ru/item/8451-chulki-pod-poyas-mistery-20-den-s-imitaciei-beloi-lentj-pod-rezinkoi/","8451")</f>
      </c>
      <c r="B8363" s="8" t="s">
        <v>8028</v>
      </c>
      <c r="C8363" s="9">
        <v>328</v>
      </c>
      <c r="D8363" s="0">
        <v>0</v>
      </c>
      <c r="E8363" s="10">
        <f>HYPERLINK("http://www.lingerieopt.ru/images/original/d34bde1c-8f94-4718-9d65-ec882092bcf0.jpg","Фото")</f>
      </c>
    </row>
    <row r="8364">
      <c r="A8364" s="7">
        <f>HYPERLINK("http://www.lingerieopt.ru/item/8451-chulki-pod-poyas-mistery-20-den-s-imitaciei-beloi-lentj-pod-rezinkoi/","8451")</f>
      </c>
      <c r="B8364" s="8" t="s">
        <v>8029</v>
      </c>
      <c r="C8364" s="9">
        <v>328</v>
      </c>
      <c r="D8364" s="0">
        <v>1</v>
      </c>
      <c r="E8364" s="10">
        <f>HYPERLINK("http://www.lingerieopt.ru/images/original/d34bde1c-8f94-4718-9d65-ec882092bcf0.jpg","Фото")</f>
      </c>
    </row>
    <row r="8365">
      <c r="A8365" s="7">
        <f>HYPERLINK("http://www.lingerieopt.ru/item/8451-chulki-pod-poyas-mistery-20-den-s-imitaciei-beloi-lentj-pod-rezinkoi/","8451")</f>
      </c>
      <c r="B8365" s="8" t="s">
        <v>8030</v>
      </c>
      <c r="C8365" s="9">
        <v>328</v>
      </c>
      <c r="D8365" s="0">
        <v>0</v>
      </c>
      <c r="E8365" s="10">
        <f>HYPERLINK("http://www.lingerieopt.ru/images/original/d34bde1c-8f94-4718-9d65-ec882092bcf0.jpg","Фото")</f>
      </c>
    </row>
    <row r="8366">
      <c r="A8366" s="7">
        <f>HYPERLINK("http://www.lingerieopt.ru/item/8453-chulki-sandrine-20-den-s-kruzhevnoi-rezinkoi-na-silikone/","8453")</f>
      </c>
      <c r="B8366" s="8" t="s">
        <v>8031</v>
      </c>
      <c r="C8366" s="9">
        <v>773</v>
      </c>
      <c r="D8366" s="0">
        <v>4</v>
      </c>
      <c r="E8366" s="10">
        <f>HYPERLINK("http://www.lingerieopt.ru/images/original/0755c200-59d8-4c91-80f1-14ca9f394131.jpg","Фото")</f>
      </c>
    </row>
    <row r="8367">
      <c r="A8367" s="7">
        <f>HYPERLINK("http://www.lingerieopt.ru/item/8453-chulki-sandrine-20-den-s-kruzhevnoi-rezinkoi-na-silikone/","8453")</f>
      </c>
      <c r="B8367" s="8" t="s">
        <v>8032</v>
      </c>
      <c r="C8367" s="9">
        <v>773</v>
      </c>
      <c r="D8367" s="0">
        <v>1</v>
      </c>
      <c r="E8367" s="10">
        <f>HYPERLINK("http://www.lingerieopt.ru/images/original/0755c200-59d8-4c91-80f1-14ca9f394131.jpg","Фото")</f>
      </c>
    </row>
    <row r="8368">
      <c r="A8368" s="7">
        <f>HYPERLINK("http://www.lingerieopt.ru/item/8453-chulki-sandrine-20-den-s-kruzhevnoi-rezinkoi-na-silikone/","8453")</f>
      </c>
      <c r="B8368" s="8" t="s">
        <v>8033</v>
      </c>
      <c r="C8368" s="9">
        <v>773</v>
      </c>
      <c r="D8368" s="0">
        <v>0</v>
      </c>
      <c r="E8368" s="10">
        <f>HYPERLINK("http://www.lingerieopt.ru/images/original/0755c200-59d8-4c91-80f1-14ca9f394131.jpg","Фото")</f>
      </c>
    </row>
    <row r="8369">
      <c r="A8369" s="7">
        <f>HYPERLINK("http://www.lingerieopt.ru/item/8453-chulki-sandrine-20-den-s-kruzhevnoi-rezinkoi-na-silikone/","8453")</f>
      </c>
      <c r="B8369" s="8" t="s">
        <v>8034</v>
      </c>
      <c r="C8369" s="9">
        <v>773</v>
      </c>
      <c r="D8369" s="0">
        <v>0</v>
      </c>
      <c r="E8369" s="10">
        <f>HYPERLINK("http://www.lingerieopt.ru/images/original/0755c200-59d8-4c91-80f1-14ca9f394131.jpg","Фото")</f>
      </c>
    </row>
    <row r="8370">
      <c r="A8370" s="7">
        <f>HYPERLINK("http://www.lingerieopt.ru/item/8453-chulki-sandrine-20-den-s-kruzhevnoi-rezinkoi-na-silikone/","8453")</f>
      </c>
      <c r="B8370" s="8" t="s">
        <v>8035</v>
      </c>
      <c r="C8370" s="9">
        <v>773</v>
      </c>
      <c r="D8370" s="0">
        <v>1</v>
      </c>
      <c r="E8370" s="10">
        <f>HYPERLINK("http://www.lingerieopt.ru/images/original/0755c200-59d8-4c91-80f1-14ca9f394131.jpg","Фото")</f>
      </c>
    </row>
    <row r="8371">
      <c r="A8371" s="7">
        <f>HYPERLINK("http://www.lingerieopt.ru/item/8453-chulki-sandrine-20-den-s-kruzhevnoi-rezinkoi-na-silikone/","8453")</f>
      </c>
      <c r="B8371" s="8" t="s">
        <v>8036</v>
      </c>
      <c r="C8371" s="9">
        <v>773</v>
      </c>
      <c r="D8371" s="0">
        <v>3</v>
      </c>
      <c r="E8371" s="10">
        <f>HYPERLINK("http://www.lingerieopt.ru/images/original/0755c200-59d8-4c91-80f1-14ca9f394131.jpg","Фото")</f>
      </c>
    </row>
    <row r="8372">
      <c r="A8372" s="7">
        <f>HYPERLINK("http://www.lingerieopt.ru/item/8455-chulki-pod-poyas-valentis-40-den-s-imitaciei-shnurovki/","8455")</f>
      </c>
      <c r="B8372" s="8" t="s">
        <v>8037</v>
      </c>
      <c r="C8372" s="9">
        <v>406</v>
      </c>
      <c r="D8372" s="0">
        <v>0</v>
      </c>
      <c r="E8372" s="10">
        <f>HYPERLINK("http://www.lingerieopt.ru/images/original/05f8bd9d-429a-42a4-9995-fecd747c1b3d.jpg","Фото")</f>
      </c>
    </row>
    <row r="8373">
      <c r="A8373" s="7">
        <f>HYPERLINK("http://www.lingerieopt.ru/item/8455-chulki-pod-poyas-valentis-40-den-s-imitaciei-shnurovki/","8455")</f>
      </c>
      <c r="B8373" s="8" t="s">
        <v>8038</v>
      </c>
      <c r="C8373" s="9">
        <v>406</v>
      </c>
      <c r="D8373" s="0">
        <v>1</v>
      </c>
      <c r="E8373" s="10">
        <f>HYPERLINK("http://www.lingerieopt.ru/images/original/05f8bd9d-429a-42a4-9995-fecd747c1b3d.jpg","Фото")</f>
      </c>
    </row>
    <row r="8374">
      <c r="A8374" s="7">
        <f>HYPERLINK("http://www.lingerieopt.ru/item/8455-chulki-pod-poyas-valentis-40-den-s-imitaciei-shnurovki/","8455")</f>
      </c>
      <c r="B8374" s="8" t="s">
        <v>8039</v>
      </c>
      <c r="C8374" s="9">
        <v>406</v>
      </c>
      <c r="D8374" s="0">
        <v>0</v>
      </c>
      <c r="E8374" s="10">
        <f>HYPERLINK("http://www.lingerieopt.ru/images/original/05f8bd9d-429a-42a4-9995-fecd747c1b3d.jpg","Фото")</f>
      </c>
    </row>
    <row r="8375">
      <c r="A8375" s="7">
        <f>HYPERLINK("http://www.lingerieopt.ru/item/8456-chulki-v-krupnuyu-setku-intensa-40-den/","8456")</f>
      </c>
      <c r="B8375" s="8" t="s">
        <v>8040</v>
      </c>
      <c r="C8375" s="9">
        <v>824</v>
      </c>
      <c r="D8375" s="0">
        <v>3</v>
      </c>
      <c r="E8375" s="10">
        <f>HYPERLINK("http://www.lingerieopt.ru/images/original/fbb51613-de23-43e0-b661-51d4f30121f4.jpg","Фото")</f>
      </c>
    </row>
    <row r="8376">
      <c r="A8376" s="7">
        <f>HYPERLINK("http://www.lingerieopt.ru/item/8456-chulki-v-krupnuyu-setku-intensa-40-den/","8456")</f>
      </c>
      <c r="B8376" s="8" t="s">
        <v>8041</v>
      </c>
      <c r="C8376" s="9">
        <v>824</v>
      </c>
      <c r="D8376" s="0">
        <v>0</v>
      </c>
      <c r="E8376" s="10">
        <f>HYPERLINK("http://www.lingerieopt.ru/images/original/fbb51613-de23-43e0-b661-51d4f30121f4.jpg","Фото")</f>
      </c>
    </row>
    <row r="8377">
      <c r="A8377" s="7">
        <f>HYPERLINK("http://www.lingerieopt.ru/item/8456-chulki-v-krupnuyu-setku-intensa-40-den/","8456")</f>
      </c>
      <c r="B8377" s="8" t="s">
        <v>8042</v>
      </c>
      <c r="C8377" s="9">
        <v>824</v>
      </c>
      <c r="D8377" s="0">
        <v>1</v>
      </c>
      <c r="E8377" s="10">
        <f>HYPERLINK("http://www.lingerieopt.ru/images/original/fbb51613-de23-43e0-b661-51d4f30121f4.jpg","Фото")</f>
      </c>
    </row>
    <row r="8378">
      <c r="A8378" s="7">
        <f>HYPERLINK("http://www.lingerieopt.ru/item/8563-elegantnje-chulki-pod-poyas-s-kruzhevnjm-verhom/","8563")</f>
      </c>
      <c r="B8378" s="8" t="s">
        <v>8043</v>
      </c>
      <c r="C8378" s="9">
        <v>457</v>
      </c>
      <c r="D8378" s="0">
        <v>3</v>
      </c>
      <c r="E8378" s="10">
        <f>HYPERLINK("http://www.lingerieopt.ru/images/original/305f593a-e825-49e8-b84c-987da01fb882.jpg","Фото")</f>
      </c>
    </row>
    <row r="8379">
      <c r="A8379" s="7">
        <f>HYPERLINK("http://www.lingerieopt.ru/item/8563-elegantnje-chulki-pod-poyas-s-kruzhevnjm-verhom/","8563")</f>
      </c>
      <c r="B8379" s="8" t="s">
        <v>8044</v>
      </c>
      <c r="C8379" s="9">
        <v>457</v>
      </c>
      <c r="D8379" s="0">
        <v>0</v>
      </c>
      <c r="E8379" s="10">
        <f>HYPERLINK("http://www.lingerieopt.ru/images/original/305f593a-e825-49e8-b84c-987da01fb882.jpg","Фото")</f>
      </c>
    </row>
    <row r="8380">
      <c r="A8380" s="7">
        <f>HYPERLINK("http://www.lingerieopt.ru/item/8597-klassicheskie-chulki-s-gladkoi-plotnoi-rezinkoi/","8597")</f>
      </c>
      <c r="B8380" s="8" t="s">
        <v>8045</v>
      </c>
      <c r="C8380" s="9">
        <v>419</v>
      </c>
      <c r="D8380" s="0">
        <v>0</v>
      </c>
      <c r="E8380" s="10">
        <f>HYPERLINK("http://www.lingerieopt.ru/images/original/3d0821cc-cd96-46c5-a141-0170dc600cb9.jpg","Фото")</f>
      </c>
    </row>
    <row r="8381">
      <c r="A8381" s="7">
        <f>HYPERLINK("http://www.lingerieopt.ru/item/8597-klassicheskie-chulki-s-gladkoi-plotnoi-rezinkoi/","8597")</f>
      </c>
      <c r="B8381" s="8" t="s">
        <v>8046</v>
      </c>
      <c r="C8381" s="9">
        <v>419</v>
      </c>
      <c r="D8381" s="0">
        <v>5</v>
      </c>
      <c r="E8381" s="10">
        <f>HYPERLINK("http://www.lingerieopt.ru/images/original/3d0821cc-cd96-46c5-a141-0170dc600cb9.jpg","Фото")</f>
      </c>
    </row>
    <row r="8382">
      <c r="A8382" s="7">
        <f>HYPERLINK("http://www.lingerieopt.ru/item/8597-klassicheskie-chulki-s-gladkoi-plotnoi-rezinkoi/","8597")</f>
      </c>
      <c r="B8382" s="8" t="s">
        <v>8047</v>
      </c>
      <c r="C8382" s="9">
        <v>419</v>
      </c>
      <c r="D8382" s="0">
        <v>0</v>
      </c>
      <c r="E8382" s="10">
        <f>HYPERLINK("http://www.lingerieopt.ru/images/original/3d0821cc-cd96-46c5-a141-0170dc600cb9.jpg","Фото")</f>
      </c>
    </row>
    <row r="8383">
      <c r="A8383" s="7">
        <f>HYPERLINK("http://www.lingerieopt.ru/item/8597-klassicheskie-chulki-s-gladkoi-plotnoi-rezinkoi/","8597")</f>
      </c>
      <c r="B8383" s="8" t="s">
        <v>8048</v>
      </c>
      <c r="C8383" s="9">
        <v>419</v>
      </c>
      <c r="D8383" s="0">
        <v>0</v>
      </c>
      <c r="E8383" s="10">
        <f>HYPERLINK("http://www.lingerieopt.ru/images/original/3d0821cc-cd96-46c5-a141-0170dc600cb9.jpg","Фото")</f>
      </c>
    </row>
    <row r="8384">
      <c r="A8384" s="7">
        <f>HYPERLINK("http://www.lingerieopt.ru/item/8597-klassicheskie-chulki-s-gladkoi-plotnoi-rezinkoi/","8597")</f>
      </c>
      <c r="B8384" s="8" t="s">
        <v>8049</v>
      </c>
      <c r="C8384" s="9">
        <v>419</v>
      </c>
      <c r="D8384" s="0">
        <v>0</v>
      </c>
      <c r="E8384" s="10">
        <f>HYPERLINK("http://www.lingerieopt.ru/images/original/3d0821cc-cd96-46c5-a141-0170dc600cb9.jpg","Фото")</f>
      </c>
    </row>
    <row r="8385">
      <c r="A8385" s="7">
        <f>HYPERLINK("http://www.lingerieopt.ru/item/8597-klassicheskie-chulki-s-gladkoi-plotnoi-rezinkoi/","8597")</f>
      </c>
      <c r="B8385" s="8" t="s">
        <v>8050</v>
      </c>
      <c r="C8385" s="9">
        <v>419</v>
      </c>
      <c r="D8385" s="0">
        <v>1</v>
      </c>
      <c r="E8385" s="10">
        <f>HYPERLINK("http://www.lingerieopt.ru/images/original/3d0821cc-cd96-46c5-a141-0170dc600cb9.jpg","Фото")</f>
      </c>
    </row>
    <row r="8386">
      <c r="A8386" s="7">
        <f>HYPERLINK("http://www.lingerieopt.ru/item/8598-chernje-chulki-merossa-s-kruzhevnoi-rezinkoi/","8598")</f>
      </c>
      <c r="B8386" s="8" t="s">
        <v>8051</v>
      </c>
      <c r="C8386" s="9">
        <v>610</v>
      </c>
      <c r="D8386" s="0">
        <v>4</v>
      </c>
      <c r="E8386" s="10">
        <f>HYPERLINK("http://www.lingerieopt.ru/images/original/d0f702e5-c713-4e93-85fe-af942016238f.jpg","Фото")</f>
      </c>
    </row>
    <row r="8387">
      <c r="A8387" s="7">
        <f>HYPERLINK("http://www.lingerieopt.ru/item/8598-chernje-chulki-merossa-s-kruzhevnoi-rezinkoi/","8598")</f>
      </c>
      <c r="B8387" s="8" t="s">
        <v>8052</v>
      </c>
      <c r="C8387" s="9">
        <v>610</v>
      </c>
      <c r="D8387" s="0">
        <v>6</v>
      </c>
      <c r="E8387" s="10">
        <f>HYPERLINK("http://www.lingerieopt.ru/images/original/d0f702e5-c713-4e93-85fe-af942016238f.jpg","Фото")</f>
      </c>
    </row>
    <row r="8388">
      <c r="A8388" s="7">
        <f>HYPERLINK("http://www.lingerieopt.ru/item/8609-chulki-pod-poyas-slevika-s-uzkoi-kruzhevnoi-rezinkoi/","8609")</f>
      </c>
      <c r="B8388" s="8" t="s">
        <v>8053</v>
      </c>
      <c r="C8388" s="9">
        <v>533</v>
      </c>
      <c r="D8388" s="0">
        <v>3</v>
      </c>
      <c r="E8388" s="10">
        <f>HYPERLINK("http://www.lingerieopt.ru/images/original/73a7ff40-041c-4ec4-867f-0001533a8bb8.jpg","Фото")</f>
      </c>
    </row>
    <row r="8389">
      <c r="A8389" s="7">
        <f>HYPERLINK("http://www.lingerieopt.ru/item/8609-chulki-pod-poyas-slevika-s-uzkoi-kruzhevnoi-rezinkoi/","8609")</f>
      </c>
      <c r="B8389" s="8" t="s">
        <v>8054</v>
      </c>
      <c r="C8389" s="9">
        <v>533</v>
      </c>
      <c r="D8389" s="0">
        <v>9</v>
      </c>
      <c r="E8389" s="10">
        <f>HYPERLINK("http://www.lingerieopt.ru/images/original/73a7ff40-041c-4ec4-867f-0001533a8bb8.jpg","Фото")</f>
      </c>
    </row>
    <row r="8390">
      <c r="A8390" s="7">
        <f>HYPERLINK("http://www.lingerieopt.ru/item/8653-chulki-s-kruzhevnoi-rezinkoi-bez-silikona/","8653")</f>
      </c>
      <c r="B8390" s="8" t="s">
        <v>8055</v>
      </c>
      <c r="C8390" s="9">
        <v>508</v>
      </c>
      <c r="D8390" s="0">
        <v>5</v>
      </c>
      <c r="E8390" s="10">
        <f>HYPERLINK("http://www.lingerieopt.ru/images/original/d9defa39-2fea-4f52-90f3-321592af72e4.jpg","Фото")</f>
      </c>
    </row>
    <row r="8391">
      <c r="A8391" s="7">
        <f>HYPERLINK("http://www.lingerieopt.ru/item/8653-chulki-s-kruzhevnoi-rezinkoi-bez-silikona/","8653")</f>
      </c>
      <c r="B8391" s="8" t="s">
        <v>8056</v>
      </c>
      <c r="C8391" s="9">
        <v>508</v>
      </c>
      <c r="D8391" s="0">
        <v>5</v>
      </c>
      <c r="E8391" s="10">
        <f>HYPERLINK("http://www.lingerieopt.ru/images/original/d9defa39-2fea-4f52-90f3-321592af72e4.jpg","Фото")</f>
      </c>
    </row>
    <row r="8392">
      <c r="A8392" s="7">
        <f>HYPERLINK("http://www.lingerieopt.ru/item/8669-chulki-charmea-s-shirokoi-kruzhevnoi-rezinkoi-bez-silikona/","8669")</f>
      </c>
      <c r="B8392" s="8" t="s">
        <v>8057</v>
      </c>
      <c r="C8392" s="9">
        <v>610</v>
      </c>
      <c r="D8392" s="0">
        <v>7</v>
      </c>
      <c r="E8392" s="10">
        <f>HYPERLINK("http://www.lingerieopt.ru/images/original/96bd5f1e-dc10-450b-bbc5-72dad732fac6.jpg","Фото")</f>
      </c>
    </row>
    <row r="8393">
      <c r="A8393" s="7">
        <f>HYPERLINK("http://www.lingerieopt.ru/item/8669-chulki-charmea-s-shirokoi-kruzhevnoi-rezinkoi-bez-silikona/","8669")</f>
      </c>
      <c r="B8393" s="8" t="s">
        <v>8058</v>
      </c>
      <c r="C8393" s="9">
        <v>610</v>
      </c>
      <c r="D8393" s="0">
        <v>0</v>
      </c>
      <c r="E8393" s="10">
        <f>HYPERLINK("http://www.lingerieopt.ru/images/original/96bd5f1e-dc10-450b-bbc5-72dad732fac6.jpg","Фото")</f>
      </c>
    </row>
    <row r="8394">
      <c r="A8394" s="7">
        <f>HYPERLINK("http://www.lingerieopt.ru/item/8776-setchatji-komplekt-paquita-chulki-poyas-i-trusiki-stringi/","8776")</f>
      </c>
      <c r="B8394" s="8" t="s">
        <v>8059</v>
      </c>
      <c r="C8394" s="9">
        <v>610</v>
      </c>
      <c r="D8394" s="0">
        <v>9</v>
      </c>
      <c r="E8394" s="10">
        <f>HYPERLINK("http://www.lingerieopt.ru/images/original/7cac31e8-f677-4671-97ad-f3c6335fbc99.jpg","Фото")</f>
      </c>
    </row>
    <row r="8395">
      <c r="A8395" s="7">
        <f>HYPERLINK("http://www.lingerieopt.ru/item/9015-kruzhevnoi-poyas-dlya-chulok-v-komplekte-s-trusikami-stringami/","9015")</f>
      </c>
      <c r="B8395" s="8" t="s">
        <v>7018</v>
      </c>
      <c r="C8395" s="9">
        <v>776</v>
      </c>
      <c r="D8395" s="0">
        <v>6</v>
      </c>
      <c r="E8395" s="10">
        <f>HYPERLINK("http://www.lingerieopt.ru/images/original/b5537d90-b1ec-4388-ba7b-4d79f0f142f5.jpg","Фото")</f>
      </c>
    </row>
    <row r="8396">
      <c r="A8396" s="7">
        <f>HYPERLINK("http://www.lingerieopt.ru/item/9015-kruzhevnoi-poyas-dlya-chulok-v-komplekte-s-trusikami-stringami/","9015")</f>
      </c>
      <c r="B8396" s="8" t="s">
        <v>7019</v>
      </c>
      <c r="C8396" s="9">
        <v>776</v>
      </c>
      <c r="D8396" s="0">
        <v>0</v>
      </c>
      <c r="E8396" s="10">
        <f>HYPERLINK("http://www.lingerieopt.ru/images/original/b5537d90-b1ec-4388-ba7b-4d79f0f142f5.jpg","Фото")</f>
      </c>
    </row>
    <row r="8397">
      <c r="A8397" s="7">
        <f>HYPERLINK("http://www.lingerieopt.ru/item/9103-chulki-perry-s-yarkimi-cvetami-na-kruzhevnoi-rezinke/","9103")</f>
      </c>
      <c r="B8397" s="8" t="s">
        <v>8060</v>
      </c>
      <c r="C8397" s="9">
        <v>555</v>
      </c>
      <c r="D8397" s="0">
        <v>4</v>
      </c>
      <c r="E8397" s="10">
        <f>HYPERLINK("http://www.lingerieopt.ru/images/original/5fab578c-07fd-4464-8753-5841be88bdd2.jpg","Фото")</f>
      </c>
    </row>
    <row r="8398">
      <c r="A8398" s="7">
        <f>HYPERLINK("http://www.lingerieopt.ru/item/9103-chulki-perry-s-yarkimi-cvetami-na-kruzhevnoi-rezinke/","9103")</f>
      </c>
      <c r="B8398" s="8" t="s">
        <v>8061</v>
      </c>
      <c r="C8398" s="9">
        <v>555</v>
      </c>
      <c r="D8398" s="0">
        <v>5</v>
      </c>
      <c r="E8398" s="10">
        <f>HYPERLINK("http://www.lingerieopt.ru/images/original/5fab578c-07fd-4464-8753-5841be88bdd2.jpg","Фото")</f>
      </c>
    </row>
    <row r="8399">
      <c r="A8399" s="7">
        <f>HYPERLINK("http://www.lingerieopt.ru/item/9199-chulki-s-kruzhevnjm-verhom-v-goroshek/","9199")</f>
      </c>
      <c r="B8399" s="8" t="s">
        <v>8062</v>
      </c>
      <c r="C8399" s="9">
        <v>533</v>
      </c>
      <c r="D8399" s="0">
        <v>6</v>
      </c>
      <c r="E8399" s="10">
        <f>HYPERLINK("http://www.lingerieopt.ru/images/original/2128515c-0bbc-43e3-94de-42a3469a7906.jpg","Фото")</f>
      </c>
    </row>
    <row r="8400">
      <c r="A8400" s="7">
        <f>HYPERLINK("http://www.lingerieopt.ru/item/9199-chulki-s-kruzhevnjm-verhom-v-goroshek/","9199")</f>
      </c>
      <c r="B8400" s="8" t="s">
        <v>8063</v>
      </c>
      <c r="C8400" s="9">
        <v>533</v>
      </c>
      <c r="D8400" s="0">
        <v>1</v>
      </c>
      <c r="E8400" s="10">
        <f>HYPERLINK("http://www.lingerieopt.ru/images/original/2128515c-0bbc-43e3-94de-42a3469a7906.jpg","Фото")</f>
      </c>
    </row>
    <row r="8401">
      <c r="A8401" s="7">
        <f>HYPERLINK("http://www.lingerieopt.ru/item/9294-shirokii-kruzhevnoi-poyas-v-komplekte-s-trusikami-i-pestisami/","9294")</f>
      </c>
      <c r="B8401" s="8" t="s">
        <v>8064</v>
      </c>
      <c r="C8401" s="9">
        <v>1661</v>
      </c>
      <c r="D8401" s="0">
        <v>10</v>
      </c>
      <c r="E8401" s="10">
        <f>HYPERLINK("http://www.lingerieopt.ru/images/original/bdb148ca-276d-47ce-9790-5b6c30ff9ca1.jpg","Фото")</f>
      </c>
    </row>
    <row r="8402">
      <c r="A8402" s="7">
        <f>HYPERLINK("http://www.lingerieopt.ru/item/9294-shirokii-kruzhevnoi-poyas-v-komplekte-s-trusikami-i-pestisami/","9294")</f>
      </c>
      <c r="B8402" s="8" t="s">
        <v>8065</v>
      </c>
      <c r="C8402" s="9">
        <v>1661</v>
      </c>
      <c r="D8402" s="0">
        <v>10</v>
      </c>
      <c r="E8402" s="10">
        <f>HYPERLINK("http://www.lingerieopt.ru/images/original/bdb148ca-276d-47ce-9790-5b6c30ff9ca1.jpg","Фото")</f>
      </c>
    </row>
    <row r="8403">
      <c r="A8403" s="7">
        <f>HYPERLINK("http://www.lingerieopt.ru/item/9295-azhurnji-poyas-dlya-chulok-s-oborkami-i-trusikami-v-komplekte/","9295")</f>
      </c>
      <c r="B8403" s="8" t="s">
        <v>8066</v>
      </c>
      <c r="C8403" s="9">
        <v>1175</v>
      </c>
      <c r="D8403" s="0">
        <v>6</v>
      </c>
      <c r="E8403" s="10">
        <f>HYPERLINK("http://www.lingerieopt.ru/images/original/0b3ed140-5a45-46aa-aba5-6cf322ebf38a.jpg","Фото")</f>
      </c>
    </row>
    <row r="8404">
      <c r="A8404" s="7">
        <f>HYPERLINK("http://www.lingerieopt.ru/item/9295-azhurnji-poyas-dlya-chulok-s-oborkami-i-trusikami-v-komplekte/","9295")</f>
      </c>
      <c r="B8404" s="8" t="s">
        <v>8067</v>
      </c>
      <c r="C8404" s="9">
        <v>1175</v>
      </c>
      <c r="D8404" s="0">
        <v>10</v>
      </c>
      <c r="E8404" s="10">
        <f>HYPERLINK("http://www.lingerieopt.ru/images/original/0b3ed140-5a45-46aa-aba5-6cf322ebf38a.jpg","Фото")</f>
      </c>
    </row>
    <row r="8405">
      <c r="A8405" s="7">
        <f>HYPERLINK("http://www.lingerieopt.ru/item/9739-azhurnje-chulki-so-slitnjm-poyasom/","9739")</f>
      </c>
      <c r="B8405" s="8" t="s">
        <v>8068</v>
      </c>
      <c r="C8405" s="9">
        <v>828</v>
      </c>
      <c r="D8405" s="0">
        <v>6</v>
      </c>
      <c r="E8405" s="10">
        <f>HYPERLINK("http://www.lingerieopt.ru/images/original/f74c2077-13ff-4755-af99-160c9ad13196.jpg","Фото")</f>
      </c>
    </row>
    <row r="8406">
      <c r="A8406" s="7">
        <f>HYPERLINK("http://www.lingerieopt.ru/item/9756-izjskannje-chulki-pod-poyas-s-rezinkoi-v-goroshek/","9756")</f>
      </c>
      <c r="B8406" s="8" t="s">
        <v>8069</v>
      </c>
      <c r="C8406" s="9">
        <v>533</v>
      </c>
      <c r="D8406" s="0">
        <v>1</v>
      </c>
      <c r="E8406" s="10">
        <f>HYPERLINK("http://www.lingerieopt.ru/images/original/fa60c407-2c73-4421-a9e9-ebe9ec38cb08.jpg","Фото")</f>
      </c>
    </row>
    <row r="8407">
      <c r="A8407" s="7">
        <f>HYPERLINK("http://www.lingerieopt.ru/item/9756-izjskannje-chulki-pod-poyas-s-rezinkoi-v-goroshek/","9756")</f>
      </c>
      <c r="B8407" s="8" t="s">
        <v>8070</v>
      </c>
      <c r="C8407" s="9">
        <v>533</v>
      </c>
      <c r="D8407" s="0">
        <v>2</v>
      </c>
      <c r="E8407" s="10">
        <f>HYPERLINK("http://www.lingerieopt.ru/images/original/fa60c407-2c73-4421-a9e9-ebe9ec38cb08.jpg","Фото")</f>
      </c>
    </row>
    <row r="8408">
      <c r="A8408" s="7">
        <f>HYPERLINK("http://www.lingerieopt.ru/item/9774-poyas-yubochka-iz-kruzheva-v-komplekte-s-trusikami-string/","9774")</f>
      </c>
      <c r="B8408" s="8" t="s">
        <v>8071</v>
      </c>
      <c r="C8408" s="9">
        <v>1043</v>
      </c>
      <c r="D8408" s="0">
        <v>7</v>
      </c>
      <c r="E8408" s="10">
        <f>HYPERLINK("http://www.lingerieopt.ru/images/original/750bb18d-1918-4991-8a30-7ce8434d71ed.jpg","Фото")</f>
      </c>
    </row>
    <row r="8409">
      <c r="A8409" s="7">
        <f>HYPERLINK("http://www.lingerieopt.ru/item/9774-poyas-yubochka-iz-kruzheva-v-komplekte-s-trusikami-string/","9774")</f>
      </c>
      <c r="B8409" s="8" t="s">
        <v>8072</v>
      </c>
      <c r="C8409" s="9">
        <v>1043</v>
      </c>
      <c r="D8409" s="0">
        <v>7</v>
      </c>
      <c r="E8409" s="10">
        <f>HYPERLINK("http://www.lingerieopt.ru/images/original/750bb18d-1918-4991-8a30-7ce8434d71ed.jpg","Фото")</f>
      </c>
    </row>
    <row r="8410">
      <c r="A8410" s="7">
        <f>HYPERLINK("http://www.lingerieopt.ru/item/9944-chulki-botfortj-microfibre-classic/","9944")</f>
      </c>
      <c r="B8410" s="8" t="s">
        <v>8073</v>
      </c>
      <c r="C8410" s="9">
        <v>229</v>
      </c>
      <c r="D8410" s="0">
        <v>20</v>
      </c>
      <c r="E8410" s="10">
        <f>HYPERLINK("http://www.lingerieopt.ru/images/original/d8aabad1-aeca-4fb1-a625-7a8bb2d13346.jpg","Фото")</f>
      </c>
    </row>
    <row r="8411">
      <c r="A8411" s="7">
        <f>HYPERLINK("http://www.lingerieopt.ru/item/9944-chulki-botfortj-microfibre-classic/","9944")</f>
      </c>
      <c r="B8411" s="8" t="s">
        <v>8074</v>
      </c>
      <c r="C8411" s="9">
        <v>229</v>
      </c>
      <c r="D8411" s="0">
        <v>4</v>
      </c>
      <c r="E8411" s="10">
        <f>HYPERLINK("http://www.lingerieopt.ru/images/original/d8aabad1-aeca-4fb1-a625-7a8bb2d13346.jpg","Фото")</f>
      </c>
    </row>
    <row r="8412">
      <c r="A8412" s="7">
        <f>HYPERLINK("http://www.lingerieopt.ru/item/9975-tonkie-chulki-calze-15-den/","9975")</f>
      </c>
      <c r="B8412" s="8" t="s">
        <v>8075</v>
      </c>
      <c r="C8412" s="9">
        <v>305</v>
      </c>
      <c r="D8412" s="0">
        <v>0</v>
      </c>
      <c r="E8412" s="10">
        <f>HYPERLINK("http://www.lingerieopt.ru/images/original/8ff09166-6191-4d09-bf10-0e69412e7b7c.jpg","Фото")</f>
      </c>
    </row>
    <row r="8413">
      <c r="A8413" s="7">
        <f>HYPERLINK("http://www.lingerieopt.ru/item/9975-tonkie-chulki-calze-15-den/","9975")</f>
      </c>
      <c r="B8413" s="8" t="s">
        <v>8076</v>
      </c>
      <c r="C8413" s="9">
        <v>305</v>
      </c>
      <c r="D8413" s="0">
        <v>0</v>
      </c>
      <c r="E8413" s="10">
        <f>HYPERLINK("http://www.lingerieopt.ru/images/original/8ff09166-6191-4d09-bf10-0e69412e7b7c.jpg","Фото")</f>
      </c>
    </row>
    <row r="8414">
      <c r="A8414" s="7">
        <f>HYPERLINK("http://www.lingerieopt.ru/item/9975-tonkie-chulki-calze-15-den/","9975")</f>
      </c>
      <c r="B8414" s="8" t="s">
        <v>8077</v>
      </c>
      <c r="C8414" s="9">
        <v>305</v>
      </c>
      <c r="D8414" s="0">
        <v>22</v>
      </c>
      <c r="E8414" s="10">
        <f>HYPERLINK("http://www.lingerieopt.ru/images/original/8ff09166-6191-4d09-bf10-0e69412e7b7c.jpg","Фото")</f>
      </c>
    </row>
    <row r="8415">
      <c r="A8415" s="7">
        <f>HYPERLINK("http://www.lingerieopt.ru/item/9975-tonkie-chulki-calze-15-den/","9975")</f>
      </c>
      <c r="B8415" s="8" t="s">
        <v>8078</v>
      </c>
      <c r="C8415" s="9">
        <v>305</v>
      </c>
      <c r="D8415" s="0">
        <v>15</v>
      </c>
      <c r="E8415" s="10">
        <f>HYPERLINK("http://www.lingerieopt.ru/images/original/8ff09166-6191-4d09-bf10-0e69412e7b7c.jpg","Фото")</f>
      </c>
    </row>
    <row r="8416">
      <c r="A8416" s="7">
        <f>HYPERLINK("http://www.lingerieopt.ru/item/9976-chernje-fantaziinje-chulki-carla-s-imitaciei-shnurovki/","9976")</f>
      </c>
      <c r="B8416" s="8" t="s">
        <v>8079</v>
      </c>
      <c r="C8416" s="9">
        <v>521</v>
      </c>
      <c r="D8416" s="0">
        <v>2</v>
      </c>
      <c r="E8416" s="10">
        <f>HYPERLINK("http://www.lingerieopt.ru/images/original/314c7a06-e055-45d2-acd2-15aea60ee2cf.jpg","Фото")</f>
      </c>
    </row>
    <row r="8417">
      <c r="A8417" s="7">
        <f>HYPERLINK("http://www.lingerieopt.ru/item/9976-chernje-fantaziinje-chulki-carla-s-imitaciei-shnurovki/","9976")</f>
      </c>
      <c r="B8417" s="8" t="s">
        <v>8080</v>
      </c>
      <c r="C8417" s="9">
        <v>521</v>
      </c>
      <c r="D8417" s="0">
        <v>0</v>
      </c>
      <c r="E8417" s="10">
        <f>HYPERLINK("http://www.lingerieopt.ru/images/original/314c7a06-e055-45d2-acd2-15aea60ee2cf.jpg","Фото")</f>
      </c>
    </row>
    <row r="8418">
      <c r="A8418" s="7">
        <f>HYPERLINK("http://www.lingerieopt.ru/item/9977-soblaznitelnje-chulki-rosa-s-rozochkami/","9977")</f>
      </c>
      <c r="B8418" s="8" t="s">
        <v>8081</v>
      </c>
      <c r="C8418" s="9">
        <v>495</v>
      </c>
      <c r="D8418" s="0">
        <v>10</v>
      </c>
      <c r="E8418" s="10">
        <f>HYPERLINK("http://www.lingerieopt.ru/images/original/3203a350-75a2-42fb-b1f0-39437a7a9688.jpg","Фото")</f>
      </c>
    </row>
    <row r="8419">
      <c r="A8419" s="7">
        <f>HYPERLINK("http://www.lingerieopt.ru/item/9977-soblaznitelnje-chulki-rosa-s-rozochkami/","9977")</f>
      </c>
      <c r="B8419" s="8" t="s">
        <v>8082</v>
      </c>
      <c r="C8419" s="9">
        <v>495</v>
      </c>
      <c r="D8419" s="0">
        <v>1</v>
      </c>
      <c r="E8419" s="10">
        <f>HYPERLINK("http://www.lingerieopt.ru/images/original/3203a350-75a2-42fb-b1f0-39437a7a9688.jpg","Фото")</f>
      </c>
    </row>
    <row r="8420">
      <c r="A8420" s="7">
        <f>HYPERLINK("http://www.lingerieopt.ru/item/9978-chulki-pod-poyas-calze-cher-15-den/","9978")</f>
      </c>
      <c r="B8420" s="8" t="s">
        <v>8083</v>
      </c>
      <c r="C8420" s="9">
        <v>190</v>
      </c>
      <c r="D8420" s="0">
        <v>44</v>
      </c>
      <c r="E8420" s="10">
        <f>HYPERLINK("http://www.lingerieopt.ru/images/original/a2074ab3-1af0-4af6-a93b-65e3426e7aef.jpg","Фото")</f>
      </c>
    </row>
    <row r="8421">
      <c r="A8421" s="7">
        <f>HYPERLINK("http://www.lingerieopt.ru/item/9978-chulki-pod-poyas-calze-cher-15-den/","9978")</f>
      </c>
      <c r="B8421" s="8" t="s">
        <v>8084</v>
      </c>
      <c r="C8421" s="9">
        <v>190</v>
      </c>
      <c r="D8421" s="0">
        <v>55</v>
      </c>
      <c r="E8421" s="10">
        <f>HYPERLINK("http://www.lingerieopt.ru/images/original/a2074ab3-1af0-4af6-a93b-65e3426e7aef.jpg","Фото")</f>
      </c>
    </row>
    <row r="8422">
      <c r="A8422" s="7">
        <f>HYPERLINK("http://www.lingerieopt.ru/item/9978-chulki-pod-poyas-calze-cher-15-den/","9978")</f>
      </c>
      <c r="B8422" s="8" t="s">
        <v>8085</v>
      </c>
      <c r="C8422" s="9">
        <v>190</v>
      </c>
      <c r="D8422" s="0">
        <v>17</v>
      </c>
      <c r="E8422" s="10">
        <f>HYPERLINK("http://www.lingerieopt.ru/images/original/a2074ab3-1af0-4af6-a93b-65e3426e7aef.jpg","Фото")</f>
      </c>
    </row>
    <row r="8423">
      <c r="A8423" s="7">
        <f>HYPERLINK("http://www.lingerieopt.ru/item/9978-chulki-pod-poyas-calze-cher-15-den/","9978")</f>
      </c>
      <c r="B8423" s="8" t="s">
        <v>8086</v>
      </c>
      <c r="C8423" s="9">
        <v>190</v>
      </c>
      <c r="D8423" s="0">
        <v>48</v>
      </c>
      <c r="E8423" s="10">
        <f>HYPERLINK("http://www.lingerieopt.ru/images/original/a2074ab3-1af0-4af6-a93b-65e3426e7aef.jpg","Фото")</f>
      </c>
    </row>
    <row r="8424">
      <c r="A8424" s="7">
        <f>HYPERLINK("http://www.lingerieopt.ru/item/9979-chulki-cruze-s-kubinskoi-pyatochkoi-i-strelkoi/","9979")</f>
      </c>
      <c r="B8424" s="8" t="s">
        <v>8087</v>
      </c>
      <c r="C8424" s="9">
        <v>368</v>
      </c>
      <c r="D8424" s="0">
        <v>27</v>
      </c>
      <c r="E8424" s="10">
        <f>HYPERLINK("http://www.lingerieopt.ru/images/original/aa712c45-2d79-46fb-9dc5-8428f914cc56.jpg","Фото")</f>
      </c>
    </row>
    <row r="8425">
      <c r="A8425" s="7">
        <f>HYPERLINK("http://www.lingerieopt.ru/item/9979-chulki-cruze-s-kubinskoi-pyatochkoi-i-strelkoi/","9979")</f>
      </c>
      <c r="B8425" s="8" t="s">
        <v>8088</v>
      </c>
      <c r="C8425" s="9">
        <v>368</v>
      </c>
      <c r="D8425" s="0">
        <v>32</v>
      </c>
      <c r="E8425" s="10">
        <f>HYPERLINK("http://www.lingerieopt.ru/images/original/aa712c45-2d79-46fb-9dc5-8428f914cc56.jpg","Фото")</f>
      </c>
    </row>
    <row r="8426">
      <c r="A8426" s="7">
        <f>HYPERLINK("http://www.lingerieopt.ru/item/9980-chulki-pod-poyas-calze-anika-15-den/","9980")</f>
      </c>
      <c r="B8426" s="8" t="s">
        <v>8089</v>
      </c>
      <c r="C8426" s="9">
        <v>203</v>
      </c>
      <c r="D8426" s="0">
        <v>2</v>
      </c>
      <c r="E8426" s="10">
        <f>HYPERLINK("http://www.lingerieopt.ru/images/original/b9343aaf-4a5b-42f8-9697-2d701588f9a5.jpg","Фото")</f>
      </c>
    </row>
    <row r="8427">
      <c r="A8427" s="7">
        <f>HYPERLINK("http://www.lingerieopt.ru/item/9980-chulki-pod-poyas-calze-anika-15-den/","9980")</f>
      </c>
      <c r="B8427" s="8" t="s">
        <v>8090</v>
      </c>
      <c r="C8427" s="9">
        <v>203</v>
      </c>
      <c r="D8427" s="0">
        <v>11</v>
      </c>
      <c r="E8427" s="10">
        <f>HYPERLINK("http://www.lingerieopt.ru/images/original/b9343aaf-4a5b-42f8-9697-2d701588f9a5.jpg","Фото")</f>
      </c>
    </row>
    <row r="8428">
      <c r="A8428" s="7">
        <f>HYPERLINK("http://www.lingerieopt.ru/item/9980-chulki-pod-poyas-calze-anika-15-den/","9980")</f>
      </c>
      <c r="B8428" s="8" t="s">
        <v>8091</v>
      </c>
      <c r="C8428" s="9">
        <v>203</v>
      </c>
      <c r="D8428" s="0">
        <v>37</v>
      </c>
      <c r="E8428" s="10">
        <f>HYPERLINK("http://www.lingerieopt.ru/images/original/b9343aaf-4a5b-42f8-9697-2d701588f9a5.jpg","Фото")</f>
      </c>
    </row>
    <row r="8429">
      <c r="A8429" s="7">
        <f>HYPERLINK("http://www.lingerieopt.ru/item/9980-chulki-pod-poyas-calze-anika-15-den/","9980")</f>
      </c>
      <c r="B8429" s="8" t="s">
        <v>8092</v>
      </c>
      <c r="C8429" s="9">
        <v>203</v>
      </c>
      <c r="D8429" s="0">
        <v>47</v>
      </c>
      <c r="E8429" s="10">
        <f>HYPERLINK("http://www.lingerieopt.ru/images/original/b9343aaf-4a5b-42f8-9697-2d701588f9a5.jpg","Фото")</f>
      </c>
    </row>
    <row r="8430">
      <c r="A8430" s="7">
        <f>HYPERLINK("http://www.lingerieopt.ru/item/9981-poluprozrachnje-chulki-calze-princessa-01/","9981")</f>
      </c>
      <c r="B8430" s="8" t="s">
        <v>8093</v>
      </c>
      <c r="C8430" s="9">
        <v>330</v>
      </c>
      <c r="D8430" s="0">
        <v>27</v>
      </c>
      <c r="E8430" s="10">
        <f>HYPERLINK("http://www.lingerieopt.ru/images/original/58011ea2-f0fc-424c-9237-792660668d5a.jpg","Фото")</f>
      </c>
    </row>
    <row r="8431">
      <c r="A8431" s="7">
        <f>HYPERLINK("http://www.lingerieopt.ru/item/9981-poluprozrachnje-chulki-calze-princessa-01/","9981")</f>
      </c>
      <c r="B8431" s="8" t="s">
        <v>8094</v>
      </c>
      <c r="C8431" s="9">
        <v>330</v>
      </c>
      <c r="D8431" s="0">
        <v>24</v>
      </c>
      <c r="E8431" s="10">
        <f>HYPERLINK("http://www.lingerieopt.ru/images/original/58011ea2-f0fc-424c-9237-792660668d5a.jpg","Фото")</f>
      </c>
    </row>
    <row r="8432">
      <c r="A8432" s="7">
        <f>HYPERLINK("http://www.lingerieopt.ru/item/9982-tonkie-chulki-na-silikone-calze-princessa-02/","9982")</f>
      </c>
      <c r="B8432" s="8" t="s">
        <v>8095</v>
      </c>
      <c r="C8432" s="9">
        <v>279</v>
      </c>
      <c r="D8432" s="0">
        <v>16</v>
      </c>
      <c r="E8432" s="10">
        <f>HYPERLINK("http://www.lingerieopt.ru/images/original/42e1c911-0935-43d9-9baa-683c29ee2b7d.jpg","Фото")</f>
      </c>
    </row>
    <row r="8433">
      <c r="A8433" s="7">
        <f>HYPERLINK("http://www.lingerieopt.ru/item/9982-tonkie-chulki-na-silikone-calze-princessa-02/","9982")</f>
      </c>
      <c r="B8433" s="8" t="s">
        <v>8096</v>
      </c>
      <c r="C8433" s="9">
        <v>279</v>
      </c>
      <c r="D8433" s="0">
        <v>22</v>
      </c>
      <c r="E8433" s="10">
        <f>HYPERLINK("http://www.lingerieopt.ru/images/original/42e1c911-0935-43d9-9baa-683c29ee2b7d.jpg","Фото")</f>
      </c>
    </row>
    <row r="8434">
      <c r="A8434" s="7">
        <f>HYPERLINK("http://www.lingerieopt.ru/item/9983-nezhnje-chulki-na-silikone-calze-princessa-03/","9983")</f>
      </c>
      <c r="B8434" s="8" t="s">
        <v>8097</v>
      </c>
      <c r="C8434" s="9">
        <v>368</v>
      </c>
      <c r="D8434" s="0">
        <v>32</v>
      </c>
      <c r="E8434" s="10">
        <f>HYPERLINK("http://www.lingerieopt.ru/images/original/ef91a2a4-0896-417a-9fc5-2fbc14555664.jpg","Фото")</f>
      </c>
    </row>
    <row r="8435">
      <c r="A8435" s="7">
        <f>HYPERLINK("http://www.lingerieopt.ru/item/9983-nezhnje-chulki-na-silikone-calze-princessa-03/","9983")</f>
      </c>
      <c r="B8435" s="8" t="s">
        <v>8098</v>
      </c>
      <c r="C8435" s="9">
        <v>368</v>
      </c>
      <c r="D8435" s="0">
        <v>22</v>
      </c>
      <c r="E8435" s="10">
        <f>HYPERLINK("http://www.lingerieopt.ru/images/original/ef91a2a4-0896-417a-9fc5-2fbc14555664.jpg","Фото")</f>
      </c>
    </row>
    <row r="8436">
      <c r="A8436" s="7">
        <f>HYPERLINK("http://www.lingerieopt.ru/item/9984-chulki-calze-princessa-04-s-rezinkoi-na-silikone/","9984")</f>
      </c>
      <c r="B8436" s="8" t="s">
        <v>8099</v>
      </c>
      <c r="C8436" s="9">
        <v>419</v>
      </c>
      <c r="D8436" s="0">
        <v>21</v>
      </c>
      <c r="E8436" s="10">
        <f>HYPERLINK("http://www.lingerieopt.ru/images/original/e7ee1c2e-446c-4ec9-b3ea-c798a231b2f3.jpg","Фото")</f>
      </c>
    </row>
    <row r="8437">
      <c r="A8437" s="7">
        <f>HYPERLINK("http://www.lingerieopt.ru/item/9984-chulki-calze-princessa-04-s-rezinkoi-na-silikone/","9984")</f>
      </c>
      <c r="B8437" s="8" t="s">
        <v>8100</v>
      </c>
      <c r="C8437" s="9">
        <v>419</v>
      </c>
      <c r="D8437" s="0">
        <v>34</v>
      </c>
      <c r="E8437" s="10">
        <f>HYPERLINK("http://www.lingerieopt.ru/images/original/e7ee1c2e-446c-4ec9-b3ea-c798a231b2f3.jpg","Фото")</f>
      </c>
    </row>
    <row r="8438">
      <c r="A8438" s="7">
        <f>HYPERLINK("http://www.lingerieopt.ru/item/9985-chulki-calze-princessa-05-so-shvom-szadi/","9985")</f>
      </c>
      <c r="B8438" s="8" t="s">
        <v>8101</v>
      </c>
      <c r="C8438" s="9">
        <v>368</v>
      </c>
      <c r="D8438" s="0">
        <v>25</v>
      </c>
      <c r="E8438" s="10">
        <f>HYPERLINK("http://www.lingerieopt.ru/images/original/5a0aab0d-cde4-4a4b-af41-f0b9ed3df294.jpg","Фото")</f>
      </c>
    </row>
    <row r="8439">
      <c r="A8439" s="7">
        <f>HYPERLINK("http://www.lingerieopt.ru/item/9985-chulki-calze-princessa-05-so-shvom-szadi/","9985")</f>
      </c>
      <c r="B8439" s="8" t="s">
        <v>8102</v>
      </c>
      <c r="C8439" s="9">
        <v>368</v>
      </c>
      <c r="D8439" s="0">
        <v>21</v>
      </c>
      <c r="E8439" s="10">
        <f>HYPERLINK("http://www.lingerieopt.ru/images/original/5a0aab0d-cde4-4a4b-af41-f0b9ed3df294.jpg","Фото")</f>
      </c>
    </row>
    <row r="8440">
      <c r="A8440" s="7">
        <f>HYPERLINK("http://www.lingerieopt.ru/item/9986-soblaznitelnje-chulki-s-cvetochnjm-risunkom-calze-princessa-06/","9986")</f>
      </c>
      <c r="B8440" s="8" t="s">
        <v>8103</v>
      </c>
      <c r="C8440" s="9">
        <v>381</v>
      </c>
      <c r="D8440" s="0">
        <v>28</v>
      </c>
      <c r="E8440" s="10">
        <f>HYPERLINK("http://www.lingerieopt.ru/images/original/b48dd456-80c9-48f8-93e0-625a75d760c6.jpg","Фото")</f>
      </c>
    </row>
    <row r="8441">
      <c r="A8441" s="7">
        <f>HYPERLINK("http://www.lingerieopt.ru/item/9986-soblaznitelnje-chulki-s-cvetochnjm-risunkom-calze-princessa-06/","9986")</f>
      </c>
      <c r="B8441" s="8" t="s">
        <v>8104</v>
      </c>
      <c r="C8441" s="9">
        <v>381</v>
      </c>
      <c r="D8441" s="0">
        <v>42</v>
      </c>
      <c r="E8441" s="10">
        <f>HYPERLINK("http://www.lingerieopt.ru/images/original/b48dd456-80c9-48f8-93e0-625a75d760c6.jpg","Фото")</f>
      </c>
    </row>
    <row r="8442">
      <c r="A8442" s="7">
        <f>HYPERLINK("http://www.lingerieopt.ru/item/9987-chulki-s-kontrastnoi-strelkoi-lido/","9987")</f>
      </c>
      <c r="B8442" s="8" t="s">
        <v>8105</v>
      </c>
      <c r="C8442" s="9">
        <v>292</v>
      </c>
      <c r="D8442" s="0">
        <v>5</v>
      </c>
      <c r="E8442" s="10">
        <f>HYPERLINK("http://www.lingerieopt.ru/images/original/6eadbf83-2d13-4f26-a49a-605a6449a2c5.jpg","Фото")</f>
      </c>
    </row>
    <row r="8443">
      <c r="A8443" s="7">
        <f>HYPERLINK("http://www.lingerieopt.ru/item/9987-chulki-s-kontrastnoi-strelkoi-lido/","9987")</f>
      </c>
      <c r="B8443" s="8" t="s">
        <v>8106</v>
      </c>
      <c r="C8443" s="9">
        <v>292</v>
      </c>
      <c r="D8443" s="0">
        <v>44</v>
      </c>
      <c r="E8443" s="10">
        <f>HYPERLINK("http://www.lingerieopt.ru/images/original/6eadbf83-2d13-4f26-a49a-605a6449a2c5.jpg","Фото")</f>
      </c>
    </row>
    <row r="8444">
      <c r="A8444" s="7">
        <f>HYPERLINK("http://www.lingerieopt.ru/item/9987-chulki-s-kontrastnoi-strelkoi-lido/","9987")</f>
      </c>
      <c r="B8444" s="8" t="s">
        <v>8107</v>
      </c>
      <c r="C8444" s="9">
        <v>292</v>
      </c>
      <c r="D8444" s="0">
        <v>14</v>
      </c>
      <c r="E8444" s="10">
        <f>HYPERLINK("http://www.lingerieopt.ru/images/original/6eadbf83-2d13-4f26-a49a-605a6449a2c5.jpg","Фото")</f>
      </c>
    </row>
    <row r="8445">
      <c r="A8445" s="7">
        <f>HYPERLINK("http://www.lingerieopt.ru/item/9987-chulki-s-kontrastnoi-strelkoi-lido/","9987")</f>
      </c>
      <c r="B8445" s="8" t="s">
        <v>8108</v>
      </c>
      <c r="C8445" s="9">
        <v>292</v>
      </c>
      <c r="D8445" s="0">
        <v>42</v>
      </c>
      <c r="E8445" s="10">
        <f>HYPERLINK("http://www.lingerieopt.ru/images/original/6eadbf83-2d13-4f26-a49a-605a6449a2c5.jpg","Фото")</f>
      </c>
    </row>
    <row r="8446">
      <c r="A8446" s="7">
        <f>HYPERLINK("http://www.lingerieopt.ru/item/9988-chulki-pod-poyas-calze-effi-so-strelkami/","9988")</f>
      </c>
      <c r="B8446" s="8" t="s">
        <v>8109</v>
      </c>
      <c r="C8446" s="9">
        <v>292</v>
      </c>
      <c r="D8446" s="0">
        <v>12</v>
      </c>
      <c r="E8446" s="10">
        <f>HYPERLINK("http://www.lingerieopt.ru/images/original/2031eb8a-1b99-4db4-907a-fa8f03237ba4.jpg","Фото")</f>
      </c>
    </row>
    <row r="8447">
      <c r="A8447" s="7">
        <f>HYPERLINK("http://www.lingerieopt.ru/item/9988-chulki-pod-poyas-calze-effi-so-strelkami/","9988")</f>
      </c>
      <c r="B8447" s="8" t="s">
        <v>8110</v>
      </c>
      <c r="C8447" s="9">
        <v>292</v>
      </c>
      <c r="D8447" s="0">
        <v>35</v>
      </c>
      <c r="E8447" s="10">
        <f>HYPERLINK("http://www.lingerieopt.ru/images/original/2031eb8a-1b99-4db4-907a-fa8f03237ba4.jpg","Фото")</f>
      </c>
    </row>
    <row r="8448">
      <c r="A8448" s="7">
        <f>HYPERLINK("http://www.lingerieopt.ru/item/9989-chulki-i-poyas-garter-set-blue-night/","9989")</f>
      </c>
      <c r="B8448" s="8" t="s">
        <v>8111</v>
      </c>
      <c r="C8448" s="9">
        <v>732</v>
      </c>
      <c r="D8448" s="0">
        <v>21</v>
      </c>
      <c r="E8448" s="10">
        <f>HYPERLINK("http://www.lingerieopt.ru/images/original/85a66fd9-50aa-46ff-8f77-ac09c9a383aa.jpg","Фото")</f>
      </c>
    </row>
    <row r="8449">
      <c r="A8449" s="7">
        <f>HYPERLINK("http://www.lingerieopt.ru/item/9989-chulki-i-poyas-garter-set-blue-night/","9989")</f>
      </c>
      <c r="B8449" s="8" t="s">
        <v>8112</v>
      </c>
      <c r="C8449" s="9">
        <v>732</v>
      </c>
      <c r="D8449" s="0">
        <v>19</v>
      </c>
      <c r="E8449" s="10">
        <f>HYPERLINK("http://www.lingerieopt.ru/images/original/85a66fd9-50aa-46ff-8f77-ac09c9a383aa.jpg","Фото")</f>
      </c>
    </row>
    <row r="8450">
      <c r="A8450" s="7">
        <f>HYPERLINK("http://www.lingerieopt.ru/item/9991-fantaziinje-chulki-calze-princessa-07/","9991")</f>
      </c>
      <c r="B8450" s="8" t="s">
        <v>8113</v>
      </c>
      <c r="C8450" s="9">
        <v>419</v>
      </c>
      <c r="D8450" s="0">
        <v>21</v>
      </c>
      <c r="E8450" s="10">
        <f>HYPERLINK("http://www.lingerieopt.ru/images/original/f6b9a2fe-fa5f-4e99-8020-64bb8cb1f9fe.jpg","Фото")</f>
      </c>
    </row>
    <row r="8451">
      <c r="A8451" s="7">
        <f>HYPERLINK("http://www.lingerieopt.ru/item/9991-fantaziinje-chulki-calze-princessa-07/","9991")</f>
      </c>
      <c r="B8451" s="8" t="s">
        <v>8114</v>
      </c>
      <c r="C8451" s="9">
        <v>419</v>
      </c>
      <c r="D8451" s="0">
        <v>28</v>
      </c>
      <c r="E8451" s="10">
        <f>HYPERLINK("http://www.lingerieopt.ru/images/original/f6b9a2fe-fa5f-4e99-8020-64bb8cb1f9fe.jpg","Фото")</f>
      </c>
    </row>
    <row r="8452">
      <c r="A8452" s="7">
        <f>HYPERLINK("http://www.lingerieopt.ru/item/9992-soblaznitelnje-chulki-calze-princessa-08/","9992")</f>
      </c>
      <c r="B8452" s="8" t="s">
        <v>8115</v>
      </c>
      <c r="C8452" s="9">
        <v>381</v>
      </c>
      <c r="D8452" s="0">
        <v>0</v>
      </c>
      <c r="E8452" s="10">
        <f>HYPERLINK("http://www.lingerieopt.ru/images/original/c8c84624-2232-4f9f-b993-9b589672a419.jpg","Фото")</f>
      </c>
    </row>
    <row r="8453">
      <c r="A8453" s="7">
        <f>HYPERLINK("http://www.lingerieopt.ru/item/9992-soblaznitelnje-chulki-calze-princessa-08/","9992")</f>
      </c>
      <c r="B8453" s="8" t="s">
        <v>8116</v>
      </c>
      <c r="C8453" s="9">
        <v>381</v>
      </c>
      <c r="D8453" s="0">
        <v>1</v>
      </c>
      <c r="E8453" s="10">
        <f>HYPERLINK("http://www.lingerieopt.ru/images/original/c8c84624-2232-4f9f-b993-9b589672a419.jpg","Фото")</f>
      </c>
    </row>
    <row r="8454">
      <c r="A8454" s="7">
        <f>HYPERLINK("http://www.lingerieopt.ru/item/9993-chulki-s-cvetkom-calze-princessa-09/","9993")</f>
      </c>
      <c r="B8454" s="8" t="s">
        <v>8117</v>
      </c>
      <c r="C8454" s="9">
        <v>432</v>
      </c>
      <c r="D8454" s="0">
        <v>31</v>
      </c>
      <c r="E8454" s="10">
        <f>HYPERLINK("http://www.lingerieopt.ru/images/original/eacc8efd-ed86-4beb-877f-9741a23bd950.jpg","Фото")</f>
      </c>
    </row>
    <row r="8455">
      <c r="A8455" s="7">
        <f>HYPERLINK("http://www.lingerieopt.ru/item/9993-chulki-s-cvetkom-calze-princessa-09/","9993")</f>
      </c>
      <c r="B8455" s="8" t="s">
        <v>8118</v>
      </c>
      <c r="C8455" s="9">
        <v>432</v>
      </c>
      <c r="D8455" s="0">
        <v>30</v>
      </c>
      <c r="E8455" s="10">
        <f>HYPERLINK("http://www.lingerieopt.ru/images/original/eacc8efd-ed86-4beb-877f-9741a23bd950.jpg","Фото")</f>
      </c>
    </row>
    <row r="8456">
      <c r="A8456" s="7">
        <f>HYPERLINK("http://www.lingerieopt.ru/item/9994-chulki-pod-poyas-calze-princessa-10/","9994")</f>
      </c>
      <c r="B8456" s="8" t="s">
        <v>8119</v>
      </c>
      <c r="C8456" s="9">
        <v>203</v>
      </c>
      <c r="D8456" s="0">
        <v>22</v>
      </c>
      <c r="E8456" s="10">
        <f>HYPERLINK("http://www.lingerieopt.ru/images/original/e85b14d0-0ad1-4471-856a-30b66ba7eb8b.jpg","Фото")</f>
      </c>
    </row>
    <row r="8457">
      <c r="A8457" s="7">
        <f>HYPERLINK("http://www.lingerieopt.ru/item/9994-chulki-pod-poyas-calze-princessa-10/","9994")</f>
      </c>
      <c r="B8457" s="8" t="s">
        <v>8120</v>
      </c>
      <c r="C8457" s="9">
        <v>203</v>
      </c>
      <c r="D8457" s="0">
        <v>12</v>
      </c>
      <c r="E8457" s="10">
        <f>HYPERLINK("http://www.lingerieopt.ru/images/original/e85b14d0-0ad1-4471-856a-30b66ba7eb8b.jpg","Фото")</f>
      </c>
    </row>
    <row r="8458">
      <c r="A8458" s="7">
        <f>HYPERLINK("http://www.lingerieopt.ru/item/9995-chulki-v-setku-calze-princessa-11/","9995")</f>
      </c>
      <c r="B8458" s="8" t="s">
        <v>8121</v>
      </c>
      <c r="C8458" s="9">
        <v>292</v>
      </c>
      <c r="D8458" s="0">
        <v>0</v>
      </c>
      <c r="E8458" s="10">
        <f>HYPERLINK("http://www.lingerieopt.ru/images/original/570797bb-1cee-45b5-9fc5-3c21e4fc284d.jpg","Фото")</f>
      </c>
    </row>
    <row r="8459">
      <c r="A8459" s="7">
        <f>HYPERLINK("http://www.lingerieopt.ru/item/9995-chulki-v-setku-calze-princessa-11/","9995")</f>
      </c>
      <c r="B8459" s="8" t="s">
        <v>8122</v>
      </c>
      <c r="C8459" s="9">
        <v>292</v>
      </c>
      <c r="D8459" s="0">
        <v>7</v>
      </c>
      <c r="E8459" s="10">
        <f>HYPERLINK("http://www.lingerieopt.ru/images/original/570797bb-1cee-45b5-9fc5-3c21e4fc284d.jpg","Фото")</f>
      </c>
    </row>
    <row r="8460">
      <c r="A8460" s="7">
        <f>HYPERLINK("http://www.lingerieopt.ru/item/10005-chulki-v-krupnuyu-setku-calze-153/","10005")</f>
      </c>
      <c r="B8460" s="8" t="s">
        <v>8123</v>
      </c>
      <c r="C8460" s="9">
        <v>381</v>
      </c>
      <c r="D8460" s="0">
        <v>3</v>
      </c>
      <c r="E8460" s="10">
        <f>HYPERLINK("http://www.lingerieopt.ru/images/original/33bc089d-8511-46f6-a5ce-c1d164b5dea3.jpg","Фото")</f>
      </c>
    </row>
    <row r="8461">
      <c r="A8461" s="7">
        <f>HYPERLINK("http://www.lingerieopt.ru/item/10005-chulki-v-krupnuyu-setku-calze-153/","10005")</f>
      </c>
      <c r="B8461" s="8" t="s">
        <v>8124</v>
      </c>
      <c r="C8461" s="9">
        <v>381</v>
      </c>
      <c r="D8461" s="0">
        <v>12</v>
      </c>
      <c r="E8461" s="10">
        <f>HYPERLINK("http://www.lingerieopt.ru/images/original/33bc089d-8511-46f6-a5ce-c1d164b5dea3.jpg","Фото")</f>
      </c>
    </row>
    <row r="8462">
      <c r="A8462" s="7">
        <f>HYPERLINK("http://www.lingerieopt.ru/item/10005-chulki-v-krupnuyu-setku-calze-153/","10005")</f>
      </c>
      <c r="B8462" s="8" t="s">
        <v>8125</v>
      </c>
      <c r="C8462" s="9">
        <v>381</v>
      </c>
      <c r="D8462" s="0">
        <v>19</v>
      </c>
      <c r="E8462" s="10">
        <f>HYPERLINK("http://www.lingerieopt.ru/images/original/33bc089d-8511-46f6-a5ce-c1d164b5dea3.jpg","Фото")</f>
      </c>
    </row>
    <row r="8463">
      <c r="A8463" s="7">
        <f>HYPERLINK("http://www.lingerieopt.ru/item/10005-chulki-v-krupnuyu-setku-calze-153/","10005")</f>
      </c>
      <c r="B8463" s="8" t="s">
        <v>8126</v>
      </c>
      <c r="C8463" s="9">
        <v>381</v>
      </c>
      <c r="D8463" s="0">
        <v>8</v>
      </c>
      <c r="E8463" s="10">
        <f>HYPERLINK("http://www.lingerieopt.ru/images/original/33bc089d-8511-46f6-a5ce-c1d164b5dea3.jpg","Фото")</f>
      </c>
    </row>
    <row r="8464">
      <c r="A8464" s="7">
        <f>HYPERLINK("http://www.lingerieopt.ru/item/10005-chulki-v-krupnuyu-setku-calze-153/","10005")</f>
      </c>
      <c r="B8464" s="8" t="s">
        <v>8127</v>
      </c>
      <c r="C8464" s="9">
        <v>381</v>
      </c>
      <c r="D8464" s="0">
        <v>0</v>
      </c>
      <c r="E8464" s="10">
        <f>HYPERLINK("http://www.lingerieopt.ru/images/original/33bc089d-8511-46f6-a5ce-c1d164b5dea3.jpg","Фото")</f>
      </c>
    </row>
    <row r="8465">
      <c r="A8465" s="7">
        <f>HYPERLINK("http://www.lingerieopt.ru/item/10005-chulki-v-krupnuyu-setku-calze-153/","10005")</f>
      </c>
      <c r="B8465" s="8" t="s">
        <v>8128</v>
      </c>
      <c r="C8465" s="9">
        <v>381</v>
      </c>
      <c r="D8465" s="0">
        <v>1</v>
      </c>
      <c r="E8465" s="10">
        <f>HYPERLINK("http://www.lingerieopt.ru/images/original/33bc089d-8511-46f6-a5ce-c1d164b5dea3.jpg","Фото")</f>
      </c>
    </row>
    <row r="8466">
      <c r="A8466" s="7">
        <f>HYPERLINK("http://www.lingerieopt.ru/item/10006-chulki-calze-lux-s-polosatoi-rezinkoi-na-silikone/","10006")</f>
      </c>
      <c r="B8466" s="8" t="s">
        <v>8129</v>
      </c>
      <c r="C8466" s="9">
        <v>330</v>
      </c>
      <c r="D8466" s="0">
        <v>9</v>
      </c>
      <c r="E8466" s="10">
        <f>HYPERLINK("http://www.lingerieopt.ru/images/original/d242715c-3264-4b5f-9e40-dd99c53d6fbe.jpg","Фото")</f>
      </c>
    </row>
    <row r="8467">
      <c r="A8467" s="7">
        <f>HYPERLINK("http://www.lingerieopt.ru/item/10006-chulki-calze-lux-s-polosatoi-rezinkoi-na-silikone/","10006")</f>
      </c>
      <c r="B8467" s="8" t="s">
        <v>8130</v>
      </c>
      <c r="C8467" s="9">
        <v>330</v>
      </c>
      <c r="D8467" s="0">
        <v>4</v>
      </c>
      <c r="E8467" s="10">
        <f>HYPERLINK("http://www.lingerieopt.ru/images/original/d242715c-3264-4b5f-9e40-dd99c53d6fbe.jpg","Фото")</f>
      </c>
    </row>
    <row r="8468">
      <c r="A8468" s="7">
        <f>HYPERLINK("http://www.lingerieopt.ru/item/10006-chulki-calze-lux-s-polosatoi-rezinkoi-na-silikone/","10006")</f>
      </c>
      <c r="B8468" s="8" t="s">
        <v>8131</v>
      </c>
      <c r="C8468" s="9">
        <v>330</v>
      </c>
      <c r="D8468" s="0">
        <v>11</v>
      </c>
      <c r="E8468" s="10">
        <f>HYPERLINK("http://www.lingerieopt.ru/images/original/d242715c-3264-4b5f-9e40-dd99c53d6fbe.jpg","Фото")</f>
      </c>
    </row>
    <row r="8469">
      <c r="A8469" s="7">
        <f>HYPERLINK("http://www.lingerieopt.ru/item/10006-chulki-calze-lux-s-polosatoi-rezinkoi-na-silikone/","10006")</f>
      </c>
      <c r="B8469" s="8" t="s">
        <v>8132</v>
      </c>
      <c r="C8469" s="9">
        <v>330</v>
      </c>
      <c r="D8469" s="0">
        <v>9</v>
      </c>
      <c r="E8469" s="10">
        <f>HYPERLINK("http://www.lingerieopt.ru/images/original/d242715c-3264-4b5f-9e40-dd99c53d6fbe.jpg","Фото")</f>
      </c>
    </row>
    <row r="8470">
      <c r="A8470" s="7">
        <f>HYPERLINK("http://www.lingerieopt.ru/item/10006-chulki-calze-lux-s-polosatoi-rezinkoi-na-silikone/","10006")</f>
      </c>
      <c r="B8470" s="8" t="s">
        <v>8133</v>
      </c>
      <c r="C8470" s="9">
        <v>330</v>
      </c>
      <c r="D8470" s="0">
        <v>17</v>
      </c>
      <c r="E8470" s="10">
        <f>HYPERLINK("http://www.lingerieopt.ru/images/original/d242715c-3264-4b5f-9e40-dd99c53d6fbe.jpg","Фото")</f>
      </c>
    </row>
    <row r="8471">
      <c r="A8471" s="7">
        <f>HYPERLINK("http://www.lingerieopt.ru/item/10006-chulki-calze-lux-s-polosatoi-rezinkoi-na-silikone/","10006")</f>
      </c>
      <c r="B8471" s="8" t="s">
        <v>8134</v>
      </c>
      <c r="C8471" s="9">
        <v>330</v>
      </c>
      <c r="D8471" s="0">
        <v>19</v>
      </c>
      <c r="E8471" s="10">
        <f>HYPERLINK("http://www.lingerieopt.ru/images/original/d242715c-3264-4b5f-9e40-dd99c53d6fbe.jpg","Фото")</f>
      </c>
    </row>
    <row r="8472">
      <c r="A8472" s="7">
        <f>HYPERLINK("http://www.lingerieopt.ru/item/10007-chulki-v-setku-calze-151-s-rezinkoi-na-silikone/","10007")</f>
      </c>
      <c r="B8472" s="8" t="s">
        <v>8135</v>
      </c>
      <c r="C8472" s="9">
        <v>330</v>
      </c>
      <c r="D8472" s="0">
        <v>8</v>
      </c>
      <c r="E8472" s="10">
        <f>HYPERLINK("http://www.lingerieopt.ru/images/original/135097da-fb1f-46ff-8f13-33413e8f2ade.jpg","Фото")</f>
      </c>
    </row>
    <row r="8473">
      <c r="A8473" s="7">
        <f>HYPERLINK("http://www.lingerieopt.ru/item/10007-chulki-v-setku-calze-151-s-rezinkoi-na-silikone/","10007")</f>
      </c>
      <c r="B8473" s="8" t="s">
        <v>8136</v>
      </c>
      <c r="C8473" s="9">
        <v>330</v>
      </c>
      <c r="D8473" s="0">
        <v>3</v>
      </c>
      <c r="E8473" s="10">
        <f>HYPERLINK("http://www.lingerieopt.ru/images/original/135097da-fb1f-46ff-8f13-33413e8f2ade.jpg","Фото")</f>
      </c>
    </row>
    <row r="8474">
      <c r="A8474" s="7">
        <f>HYPERLINK("http://www.lingerieopt.ru/item/10007-chulki-v-setku-calze-151-s-rezinkoi-na-silikone/","10007")</f>
      </c>
      <c r="B8474" s="8" t="s">
        <v>8137</v>
      </c>
      <c r="C8474" s="9">
        <v>330</v>
      </c>
      <c r="D8474" s="0">
        <v>52</v>
      </c>
      <c r="E8474" s="10">
        <f>HYPERLINK("http://www.lingerieopt.ru/images/original/135097da-fb1f-46ff-8f13-33413e8f2ade.jpg","Фото")</f>
      </c>
    </row>
    <row r="8475">
      <c r="A8475" s="7">
        <f>HYPERLINK("http://www.lingerieopt.ru/item/10007-chulki-v-setku-calze-151-s-rezinkoi-na-silikone/","10007")</f>
      </c>
      <c r="B8475" s="8" t="s">
        <v>8138</v>
      </c>
      <c r="C8475" s="9">
        <v>330</v>
      </c>
      <c r="D8475" s="0">
        <v>55</v>
      </c>
      <c r="E8475" s="10">
        <f>HYPERLINK("http://www.lingerieopt.ru/images/original/135097da-fb1f-46ff-8f13-33413e8f2ade.jpg","Фото")</f>
      </c>
    </row>
    <row r="8476">
      <c r="A8476" s="7">
        <f>HYPERLINK("http://www.lingerieopt.ru/item/10007-chulki-v-setku-calze-151-s-rezinkoi-na-silikone/","10007")</f>
      </c>
      <c r="B8476" s="8" t="s">
        <v>8139</v>
      </c>
      <c r="C8476" s="9">
        <v>330</v>
      </c>
      <c r="D8476" s="0">
        <v>51</v>
      </c>
      <c r="E8476" s="10">
        <f>HYPERLINK("http://www.lingerieopt.ru/images/original/135097da-fb1f-46ff-8f13-33413e8f2ade.jpg","Фото")</f>
      </c>
    </row>
    <row r="8477">
      <c r="A8477" s="7">
        <f>HYPERLINK("http://www.lingerieopt.ru/item/10007-chulki-v-setku-calze-151-s-rezinkoi-na-silikone/","10007")</f>
      </c>
      <c r="B8477" s="8" t="s">
        <v>8140</v>
      </c>
      <c r="C8477" s="9">
        <v>330</v>
      </c>
      <c r="D8477" s="0">
        <v>39</v>
      </c>
      <c r="E8477" s="10">
        <f>HYPERLINK("http://www.lingerieopt.ru/images/original/135097da-fb1f-46ff-8f13-33413e8f2ade.jpg","Фото")</f>
      </c>
    </row>
    <row r="8478">
      <c r="A8478" s="7">
        <f>HYPERLINK("http://www.lingerieopt.ru/item/10008-chulki-calze-155-so-strelkami/","10008")</f>
      </c>
      <c r="B8478" s="8" t="s">
        <v>8141</v>
      </c>
      <c r="C8478" s="9">
        <v>406</v>
      </c>
      <c r="D8478" s="0">
        <v>1</v>
      </c>
      <c r="E8478" s="10">
        <f>HYPERLINK("http://www.lingerieopt.ru/images/original/09af8a93-fb31-484c-a116-623810545071.jpg","Фото")</f>
      </c>
    </row>
    <row r="8479">
      <c r="A8479" s="7">
        <f>HYPERLINK("http://www.lingerieopt.ru/item/10008-chulki-calze-155-so-strelkami/","10008")</f>
      </c>
      <c r="B8479" s="8" t="s">
        <v>8142</v>
      </c>
      <c r="C8479" s="9">
        <v>406</v>
      </c>
      <c r="D8479" s="0">
        <v>3</v>
      </c>
      <c r="E8479" s="10">
        <f>HYPERLINK("http://www.lingerieopt.ru/images/original/09af8a93-fb31-484c-a116-623810545071.jpg","Фото")</f>
      </c>
    </row>
    <row r="8480">
      <c r="A8480" s="7">
        <f>HYPERLINK("http://www.lingerieopt.ru/item/10008-chulki-calze-155-so-strelkami/","10008")</f>
      </c>
      <c r="B8480" s="8" t="s">
        <v>8143</v>
      </c>
      <c r="C8480" s="9">
        <v>406</v>
      </c>
      <c r="D8480" s="0">
        <v>17</v>
      </c>
      <c r="E8480" s="10">
        <f>HYPERLINK("http://www.lingerieopt.ru/images/original/09af8a93-fb31-484c-a116-623810545071.jpg","Фото")</f>
      </c>
    </row>
    <row r="8481">
      <c r="A8481" s="7">
        <f>HYPERLINK("http://www.lingerieopt.ru/item/10008-chulki-calze-155-so-strelkami/","10008")</f>
      </c>
      <c r="B8481" s="8" t="s">
        <v>8144</v>
      </c>
      <c r="C8481" s="9">
        <v>406</v>
      </c>
      <c r="D8481" s="0">
        <v>14</v>
      </c>
      <c r="E8481" s="10">
        <f>HYPERLINK("http://www.lingerieopt.ru/images/original/09af8a93-fb31-484c-a116-623810545071.jpg","Фото")</f>
      </c>
    </row>
    <row r="8482">
      <c r="A8482" s="7">
        <f>HYPERLINK("http://www.lingerieopt.ru/item/10008-chulki-calze-155-so-strelkami/","10008")</f>
      </c>
      <c r="B8482" s="8" t="s">
        <v>8145</v>
      </c>
      <c r="C8482" s="9">
        <v>406</v>
      </c>
      <c r="D8482" s="0">
        <v>8</v>
      </c>
      <c r="E8482" s="10">
        <f>HYPERLINK("http://www.lingerieopt.ru/images/original/09af8a93-fb31-484c-a116-623810545071.jpg","Фото")</f>
      </c>
    </row>
    <row r="8483">
      <c r="A8483" s="7">
        <f>HYPERLINK("http://www.lingerieopt.ru/item/10008-chulki-calze-155-so-strelkami/","10008")</f>
      </c>
      <c r="B8483" s="8" t="s">
        <v>8146</v>
      </c>
      <c r="C8483" s="9">
        <v>406</v>
      </c>
      <c r="D8483" s="0">
        <v>17</v>
      </c>
      <c r="E8483" s="10">
        <f>HYPERLINK("http://www.lingerieopt.ru/images/original/09af8a93-fb31-484c-a116-623810545071.jpg","Фото")</f>
      </c>
    </row>
    <row r="8484">
      <c r="A8484" s="7">
        <f>HYPERLINK("http://www.lingerieopt.ru/item/10009-chulki-calze-classic-s-kruzhevnoi-rezinkoi-s-cvetochnjm-uzorom/","10009")</f>
      </c>
      <c r="B8484" s="8" t="s">
        <v>8147</v>
      </c>
      <c r="C8484" s="9">
        <v>330</v>
      </c>
      <c r="D8484" s="0">
        <v>1</v>
      </c>
      <c r="E8484" s="10">
        <f>HYPERLINK("http://www.lingerieopt.ru/images/original/fa399263-6079-4e7e-b273-343b5adcf6c1.jpg","Фото")</f>
      </c>
    </row>
    <row r="8485">
      <c r="A8485" s="7">
        <f>HYPERLINK("http://www.lingerieopt.ru/item/10009-chulki-calze-classic-s-kruzhevnoi-rezinkoi-s-cvetochnjm-uzorom/","10009")</f>
      </c>
      <c r="B8485" s="8" t="s">
        <v>8148</v>
      </c>
      <c r="C8485" s="9">
        <v>330</v>
      </c>
      <c r="D8485" s="0">
        <v>3</v>
      </c>
      <c r="E8485" s="10">
        <f>HYPERLINK("http://www.lingerieopt.ru/images/original/fa399263-6079-4e7e-b273-343b5adcf6c1.jpg","Фото")</f>
      </c>
    </row>
    <row r="8486">
      <c r="A8486" s="7">
        <f>HYPERLINK("http://www.lingerieopt.ru/item/10009-chulki-calze-classic-s-kruzhevnoi-rezinkoi-s-cvetochnjm-uzorom/","10009")</f>
      </c>
      <c r="B8486" s="8" t="s">
        <v>8149</v>
      </c>
      <c r="C8486" s="9">
        <v>330</v>
      </c>
      <c r="D8486" s="0">
        <v>10</v>
      </c>
      <c r="E8486" s="10">
        <f>HYPERLINK("http://www.lingerieopt.ru/images/original/fa399263-6079-4e7e-b273-343b5adcf6c1.jpg","Фото")</f>
      </c>
    </row>
    <row r="8487">
      <c r="A8487" s="7">
        <f>HYPERLINK("http://www.lingerieopt.ru/item/10009-chulki-calze-classic-s-kruzhevnoi-rezinkoi-s-cvetochnjm-uzorom/","10009")</f>
      </c>
      <c r="B8487" s="8" t="s">
        <v>8150</v>
      </c>
      <c r="C8487" s="9">
        <v>330</v>
      </c>
      <c r="D8487" s="0">
        <v>19</v>
      </c>
      <c r="E8487" s="10">
        <f>HYPERLINK("http://www.lingerieopt.ru/images/original/fa399263-6079-4e7e-b273-343b5adcf6c1.jpg","Фото")</f>
      </c>
    </row>
    <row r="8488">
      <c r="A8488" s="7">
        <f>HYPERLINK("http://www.lingerieopt.ru/item/10009-chulki-calze-classic-s-kruzhevnoi-rezinkoi-s-cvetochnjm-uzorom/","10009")</f>
      </c>
      <c r="B8488" s="8" t="s">
        <v>8151</v>
      </c>
      <c r="C8488" s="9">
        <v>330</v>
      </c>
      <c r="D8488" s="0">
        <v>25</v>
      </c>
      <c r="E8488" s="10">
        <f>HYPERLINK("http://www.lingerieopt.ru/images/original/fa399263-6079-4e7e-b273-343b5adcf6c1.jpg","Фото")</f>
      </c>
    </row>
    <row r="8489">
      <c r="A8489" s="7">
        <f>HYPERLINK("http://www.lingerieopt.ru/item/10009-chulki-calze-classic-s-kruzhevnoi-rezinkoi-s-cvetochnjm-uzorom/","10009")</f>
      </c>
      <c r="B8489" s="8" t="s">
        <v>8152</v>
      </c>
      <c r="C8489" s="9">
        <v>330</v>
      </c>
      <c r="D8489" s="0">
        <v>2</v>
      </c>
      <c r="E8489" s="10">
        <f>HYPERLINK("http://www.lingerieopt.ru/images/original/fa399263-6079-4e7e-b273-343b5adcf6c1.jpg","Фото")</f>
      </c>
    </row>
    <row r="8490">
      <c r="A8490" s="7">
        <f>HYPERLINK("http://www.lingerieopt.ru/item/10010-roskoshnje-chulki-calze-etiennett/","10010")</f>
      </c>
      <c r="B8490" s="8" t="s">
        <v>8153</v>
      </c>
      <c r="C8490" s="9">
        <v>720</v>
      </c>
      <c r="D8490" s="0">
        <v>20</v>
      </c>
      <c r="E8490" s="10">
        <f>HYPERLINK("http://www.lingerieopt.ru/images/original/c46ba6fd-1ccd-421c-a404-003f6773bc06.jpg","Фото")</f>
      </c>
    </row>
    <row r="8491">
      <c r="A8491" s="7">
        <f>HYPERLINK("http://www.lingerieopt.ru/item/10010-roskoshnje-chulki-calze-etiennett/","10010")</f>
      </c>
      <c r="B8491" s="8" t="s">
        <v>8154</v>
      </c>
      <c r="C8491" s="9">
        <v>720</v>
      </c>
      <c r="D8491" s="0">
        <v>77</v>
      </c>
      <c r="E8491" s="10">
        <f>HYPERLINK("http://www.lingerieopt.ru/images/original/c46ba6fd-1ccd-421c-a404-003f6773bc06.jpg","Фото")</f>
      </c>
    </row>
    <row r="8492">
      <c r="A8492" s="7">
        <f>HYPERLINK("http://www.lingerieopt.ru/item/10010-roskoshnje-chulki-calze-etiennett/","10010")</f>
      </c>
      <c r="B8492" s="8" t="s">
        <v>8155</v>
      </c>
      <c r="C8492" s="9">
        <v>720</v>
      </c>
      <c r="D8492" s="0">
        <v>73</v>
      </c>
      <c r="E8492" s="10">
        <f>HYPERLINK("http://www.lingerieopt.ru/images/original/c46ba6fd-1ccd-421c-a404-003f6773bc06.jpg","Фото")</f>
      </c>
    </row>
    <row r="8493">
      <c r="A8493" s="7">
        <f>HYPERLINK("http://www.lingerieopt.ru/item/10010-roskoshnje-chulki-calze-etiennett/","10010")</f>
      </c>
      <c r="B8493" s="8" t="s">
        <v>8156</v>
      </c>
      <c r="C8493" s="9">
        <v>720</v>
      </c>
      <c r="D8493" s="0">
        <v>27</v>
      </c>
      <c r="E8493" s="10">
        <f>HYPERLINK("http://www.lingerieopt.ru/images/original/c46ba6fd-1ccd-421c-a404-003f6773bc06.jpg","Фото")</f>
      </c>
    </row>
    <row r="8494">
      <c r="A8494" s="7">
        <f>HYPERLINK("http://www.lingerieopt.ru/item/10010-roskoshnje-chulki-calze-etiennett/","10010")</f>
      </c>
      <c r="B8494" s="8" t="s">
        <v>8157</v>
      </c>
      <c r="C8494" s="9">
        <v>720</v>
      </c>
      <c r="D8494" s="0">
        <v>14</v>
      </c>
      <c r="E8494" s="10">
        <f>HYPERLINK("http://www.lingerieopt.ru/images/original/c46ba6fd-1ccd-421c-a404-003f6773bc06.jpg","Фото")</f>
      </c>
    </row>
    <row r="8495">
      <c r="A8495" s="7">
        <f>HYPERLINK("http://www.lingerieopt.ru/item/10010-roskoshnje-chulki-calze-etiennett/","10010")</f>
      </c>
      <c r="B8495" s="8" t="s">
        <v>8158</v>
      </c>
      <c r="C8495" s="9">
        <v>720</v>
      </c>
      <c r="D8495" s="0">
        <v>12</v>
      </c>
      <c r="E8495" s="10">
        <f>HYPERLINK("http://www.lingerieopt.ru/images/original/c46ba6fd-1ccd-421c-a404-003f6773bc06.jpg","Фото")</f>
      </c>
    </row>
    <row r="8496">
      <c r="A8496" s="7">
        <f>HYPERLINK("http://www.lingerieopt.ru/item/10012-chulki-i-poyas-iz-azhura-garter-set-shadow/","10012")</f>
      </c>
      <c r="B8496" s="8" t="s">
        <v>8159</v>
      </c>
      <c r="C8496" s="9">
        <v>720</v>
      </c>
      <c r="D8496" s="0">
        <v>6</v>
      </c>
      <c r="E8496" s="10">
        <f>HYPERLINK("http://www.lingerieopt.ru/images/original/aab30fed-6e78-41f1-a8cb-4b63dac07a17.jpg","Фото")</f>
      </c>
    </row>
    <row r="8497">
      <c r="A8497" s="7">
        <f>HYPERLINK("http://www.lingerieopt.ru/item/10012-chulki-i-poyas-iz-azhura-garter-set-shadow/","10012")</f>
      </c>
      <c r="B8497" s="8" t="s">
        <v>8160</v>
      </c>
      <c r="C8497" s="9">
        <v>720</v>
      </c>
      <c r="D8497" s="0">
        <v>5</v>
      </c>
      <c r="E8497" s="10">
        <f>HYPERLINK("http://www.lingerieopt.ru/images/original/aab30fed-6e78-41f1-a8cb-4b63dac07a17.jpg","Фото")</f>
      </c>
    </row>
    <row r="8498">
      <c r="A8498" s="7">
        <f>HYPERLINK("http://www.lingerieopt.ru/item/10012-chulki-i-poyas-iz-azhura-garter-set-shadow/","10012")</f>
      </c>
      <c r="B8498" s="8" t="s">
        <v>8161</v>
      </c>
      <c r="C8498" s="9">
        <v>720</v>
      </c>
      <c r="D8498" s="0">
        <v>27</v>
      </c>
      <c r="E8498" s="10">
        <f>HYPERLINK("http://www.lingerieopt.ru/images/original/aab30fed-6e78-41f1-a8cb-4b63dac07a17.jpg","Фото")</f>
      </c>
    </row>
    <row r="8499">
      <c r="A8499" s="7">
        <f>HYPERLINK("http://www.lingerieopt.ru/item/10012-chulki-i-poyas-iz-azhura-garter-set-shadow/","10012")</f>
      </c>
      <c r="B8499" s="8" t="s">
        <v>8162</v>
      </c>
      <c r="C8499" s="9">
        <v>720</v>
      </c>
      <c r="D8499" s="0">
        <v>5</v>
      </c>
      <c r="E8499" s="10">
        <f>HYPERLINK("http://www.lingerieopt.ru/images/original/aab30fed-6e78-41f1-a8cb-4b63dac07a17.jpg","Фото")</f>
      </c>
    </row>
    <row r="8500">
      <c r="A8500" s="7">
        <f>HYPERLINK("http://www.lingerieopt.ru/item/10012-chulki-i-poyas-iz-azhura-garter-set-shadow/","10012")</f>
      </c>
      <c r="B8500" s="8" t="s">
        <v>8163</v>
      </c>
      <c r="C8500" s="9">
        <v>720</v>
      </c>
      <c r="D8500" s="0">
        <v>8</v>
      </c>
      <c r="E8500" s="10">
        <f>HYPERLINK("http://www.lingerieopt.ru/images/original/aab30fed-6e78-41f1-a8cb-4b63dac07a17.jpg","Фото")</f>
      </c>
    </row>
    <row r="8501">
      <c r="A8501" s="7">
        <f>HYPERLINK("http://www.lingerieopt.ru/item/10012-chulki-i-poyas-iz-azhura-garter-set-shadow/","10012")</f>
      </c>
      <c r="B8501" s="8" t="s">
        <v>8164</v>
      </c>
      <c r="C8501" s="9">
        <v>720</v>
      </c>
      <c r="D8501" s="0">
        <v>16</v>
      </c>
      <c r="E8501" s="10">
        <f>HYPERLINK("http://www.lingerieopt.ru/images/original/aab30fed-6e78-41f1-a8cb-4b63dac07a17.jpg","Фото")</f>
      </c>
    </row>
    <row r="8502">
      <c r="A8502" s="7">
        <f>HYPERLINK("http://www.lingerieopt.ru/item/10017-fantaziinje-chulki-gala-s-gladkoi-rezinkoi-na-silikonovoi-osnove/","10017")</f>
      </c>
      <c r="B8502" s="8" t="s">
        <v>8165</v>
      </c>
      <c r="C8502" s="9">
        <v>508</v>
      </c>
      <c r="D8502" s="0">
        <v>0</v>
      </c>
      <c r="E8502" s="10">
        <f>HYPERLINK("http://www.lingerieopt.ru/images/original/c069d987-6f1e-4a48-8465-8fe2ca15439c.jpg","Фото")</f>
      </c>
    </row>
    <row r="8503">
      <c r="A8503" s="7">
        <f>HYPERLINK("http://www.lingerieopt.ru/item/10017-fantaziinje-chulki-gala-s-gladkoi-rezinkoi-na-silikonovoi-osnove/","10017")</f>
      </c>
      <c r="B8503" s="8" t="s">
        <v>8166</v>
      </c>
      <c r="C8503" s="9">
        <v>508</v>
      </c>
      <c r="D8503" s="0">
        <v>19</v>
      </c>
      <c r="E8503" s="10">
        <f>HYPERLINK("http://www.lingerieopt.ru/images/original/c069d987-6f1e-4a48-8465-8fe2ca15439c.jpg","Фото")</f>
      </c>
    </row>
    <row r="8504">
      <c r="A8504" s="7">
        <f>HYPERLINK("http://www.lingerieopt.ru/item/10017-fantaziinje-chulki-gala-s-gladkoi-rezinkoi-na-silikonovoi-osnove/","10017")</f>
      </c>
      <c r="B8504" s="8" t="s">
        <v>8167</v>
      </c>
      <c r="C8504" s="9">
        <v>508</v>
      </c>
      <c r="D8504" s="0">
        <v>19</v>
      </c>
      <c r="E8504" s="10">
        <f>HYPERLINK("http://www.lingerieopt.ru/images/original/c069d987-6f1e-4a48-8465-8fe2ca15439c.jpg","Фото")</f>
      </c>
    </row>
    <row r="8505">
      <c r="A8505" s="7">
        <f>HYPERLINK("http://www.lingerieopt.ru/item/10017-fantaziinje-chulki-gala-s-gladkoi-rezinkoi-na-silikonovoi-osnove/","10017")</f>
      </c>
      <c r="B8505" s="8" t="s">
        <v>8168</v>
      </c>
      <c r="C8505" s="9">
        <v>508</v>
      </c>
      <c r="D8505" s="0">
        <v>0</v>
      </c>
      <c r="E8505" s="10">
        <f>HYPERLINK("http://www.lingerieopt.ru/images/original/c069d987-6f1e-4a48-8465-8fe2ca15439c.jpg","Фото")</f>
      </c>
    </row>
    <row r="8506">
      <c r="A8506" s="7">
        <f>HYPERLINK("http://www.lingerieopt.ru/item/10018-fantaziinje-chulki-rene-s-gladkoi-rezinkoi/","10018")</f>
      </c>
      <c r="B8506" s="8" t="s">
        <v>8169</v>
      </c>
      <c r="C8506" s="9">
        <v>444</v>
      </c>
      <c r="D8506" s="0">
        <v>35</v>
      </c>
      <c r="E8506" s="10">
        <f>HYPERLINK("http://www.lingerieopt.ru/images/original/e185a349-8abc-495c-8a92-937d9d6f4ad2.jpg","Фото")</f>
      </c>
    </row>
    <row r="8507">
      <c r="A8507" s="7">
        <f>HYPERLINK("http://www.lingerieopt.ru/item/10018-fantaziinje-chulki-rene-s-gladkoi-rezinkoi/","10018")</f>
      </c>
      <c r="B8507" s="8" t="s">
        <v>8170</v>
      </c>
      <c r="C8507" s="9">
        <v>444</v>
      </c>
      <c r="D8507" s="0">
        <v>29</v>
      </c>
      <c r="E8507" s="10">
        <f>HYPERLINK("http://www.lingerieopt.ru/images/original/e185a349-8abc-495c-8a92-937d9d6f4ad2.jpg","Фото")</f>
      </c>
    </row>
    <row r="8508">
      <c r="A8508" s="7">
        <f>HYPERLINK("http://www.lingerieopt.ru/item/10019-chulki-v-goroh-calze-puntina/","10019")</f>
      </c>
      <c r="B8508" s="8" t="s">
        <v>8171</v>
      </c>
      <c r="C8508" s="9">
        <v>508</v>
      </c>
      <c r="D8508" s="0">
        <v>5</v>
      </c>
      <c r="E8508" s="10">
        <f>HYPERLINK("http://www.lingerieopt.ru/images/original/f78adc17-dea9-425e-85d7-c94a5ee6d6a1.jpg","Фото")</f>
      </c>
    </row>
    <row r="8509">
      <c r="A8509" s="7">
        <f>HYPERLINK("http://www.lingerieopt.ru/item/10019-chulki-v-goroh-calze-puntina/","10019")</f>
      </c>
      <c r="B8509" s="8" t="s">
        <v>8172</v>
      </c>
      <c r="C8509" s="9">
        <v>508</v>
      </c>
      <c r="D8509" s="0">
        <v>5</v>
      </c>
      <c r="E8509" s="10">
        <f>HYPERLINK("http://www.lingerieopt.ru/images/original/f78adc17-dea9-425e-85d7-c94a5ee6d6a1.jpg","Фото")</f>
      </c>
    </row>
    <row r="8510">
      <c r="A8510" s="7">
        <f>HYPERLINK("http://www.lingerieopt.ru/item/10024-chulki-lana-s-azhurnoi-rezinkoi/","10024")</f>
      </c>
      <c r="B8510" s="8" t="s">
        <v>8173</v>
      </c>
      <c r="C8510" s="9">
        <v>508</v>
      </c>
      <c r="D8510" s="0">
        <v>27</v>
      </c>
      <c r="E8510" s="10">
        <f>HYPERLINK("http://www.lingerieopt.ru/images/original/8e881dd2-559c-47bb-9497-84bf1ab5ebba.jpg","Фото")</f>
      </c>
    </row>
    <row r="8511">
      <c r="A8511" s="7">
        <f>HYPERLINK("http://www.lingerieopt.ru/item/10024-chulki-lana-s-azhurnoi-rezinkoi/","10024")</f>
      </c>
      <c r="B8511" s="8" t="s">
        <v>8174</v>
      </c>
      <c r="C8511" s="9">
        <v>508</v>
      </c>
      <c r="D8511" s="0">
        <v>16</v>
      </c>
      <c r="E8511" s="10">
        <f>HYPERLINK("http://www.lingerieopt.ru/images/original/8e881dd2-559c-47bb-9497-84bf1ab5ebba.jpg","Фото")</f>
      </c>
    </row>
    <row r="8512">
      <c r="A8512" s="7">
        <f>HYPERLINK("http://www.lingerieopt.ru/item/10036-chulki-alva-iz-mikrofibrj/","10036")</f>
      </c>
      <c r="B8512" s="8" t="s">
        <v>8175</v>
      </c>
      <c r="C8512" s="9">
        <v>495</v>
      </c>
      <c r="D8512" s="0">
        <v>4</v>
      </c>
      <c r="E8512" s="10">
        <f>HYPERLINK("http://www.lingerieopt.ru/images/original/e28b4d2e-0bd2-4206-b451-e84f3cdab704.jpg","Фото")</f>
      </c>
    </row>
    <row r="8513">
      <c r="A8513" s="7">
        <f>HYPERLINK("http://www.lingerieopt.ru/item/10036-chulki-alva-iz-mikrofibrj/","10036")</f>
      </c>
      <c r="B8513" s="8" t="s">
        <v>8176</v>
      </c>
      <c r="C8513" s="9">
        <v>495</v>
      </c>
      <c r="D8513" s="0">
        <v>24</v>
      </c>
      <c r="E8513" s="10">
        <f>HYPERLINK("http://www.lingerieopt.ru/images/original/e28b4d2e-0bd2-4206-b451-e84f3cdab704.jpg","Фото")</f>
      </c>
    </row>
    <row r="8514">
      <c r="A8514" s="7">
        <f>HYPERLINK("http://www.lingerieopt.ru/item/10037-chulki-lovia-s-rezinkoi-na-silikone/","10037")</f>
      </c>
      <c r="B8514" s="8" t="s">
        <v>8177</v>
      </c>
      <c r="C8514" s="9">
        <v>444</v>
      </c>
      <c r="D8514" s="0">
        <v>30</v>
      </c>
      <c r="E8514" s="10">
        <f>HYPERLINK("http://www.lingerieopt.ru/images/original/aee71c7e-8083-425f-8709-ec1f2cac75df.jpg","Фото")</f>
      </c>
    </row>
    <row r="8515">
      <c r="A8515" s="7">
        <f>HYPERLINK("http://www.lingerieopt.ru/item/10037-chulki-lovia-s-rezinkoi-na-silikone/","10037")</f>
      </c>
      <c r="B8515" s="8" t="s">
        <v>8178</v>
      </c>
      <c r="C8515" s="9">
        <v>444</v>
      </c>
      <c r="D8515" s="0">
        <v>51</v>
      </c>
      <c r="E8515" s="10">
        <f>HYPERLINK("http://www.lingerieopt.ru/images/original/aee71c7e-8083-425f-8709-ec1f2cac75df.jpg","Фото")</f>
      </c>
    </row>
    <row r="8516">
      <c r="A8516" s="7">
        <f>HYPERLINK("http://www.lingerieopt.ru/item/10037-chulki-lovia-s-rezinkoi-na-silikone/","10037")</f>
      </c>
      <c r="B8516" s="8" t="s">
        <v>8179</v>
      </c>
      <c r="C8516" s="9">
        <v>444</v>
      </c>
      <c r="D8516" s="0">
        <v>30</v>
      </c>
      <c r="E8516" s="10">
        <f>HYPERLINK("http://www.lingerieopt.ru/images/original/aee71c7e-8083-425f-8709-ec1f2cac75df.jpg","Фото")</f>
      </c>
    </row>
    <row r="8517">
      <c r="A8517" s="7">
        <f>HYPERLINK("http://www.lingerieopt.ru/item/10037-chulki-lovia-s-rezinkoi-na-silikone/","10037")</f>
      </c>
      <c r="B8517" s="8" t="s">
        <v>8180</v>
      </c>
      <c r="C8517" s="9">
        <v>444</v>
      </c>
      <c r="D8517" s="0">
        <v>26</v>
      </c>
      <c r="E8517" s="10">
        <f>HYPERLINK("http://www.lingerieopt.ru/images/original/aee71c7e-8083-425f-8709-ec1f2cac75df.jpg","Фото")</f>
      </c>
    </row>
    <row r="8518">
      <c r="A8518" s="7">
        <f>HYPERLINK("http://www.lingerieopt.ru/item/10038-chulki-capri-s-silikonom-na-rezinke/","10038")</f>
      </c>
      <c r="B8518" s="8" t="s">
        <v>8181</v>
      </c>
      <c r="C8518" s="9">
        <v>444</v>
      </c>
      <c r="D8518" s="0">
        <v>44</v>
      </c>
      <c r="E8518" s="10">
        <f>HYPERLINK("http://www.lingerieopt.ru/images/original/c4bdcc95-9905-4ee7-9223-3f4893b06865.jpg","Фото")</f>
      </c>
    </row>
    <row r="8519">
      <c r="A8519" s="7">
        <f>HYPERLINK("http://www.lingerieopt.ru/item/10038-chulki-capri-s-silikonom-na-rezinke/","10038")</f>
      </c>
      <c r="B8519" s="8" t="s">
        <v>8182</v>
      </c>
      <c r="C8519" s="9">
        <v>444</v>
      </c>
      <c r="D8519" s="0">
        <v>30</v>
      </c>
      <c r="E8519" s="10">
        <f>HYPERLINK("http://www.lingerieopt.ru/images/original/c4bdcc95-9905-4ee7-9223-3f4893b06865.jpg","Фото")</f>
      </c>
    </row>
    <row r="8520">
      <c r="A8520" s="7">
        <f>HYPERLINK("http://www.lingerieopt.ru/item/10038-chulki-capri-s-silikonom-na-rezinke/","10038")</f>
      </c>
      <c r="B8520" s="8" t="s">
        <v>8183</v>
      </c>
      <c r="C8520" s="9">
        <v>444</v>
      </c>
      <c r="D8520" s="0">
        <v>45</v>
      </c>
      <c r="E8520" s="10">
        <f>HYPERLINK("http://www.lingerieopt.ru/images/original/c4bdcc95-9905-4ee7-9223-3f4893b06865.jpg","Фото")</f>
      </c>
    </row>
    <row r="8521">
      <c r="A8521" s="7">
        <f>HYPERLINK("http://www.lingerieopt.ru/item/10038-chulki-capri-s-silikonom-na-rezinke/","10038")</f>
      </c>
      <c r="B8521" s="8" t="s">
        <v>8184</v>
      </c>
      <c r="C8521" s="9">
        <v>444</v>
      </c>
      <c r="D8521" s="0">
        <v>27</v>
      </c>
      <c r="E8521" s="10">
        <f>HYPERLINK("http://www.lingerieopt.ru/images/original/c4bdcc95-9905-4ee7-9223-3f4893b06865.jpg","Фото")</f>
      </c>
    </row>
    <row r="8522">
      <c r="A8522" s="7">
        <f>HYPERLINK("http://www.lingerieopt.ru/item/10039-chulochki-pod-poyas-calze-katia-15-den/","10039")</f>
      </c>
      <c r="B8522" s="8" t="s">
        <v>8185</v>
      </c>
      <c r="C8522" s="9">
        <v>203</v>
      </c>
      <c r="D8522" s="0">
        <v>7</v>
      </c>
      <c r="E8522" s="10">
        <f>HYPERLINK("http://www.lingerieopt.ru/images/original/0c5a0759-6d51-4f0e-a2f3-7dbc74c14aca.jpg","Фото")</f>
      </c>
    </row>
    <row r="8523">
      <c r="A8523" s="7">
        <f>HYPERLINK("http://www.lingerieopt.ru/item/10039-chulochki-pod-poyas-calze-katia-15-den/","10039")</f>
      </c>
      <c r="B8523" s="8" t="s">
        <v>8186</v>
      </c>
      <c r="C8523" s="9">
        <v>203</v>
      </c>
      <c r="D8523" s="0">
        <v>47</v>
      </c>
      <c r="E8523" s="10">
        <f>HYPERLINK("http://www.lingerieopt.ru/images/original/0c5a0759-6d51-4f0e-a2f3-7dbc74c14aca.jpg","Фото")</f>
      </c>
    </row>
    <row r="8524">
      <c r="A8524" s="7">
        <f>HYPERLINK("http://www.lingerieopt.ru/item/10039-chulochki-pod-poyas-calze-katia-15-den/","10039")</f>
      </c>
      <c r="B8524" s="8" t="s">
        <v>8187</v>
      </c>
      <c r="C8524" s="9">
        <v>203</v>
      </c>
      <c r="D8524" s="0">
        <v>53</v>
      </c>
      <c r="E8524" s="10">
        <f>HYPERLINK("http://www.lingerieopt.ru/images/original/0c5a0759-6d51-4f0e-a2f3-7dbc74c14aca.jpg","Фото")</f>
      </c>
    </row>
    <row r="8525">
      <c r="A8525" s="7">
        <f>HYPERLINK("http://www.lingerieopt.ru/item/10039-chulochki-pod-poyas-calze-katia-15-den/","10039")</f>
      </c>
      <c r="B8525" s="8" t="s">
        <v>8188</v>
      </c>
      <c r="C8525" s="9">
        <v>203</v>
      </c>
      <c r="D8525" s="0">
        <v>54</v>
      </c>
      <c r="E8525" s="10">
        <f>HYPERLINK("http://www.lingerieopt.ru/images/original/0c5a0759-6d51-4f0e-a2f3-7dbc74c14aca.jpg","Фото")</f>
      </c>
    </row>
    <row r="8526">
      <c r="A8526" s="7">
        <f>HYPERLINK("http://www.lingerieopt.ru/item/10040-chulki-s-kruzhevom-calze-exclusive-15-den/","10040")</f>
      </c>
      <c r="B8526" s="8" t="s">
        <v>8189</v>
      </c>
      <c r="C8526" s="9">
        <v>368</v>
      </c>
      <c r="D8526" s="0">
        <v>0</v>
      </c>
      <c r="E8526" s="10">
        <f>HYPERLINK("http://www.lingerieopt.ru/images/original/f4593828-81e5-46ae-a110-7490f8259ed2.jpg","Фото")</f>
      </c>
    </row>
    <row r="8527">
      <c r="A8527" s="7">
        <f>HYPERLINK("http://www.lingerieopt.ru/item/10040-chulki-s-kruzhevom-calze-exclusive-15-den/","10040")</f>
      </c>
      <c r="B8527" s="8" t="s">
        <v>8190</v>
      </c>
      <c r="C8527" s="9">
        <v>368</v>
      </c>
      <c r="D8527" s="0">
        <v>19</v>
      </c>
      <c r="E8527" s="10">
        <f>HYPERLINK("http://www.lingerieopt.ru/images/original/f4593828-81e5-46ae-a110-7490f8259ed2.jpg","Фото")</f>
      </c>
    </row>
    <row r="8528">
      <c r="A8528" s="7">
        <f>HYPERLINK("http://www.lingerieopt.ru/item/10040-chulki-s-kruzhevom-calze-exclusive-15-den/","10040")</f>
      </c>
      <c r="B8528" s="8" t="s">
        <v>8191</v>
      </c>
      <c r="C8528" s="9">
        <v>368</v>
      </c>
      <c r="D8528" s="0">
        <v>5</v>
      </c>
      <c r="E8528" s="10">
        <f>HYPERLINK("http://www.lingerieopt.ru/images/original/f4593828-81e5-46ae-a110-7490f8259ed2.jpg","Фото")</f>
      </c>
    </row>
    <row r="8529">
      <c r="A8529" s="7">
        <f>HYPERLINK("http://www.lingerieopt.ru/item/10040-chulki-s-kruzhevom-calze-exclusive-15-den/","10040")</f>
      </c>
      <c r="B8529" s="8" t="s">
        <v>8192</v>
      </c>
      <c r="C8529" s="9">
        <v>368</v>
      </c>
      <c r="D8529" s="0">
        <v>27</v>
      </c>
      <c r="E8529" s="10">
        <f>HYPERLINK("http://www.lingerieopt.ru/images/original/f4593828-81e5-46ae-a110-7490f8259ed2.jpg","Фото")</f>
      </c>
    </row>
    <row r="8530">
      <c r="A8530" s="7">
        <f>HYPERLINK("http://www.lingerieopt.ru/item/10041-chulki-s-polosatoi-rezinkoi-calze-lux-15-den/","10041")</f>
      </c>
      <c r="B8530" s="8" t="s">
        <v>8193</v>
      </c>
      <c r="C8530" s="9">
        <v>279</v>
      </c>
      <c r="D8530" s="0">
        <v>28</v>
      </c>
      <c r="E8530" s="10">
        <f>HYPERLINK("http://www.lingerieopt.ru/images/original/2c9515c0-4c49-487b-8cbd-d3ed9c68d19f.jpg","Фото")</f>
      </c>
    </row>
    <row r="8531">
      <c r="A8531" s="7">
        <f>HYPERLINK("http://www.lingerieopt.ru/item/10041-chulki-s-polosatoi-rezinkoi-calze-lux-15-den/","10041")</f>
      </c>
      <c r="B8531" s="8" t="s">
        <v>8194</v>
      </c>
      <c r="C8531" s="9">
        <v>279</v>
      </c>
      <c r="D8531" s="0">
        <v>48</v>
      </c>
      <c r="E8531" s="10">
        <f>HYPERLINK("http://www.lingerieopt.ru/images/original/2c9515c0-4c49-487b-8cbd-d3ed9c68d19f.jpg","Фото")</f>
      </c>
    </row>
    <row r="8532">
      <c r="A8532" s="7">
        <f>HYPERLINK("http://www.lingerieopt.ru/item/10041-chulki-s-polosatoi-rezinkoi-calze-lux-15-den/","10041")</f>
      </c>
      <c r="B8532" s="8" t="s">
        <v>8195</v>
      </c>
      <c r="C8532" s="9">
        <v>279</v>
      </c>
      <c r="D8532" s="0">
        <v>36</v>
      </c>
      <c r="E8532" s="10">
        <f>HYPERLINK("http://www.lingerieopt.ru/images/original/2c9515c0-4c49-487b-8cbd-d3ed9c68d19f.jpg","Фото")</f>
      </c>
    </row>
    <row r="8533">
      <c r="A8533" s="7">
        <f>HYPERLINK("http://www.lingerieopt.ru/item/10041-chulki-s-polosatoi-rezinkoi-calze-lux-15-den/","10041")</f>
      </c>
      <c r="B8533" s="8" t="s">
        <v>8196</v>
      </c>
      <c r="C8533" s="9">
        <v>279</v>
      </c>
      <c r="D8533" s="0">
        <v>18</v>
      </c>
      <c r="E8533" s="10">
        <f>HYPERLINK("http://www.lingerieopt.ru/images/original/2c9515c0-4c49-487b-8cbd-d3ed9c68d19f.jpg","Фото")</f>
      </c>
    </row>
    <row r="8534">
      <c r="A8534" s="7">
        <f>HYPERLINK("http://www.lingerieopt.ru/item/10042-tonkie-chulki-calze-elite/","10042")</f>
      </c>
      <c r="B8534" s="8" t="s">
        <v>8197</v>
      </c>
      <c r="C8534" s="9">
        <v>419</v>
      </c>
      <c r="D8534" s="0">
        <v>0</v>
      </c>
      <c r="E8534" s="10">
        <f>HYPERLINK("http://www.lingerieopt.ru/images/original/60b65129-33ce-4c3d-a4a8-10df4a8bb30e.jpg","Фото")</f>
      </c>
    </row>
    <row r="8535">
      <c r="A8535" s="7">
        <f>HYPERLINK("http://www.lingerieopt.ru/item/10042-tonkie-chulki-calze-elite/","10042")</f>
      </c>
      <c r="B8535" s="8" t="s">
        <v>8198</v>
      </c>
      <c r="C8535" s="9">
        <v>419</v>
      </c>
      <c r="D8535" s="0">
        <v>25</v>
      </c>
      <c r="E8535" s="10">
        <f>HYPERLINK("http://www.lingerieopt.ru/images/original/60b65129-33ce-4c3d-a4a8-10df4a8bb30e.jpg","Фото")</f>
      </c>
    </row>
    <row r="8536">
      <c r="A8536" s="7">
        <f>HYPERLINK("http://www.lingerieopt.ru/item/10042-tonkie-chulki-calze-elite/","10042")</f>
      </c>
      <c r="B8536" s="8" t="s">
        <v>8199</v>
      </c>
      <c r="C8536" s="9">
        <v>419</v>
      </c>
      <c r="D8536" s="0">
        <v>29</v>
      </c>
      <c r="E8536" s="10">
        <f>HYPERLINK("http://www.lingerieopt.ru/images/original/60b65129-33ce-4c3d-a4a8-10df4a8bb30e.jpg","Фото")</f>
      </c>
    </row>
    <row r="8537">
      <c r="A8537" s="7">
        <f>HYPERLINK("http://www.lingerieopt.ru/item/10042-tonkie-chulki-calze-elite/","10042")</f>
      </c>
      <c r="B8537" s="8" t="s">
        <v>8200</v>
      </c>
      <c r="C8537" s="9">
        <v>419</v>
      </c>
      <c r="D8537" s="0">
        <v>34</v>
      </c>
      <c r="E8537" s="10">
        <f>HYPERLINK("http://www.lingerieopt.ru/images/original/60b65129-33ce-4c3d-a4a8-10df4a8bb30e.jpg","Фото")</f>
      </c>
    </row>
    <row r="8538">
      <c r="A8538" s="7">
        <f>HYPERLINK("http://www.lingerieopt.ru/item/10043-chulki-so-strelkami-calze-linette/","10043")</f>
      </c>
      <c r="B8538" s="8" t="s">
        <v>8201</v>
      </c>
      <c r="C8538" s="9">
        <v>368</v>
      </c>
      <c r="D8538" s="0">
        <v>0</v>
      </c>
      <c r="E8538" s="10">
        <f>HYPERLINK("http://www.lingerieopt.ru/images/original/772c688b-3b2a-4091-8e84-33e138a45529.jpg","Фото")</f>
      </c>
    </row>
    <row r="8539">
      <c r="A8539" s="7">
        <f>HYPERLINK("http://www.lingerieopt.ru/item/10043-chulki-so-strelkami-calze-linette/","10043")</f>
      </c>
      <c r="B8539" s="8" t="s">
        <v>8202</v>
      </c>
      <c r="C8539" s="9">
        <v>368</v>
      </c>
      <c r="D8539" s="0">
        <v>4</v>
      </c>
      <c r="E8539" s="10">
        <f>HYPERLINK("http://www.lingerieopt.ru/images/original/772c688b-3b2a-4091-8e84-33e138a45529.jpg","Фото")</f>
      </c>
    </row>
    <row r="8540">
      <c r="A8540" s="7">
        <f>HYPERLINK("http://www.lingerieopt.ru/item/10043-chulki-so-strelkami-calze-linette/","10043")</f>
      </c>
      <c r="B8540" s="8" t="s">
        <v>8203</v>
      </c>
      <c r="C8540" s="9">
        <v>368</v>
      </c>
      <c r="D8540" s="0">
        <v>31</v>
      </c>
      <c r="E8540" s="10">
        <f>HYPERLINK("http://www.lingerieopt.ru/images/original/772c688b-3b2a-4091-8e84-33e138a45529.jpg","Фото")</f>
      </c>
    </row>
    <row r="8541">
      <c r="A8541" s="7">
        <f>HYPERLINK("http://www.lingerieopt.ru/item/10043-chulki-so-strelkami-calze-linette/","10043")</f>
      </c>
      <c r="B8541" s="8" t="s">
        <v>8204</v>
      </c>
      <c r="C8541" s="9">
        <v>368</v>
      </c>
      <c r="D8541" s="0">
        <v>0</v>
      </c>
      <c r="E8541" s="10">
        <f>HYPERLINK("http://www.lingerieopt.ru/images/original/772c688b-3b2a-4091-8e84-33e138a45529.jpg","Фото")</f>
      </c>
    </row>
    <row r="8542">
      <c r="A8542" s="7">
        <f>HYPERLINK("http://www.lingerieopt.ru/item/10083-chulki-calze-linette-so-strelkami/","10083")</f>
      </c>
      <c r="B8542" s="8" t="s">
        <v>8205</v>
      </c>
      <c r="C8542" s="9">
        <v>381</v>
      </c>
      <c r="D8542" s="0">
        <v>20</v>
      </c>
      <c r="E8542" s="10">
        <f>HYPERLINK("http://www.lingerieopt.ru/images/original/f83f5a7c-af00-4ec6-ae6e-56435888e287.jpg","Фото")</f>
      </c>
    </row>
    <row r="8543">
      <c r="A8543" s="7">
        <f>HYPERLINK("http://www.lingerieopt.ru/item/10083-chulki-calze-linette-so-strelkami/","10083")</f>
      </c>
      <c r="B8543" s="8" t="s">
        <v>8206</v>
      </c>
      <c r="C8543" s="9">
        <v>381</v>
      </c>
      <c r="D8543" s="0">
        <v>6</v>
      </c>
      <c r="E8543" s="10">
        <f>HYPERLINK("http://www.lingerieopt.ru/images/original/f83f5a7c-af00-4ec6-ae6e-56435888e287.jpg","Фото")</f>
      </c>
    </row>
    <row r="8544">
      <c r="A8544" s="7">
        <f>HYPERLINK("http://www.lingerieopt.ru/item/10083-chulki-calze-linette-so-strelkami/","10083")</f>
      </c>
      <c r="B8544" s="8" t="s">
        <v>8207</v>
      </c>
      <c r="C8544" s="9">
        <v>381</v>
      </c>
      <c r="D8544" s="0">
        <v>8</v>
      </c>
      <c r="E8544" s="10">
        <f>HYPERLINK("http://www.lingerieopt.ru/images/original/f83f5a7c-af00-4ec6-ae6e-56435888e287.jpg","Фото")</f>
      </c>
    </row>
    <row r="8545">
      <c r="A8545" s="7">
        <f>HYPERLINK("http://www.lingerieopt.ru/item/10083-chulki-calze-linette-so-strelkami/","10083")</f>
      </c>
      <c r="B8545" s="8" t="s">
        <v>8208</v>
      </c>
      <c r="C8545" s="9">
        <v>381</v>
      </c>
      <c r="D8545" s="0">
        <v>7</v>
      </c>
      <c r="E8545" s="10">
        <f>HYPERLINK("http://www.lingerieopt.ru/images/original/f83f5a7c-af00-4ec6-ae6e-56435888e287.jpg","Фото")</f>
      </c>
    </row>
    <row r="8546">
      <c r="A8546" s="7">
        <f>HYPERLINK("http://www.lingerieopt.ru/item/10083-chulki-calze-linette-so-strelkami/","10083")</f>
      </c>
      <c r="B8546" s="8" t="s">
        <v>8209</v>
      </c>
      <c r="C8546" s="9">
        <v>381</v>
      </c>
      <c r="D8546" s="0">
        <v>8</v>
      </c>
      <c r="E8546" s="10">
        <f>HYPERLINK("http://www.lingerieopt.ru/images/original/f83f5a7c-af00-4ec6-ae6e-56435888e287.jpg","Фото")</f>
      </c>
    </row>
    <row r="8547">
      <c r="A8547" s="7">
        <f>HYPERLINK("http://www.lingerieopt.ru/item/10083-chulki-calze-linette-so-strelkami/","10083")</f>
      </c>
      <c r="B8547" s="8" t="s">
        <v>8210</v>
      </c>
      <c r="C8547" s="9">
        <v>381</v>
      </c>
      <c r="D8547" s="0">
        <v>24</v>
      </c>
      <c r="E8547" s="10">
        <f>HYPERLINK("http://www.lingerieopt.ru/images/original/f83f5a7c-af00-4ec6-ae6e-56435888e287.jpg","Фото")</f>
      </c>
    </row>
    <row r="8548">
      <c r="A8548" s="7">
        <f>HYPERLINK("http://www.lingerieopt.ru/item/10099-klassicheskie-chulki-calze-plus-size-15-den/","10099")</f>
      </c>
      <c r="B8548" s="8" t="s">
        <v>8211</v>
      </c>
      <c r="C8548" s="9">
        <v>368</v>
      </c>
      <c r="D8548" s="0">
        <v>125</v>
      </c>
      <c r="E8548" s="10">
        <f>HYPERLINK("http://www.lingerieopt.ru/images/original/7ab0bbea-45b5-48f6-811f-e3af3d728a32.jpg","Фото")</f>
      </c>
    </row>
    <row r="8549">
      <c r="A8549" s="7">
        <f>HYPERLINK("http://www.lingerieopt.ru/item/10099-klassicheskie-chulki-calze-plus-size-15-den/","10099")</f>
      </c>
      <c r="B8549" s="8" t="s">
        <v>8212</v>
      </c>
      <c r="C8549" s="9">
        <v>368</v>
      </c>
      <c r="D8549" s="0">
        <v>68</v>
      </c>
      <c r="E8549" s="10">
        <f>HYPERLINK("http://www.lingerieopt.ru/images/original/7ab0bbea-45b5-48f6-811f-e3af3d728a32.jpg","Фото")</f>
      </c>
    </row>
    <row r="8550">
      <c r="A8550" s="7">
        <f>HYPERLINK("http://www.lingerieopt.ru/item/10099-klassicheskie-chulki-calze-plus-size-15-den/","10099")</f>
      </c>
      <c r="B8550" s="8" t="s">
        <v>8213</v>
      </c>
      <c r="C8550" s="9">
        <v>368</v>
      </c>
      <c r="D8550" s="0">
        <v>64</v>
      </c>
      <c r="E8550" s="10">
        <f>HYPERLINK("http://www.lingerieopt.ru/images/original/7ab0bbea-45b5-48f6-811f-e3af3d728a32.jpg","Фото")</f>
      </c>
    </row>
    <row r="8551">
      <c r="A8551" s="7">
        <f>HYPERLINK("http://www.lingerieopt.ru/item/10100-chulki-pod-poyas-cher-plus-size-15-den/","10100")</f>
      </c>
      <c r="B8551" s="8" t="s">
        <v>8214</v>
      </c>
      <c r="C8551" s="9">
        <v>190</v>
      </c>
      <c r="D8551" s="0">
        <v>40</v>
      </c>
      <c r="E8551" s="10">
        <f>HYPERLINK("http://www.lingerieopt.ru/images/original/4de1d6fc-7735-47a7-bda2-f8118e90c9d8.jpg","Фото")</f>
      </c>
    </row>
    <row r="8552">
      <c r="A8552" s="7">
        <f>HYPERLINK("http://www.lingerieopt.ru/item/10100-chulki-pod-poyas-cher-plus-size-15-den/","10100")</f>
      </c>
      <c r="B8552" s="8" t="s">
        <v>8215</v>
      </c>
      <c r="C8552" s="9">
        <v>190</v>
      </c>
      <c r="D8552" s="0">
        <v>68</v>
      </c>
      <c r="E8552" s="10">
        <f>HYPERLINK("http://www.lingerieopt.ru/images/original/4de1d6fc-7735-47a7-bda2-f8118e90c9d8.jpg","Фото")</f>
      </c>
    </row>
    <row r="8553">
      <c r="A8553" s="7">
        <f>HYPERLINK("http://www.lingerieopt.ru/item/10101-chulki-pod-poyas-anika-plus-size-20-den/","10101")</f>
      </c>
      <c r="B8553" s="8" t="s">
        <v>8216</v>
      </c>
      <c r="C8553" s="9">
        <v>241</v>
      </c>
      <c r="D8553" s="0">
        <v>33</v>
      </c>
      <c r="E8553" s="10">
        <f>HYPERLINK("http://www.lingerieopt.ru/images/original/8f64c47d-cc87-4fb4-bee1-e698fe7368d6.jpg","Фото")</f>
      </c>
    </row>
    <row r="8554">
      <c r="A8554" s="7">
        <f>HYPERLINK("http://www.lingerieopt.ru/item/10101-chulki-pod-poyas-anika-plus-size-20-den/","10101")</f>
      </c>
      <c r="B8554" s="8" t="s">
        <v>8217</v>
      </c>
      <c r="C8554" s="9">
        <v>241</v>
      </c>
      <c r="D8554" s="0">
        <v>54</v>
      </c>
      <c r="E8554" s="10">
        <f>HYPERLINK("http://www.lingerieopt.ru/images/original/8f64c47d-cc87-4fb4-bee1-e698fe7368d6.jpg","Фото")</f>
      </c>
    </row>
    <row r="8555">
      <c r="A8555" s="7">
        <f>HYPERLINK("http://www.lingerieopt.ru/item/10102-chulki-pod-poyas-katia-plus-size-20-den/","10102")</f>
      </c>
      <c r="B8555" s="8" t="s">
        <v>8218</v>
      </c>
      <c r="C8555" s="9">
        <v>241</v>
      </c>
      <c r="D8555" s="0">
        <v>50</v>
      </c>
      <c r="E8555" s="10">
        <f>HYPERLINK("http://www.lingerieopt.ru/images/original/fcdee362-6337-4a2b-b6cf-e66bb401de43.jpg","Фото")</f>
      </c>
    </row>
    <row r="8556">
      <c r="A8556" s="7">
        <f>HYPERLINK("http://www.lingerieopt.ru/item/10102-chulki-pod-poyas-katia-plus-size-20-den/","10102")</f>
      </c>
      <c r="B8556" s="8" t="s">
        <v>8219</v>
      </c>
      <c r="C8556" s="9">
        <v>241</v>
      </c>
      <c r="D8556" s="0">
        <v>55</v>
      </c>
      <c r="E8556" s="10">
        <f>HYPERLINK("http://www.lingerieopt.ru/images/original/fcdee362-6337-4a2b-b6cf-e66bb401de43.jpg","Фото")</f>
      </c>
    </row>
    <row r="8557">
      <c r="A8557" s="7">
        <f>HYPERLINK("http://www.lingerieopt.ru/item/10102-chulki-pod-poyas-katia-plus-size-20-den/","10102")</f>
      </c>
      <c r="B8557" s="8" t="s">
        <v>8220</v>
      </c>
      <c r="C8557" s="9">
        <v>241</v>
      </c>
      <c r="D8557" s="0">
        <v>58</v>
      </c>
      <c r="E8557" s="10">
        <f>HYPERLINK("http://www.lingerieopt.ru/images/original/fcdee362-6337-4a2b-b6cf-e66bb401de43.jpg","Фото")</f>
      </c>
    </row>
    <row r="8558">
      <c r="A8558" s="7">
        <f>HYPERLINK("http://www.lingerieopt.ru/item/10126-chulki-telesnogo-cveta-katherine-s-azhurnoi-rezinkoi-na-silikone/","10126")</f>
      </c>
      <c r="B8558" s="8" t="s">
        <v>8221</v>
      </c>
      <c r="C8558" s="9">
        <v>559</v>
      </c>
      <c r="D8558" s="0">
        <v>26</v>
      </c>
      <c r="E8558" s="10">
        <f>HYPERLINK("http://www.lingerieopt.ru/images/original/bc26df65-20b2-43c0-bc5f-6b77e5b5da41.jpg","Фото")</f>
      </c>
    </row>
    <row r="8559">
      <c r="A8559" s="7">
        <f>HYPERLINK("http://www.lingerieopt.ru/item/10126-chulki-telesnogo-cveta-katherine-s-azhurnoi-rezinkoi-na-silikone/","10126")</f>
      </c>
      <c r="B8559" s="8" t="s">
        <v>8222</v>
      </c>
      <c r="C8559" s="9">
        <v>559</v>
      </c>
      <c r="D8559" s="0">
        <v>46</v>
      </c>
      <c r="E8559" s="10">
        <f>HYPERLINK("http://www.lingerieopt.ru/images/original/bc26df65-20b2-43c0-bc5f-6b77e5b5da41.jpg","Фото")</f>
      </c>
    </row>
    <row r="8560">
      <c r="A8560" s="7">
        <f>HYPERLINK("http://www.lingerieopt.ru/item/10127-chulki-victoria-s-azhurnoi-rezinkoi-na-silikone/","10127")</f>
      </c>
      <c r="B8560" s="8" t="s">
        <v>8223</v>
      </c>
      <c r="C8560" s="9">
        <v>559</v>
      </c>
      <c r="D8560" s="0">
        <v>8</v>
      </c>
      <c r="E8560" s="10">
        <f>HYPERLINK("http://www.lingerieopt.ru/images/original/8d561797-73f6-4d7e-abd9-2cb8eb6dc103.jpg","Фото")</f>
      </c>
    </row>
    <row r="8561">
      <c r="A8561" s="7">
        <f>HYPERLINK("http://www.lingerieopt.ru/item/10127-chulki-victoria-s-azhurnoi-rezinkoi-na-silikone/","10127")</f>
      </c>
      <c r="B8561" s="8" t="s">
        <v>8224</v>
      </c>
      <c r="C8561" s="9">
        <v>559</v>
      </c>
      <c r="D8561" s="0">
        <v>0</v>
      </c>
      <c r="E8561" s="10">
        <f>HYPERLINK("http://www.lingerieopt.ru/images/original/8d561797-73f6-4d7e-abd9-2cb8eb6dc103.jpg","Фото")</f>
      </c>
    </row>
    <row r="8562">
      <c r="A8562" s="7">
        <f>HYPERLINK("http://www.lingerieopt.ru/item/10127-chulki-victoria-s-azhurnoi-rezinkoi-na-silikone/","10127")</f>
      </c>
      <c r="B8562" s="8" t="s">
        <v>8225</v>
      </c>
      <c r="C8562" s="9">
        <v>559</v>
      </c>
      <c r="D8562" s="0">
        <v>24</v>
      </c>
      <c r="E8562" s="10">
        <f>HYPERLINK("http://www.lingerieopt.ru/images/original/8d561797-73f6-4d7e-abd9-2cb8eb6dc103.jpg","Фото")</f>
      </c>
    </row>
    <row r="8563">
      <c r="A8563" s="7">
        <f>HYPERLINK("http://www.lingerieopt.ru/item/10127-chulki-victoria-s-azhurnoi-rezinkoi-na-silikone/","10127")</f>
      </c>
      <c r="B8563" s="8" t="s">
        <v>8226</v>
      </c>
      <c r="C8563" s="9">
        <v>559</v>
      </c>
      <c r="D8563" s="0">
        <v>0</v>
      </c>
      <c r="E8563" s="10">
        <f>HYPERLINK("http://www.lingerieopt.ru/images/original/8d561797-73f6-4d7e-abd9-2cb8eb6dc103.jpg","Фото")</f>
      </c>
    </row>
    <row r="8564">
      <c r="A8564" s="7">
        <f>HYPERLINK("http://www.lingerieopt.ru/item/10128-chulki-victoria-s-kruzhevnoi-rezinkoi-i-matovoi-polosoi-pod-nei/","10128")</f>
      </c>
      <c r="B8564" s="8" t="s">
        <v>8227</v>
      </c>
      <c r="C8564" s="9">
        <v>559</v>
      </c>
      <c r="D8564" s="0">
        <v>2</v>
      </c>
      <c r="E8564" s="10">
        <f>HYPERLINK("http://www.lingerieopt.ru/images/original/f225e045-86ab-44c2-8208-49e23e9c409e.jpg","Фото")</f>
      </c>
    </row>
    <row r="8565">
      <c r="A8565" s="7">
        <f>HYPERLINK("http://www.lingerieopt.ru/item/10128-chulki-victoria-s-kruzhevnoi-rezinkoi-i-matovoi-polosoi-pod-nei/","10128")</f>
      </c>
      <c r="B8565" s="8" t="s">
        <v>8228</v>
      </c>
      <c r="C8565" s="9">
        <v>559</v>
      </c>
      <c r="D8565" s="0">
        <v>0</v>
      </c>
      <c r="E8565" s="10">
        <f>HYPERLINK("http://www.lingerieopt.ru/images/original/f225e045-86ab-44c2-8208-49e23e9c409e.jpg","Фото")</f>
      </c>
    </row>
    <row r="8566">
      <c r="A8566" s="7">
        <f>HYPERLINK("http://www.lingerieopt.ru/item/10137-telesnje-chulki-isabelle-s-cvetnoi-rezinkoi-iz-azhura/","10137")</f>
      </c>
      <c r="B8566" s="8" t="s">
        <v>8229</v>
      </c>
      <c r="C8566" s="9">
        <v>533</v>
      </c>
      <c r="D8566" s="0">
        <v>27</v>
      </c>
      <c r="E8566" s="10">
        <f>HYPERLINK("http://www.lingerieopt.ru/images/original/810f2037-c44d-4dd8-b26c-f57e36e1b470.jpg","Фото")</f>
      </c>
    </row>
    <row r="8567">
      <c r="A8567" s="7">
        <f>HYPERLINK("http://www.lingerieopt.ru/item/10137-telesnje-chulki-isabelle-s-cvetnoi-rezinkoi-iz-azhura/","10137")</f>
      </c>
      <c r="B8567" s="8" t="s">
        <v>8230</v>
      </c>
      <c r="C8567" s="9">
        <v>533</v>
      </c>
      <c r="D8567" s="0">
        <v>52</v>
      </c>
      <c r="E8567" s="10">
        <f>HYPERLINK("http://www.lingerieopt.ru/images/original/810f2037-c44d-4dd8-b26c-f57e36e1b470.jpg","Фото")</f>
      </c>
    </row>
    <row r="8568">
      <c r="A8568" s="7">
        <f>HYPERLINK("http://www.lingerieopt.ru/item/10137-telesnje-chulki-isabelle-s-cvetnoi-rezinkoi-iz-azhura/","10137")</f>
      </c>
      <c r="B8568" s="8" t="s">
        <v>8231</v>
      </c>
      <c r="C8568" s="9">
        <v>533</v>
      </c>
      <c r="D8568" s="0">
        <v>29</v>
      </c>
      <c r="E8568" s="10">
        <f>HYPERLINK("http://www.lingerieopt.ru/images/original/810f2037-c44d-4dd8-b26c-f57e36e1b470.jpg","Фото")</f>
      </c>
    </row>
    <row r="8569">
      <c r="A8569" s="7">
        <f>HYPERLINK("http://www.lingerieopt.ru/item/10137-telesnje-chulki-isabelle-s-cvetnoi-rezinkoi-iz-azhura/","10137")</f>
      </c>
      <c r="B8569" s="8" t="s">
        <v>8232</v>
      </c>
      <c r="C8569" s="9">
        <v>533</v>
      </c>
      <c r="D8569" s="0">
        <v>42</v>
      </c>
      <c r="E8569" s="10">
        <f>HYPERLINK("http://www.lingerieopt.ru/images/original/810f2037-c44d-4dd8-b26c-f57e36e1b470.jpg","Фото")</f>
      </c>
    </row>
    <row r="8570">
      <c r="A8570" s="7">
        <f>HYPERLINK("http://www.lingerieopt.ru/item/10138-telesnje-chulki-isabelle-s-azhurnoi-cvetnoi-rezinkoi-na-silikone/","10138")</f>
      </c>
      <c r="B8570" s="8" t="s">
        <v>8233</v>
      </c>
      <c r="C8570" s="9">
        <v>533</v>
      </c>
      <c r="D8570" s="0">
        <v>51</v>
      </c>
      <c r="E8570" s="10">
        <f>HYPERLINK("http://www.lingerieopt.ru/images/original/55a96d4c-a71b-48ff-9060-b74a104114ce.jpg","Фото")</f>
      </c>
    </row>
    <row r="8571">
      <c r="A8571" s="7">
        <f>HYPERLINK("http://www.lingerieopt.ru/item/10138-telesnje-chulki-isabelle-s-azhurnoi-cvetnoi-rezinkoi-na-silikone/","10138")</f>
      </c>
      <c r="B8571" s="8" t="s">
        <v>8234</v>
      </c>
      <c r="C8571" s="9">
        <v>533</v>
      </c>
      <c r="D8571" s="0">
        <v>16</v>
      </c>
      <c r="E8571" s="10">
        <f>HYPERLINK("http://www.lingerieopt.ru/images/original/55a96d4c-a71b-48ff-9060-b74a104114ce.jpg","Фото")</f>
      </c>
    </row>
    <row r="8572">
      <c r="A8572" s="7">
        <f>HYPERLINK("http://www.lingerieopt.ru/item/10174-klassicheskie-chulki-pod-poyas/","10174")</f>
      </c>
      <c r="B8572" s="8" t="s">
        <v>8235</v>
      </c>
      <c r="C8572" s="9">
        <v>572</v>
      </c>
      <c r="D8572" s="0">
        <v>0</v>
      </c>
      <c r="E8572" s="10">
        <f>HYPERLINK("http://www.lingerieopt.ru/images/original/cc0633af-47f3-446f-812d-09946aefbaef.jpg","Фото")</f>
      </c>
    </row>
    <row r="8573">
      <c r="A8573" s="7">
        <f>HYPERLINK("http://www.lingerieopt.ru/item/10174-klassicheskie-chulki-pod-poyas/","10174")</f>
      </c>
      <c r="B8573" s="8" t="s">
        <v>8236</v>
      </c>
      <c r="C8573" s="9">
        <v>572</v>
      </c>
      <c r="D8573" s="0">
        <v>2</v>
      </c>
      <c r="E8573" s="10">
        <f>HYPERLINK("http://www.lingerieopt.ru/images/original/cc0633af-47f3-446f-812d-09946aefbaef.jpg","Фото")</f>
      </c>
    </row>
    <row r="8574">
      <c r="A8574" s="7">
        <f>HYPERLINK("http://www.lingerieopt.ru/item/10196-soblaznitelnje-chulki-pod-poyas-musca/","10196")</f>
      </c>
      <c r="B8574" s="8" t="s">
        <v>8237</v>
      </c>
      <c r="C8574" s="9">
        <v>533</v>
      </c>
      <c r="D8574" s="0">
        <v>0</v>
      </c>
      <c r="E8574" s="10">
        <f>HYPERLINK("http://www.lingerieopt.ru/images/original/f6af2cea-f16c-48a8-9299-6266a6903858.jpg","Фото")</f>
      </c>
    </row>
    <row r="8575">
      <c r="A8575" s="7">
        <f>HYPERLINK("http://www.lingerieopt.ru/item/10196-soblaznitelnje-chulki-pod-poyas-musca/","10196")</f>
      </c>
      <c r="B8575" s="8" t="s">
        <v>8238</v>
      </c>
      <c r="C8575" s="9">
        <v>533</v>
      </c>
      <c r="D8575" s="0">
        <v>1</v>
      </c>
      <c r="E8575" s="10">
        <f>HYPERLINK("http://www.lingerieopt.ru/images/original/f6af2cea-f16c-48a8-9299-6266a6903858.jpg","Фото")</f>
      </c>
    </row>
    <row r="8576">
      <c r="A8576" s="7">
        <f>HYPERLINK("http://www.lingerieopt.ru/item/10216-poyas-s-pazhami-allure-dlya-chulok/","10216")</f>
      </c>
      <c r="B8576" s="8" t="s">
        <v>8239</v>
      </c>
      <c r="C8576" s="9">
        <v>1104</v>
      </c>
      <c r="D8576" s="0">
        <v>4</v>
      </c>
      <c r="E8576" s="10">
        <f>HYPERLINK("http://www.lingerieopt.ru/images/original/291aad2b-19a3-4dc0-bdfb-706d4a75c7fb.jpg","Фото")</f>
      </c>
    </row>
    <row r="8577">
      <c r="A8577" s="7">
        <f>HYPERLINK("http://www.lingerieopt.ru/item/10216-poyas-s-pazhami-allure-dlya-chulok/","10216")</f>
      </c>
      <c r="B8577" s="8" t="s">
        <v>8240</v>
      </c>
      <c r="C8577" s="9">
        <v>1104</v>
      </c>
      <c r="D8577" s="0">
        <v>4</v>
      </c>
      <c r="E8577" s="10">
        <f>HYPERLINK("http://www.lingerieopt.ru/images/original/291aad2b-19a3-4dc0-bdfb-706d4a75c7fb.jpg","Фото")</f>
      </c>
    </row>
    <row r="8578">
      <c r="A8578" s="7">
        <f>HYPERLINK("http://www.lingerieopt.ru/item/10216-poyas-s-pazhami-allure-dlya-chulok/","10216")</f>
      </c>
      <c r="B8578" s="8" t="s">
        <v>8241</v>
      </c>
      <c r="C8578" s="9">
        <v>1104</v>
      </c>
      <c r="D8578" s="0">
        <v>5</v>
      </c>
      <c r="E8578" s="10">
        <f>HYPERLINK("http://www.lingerieopt.ru/images/original/291aad2b-19a3-4dc0-bdfb-706d4a75c7fb.jpg","Фото")</f>
      </c>
    </row>
    <row r="8579">
      <c r="A8579" s="7">
        <f>HYPERLINK("http://www.lingerieopt.ru/item/10216-poyas-s-pazhami-allure-dlya-chulok/","10216")</f>
      </c>
      <c r="B8579" s="8" t="s">
        <v>8242</v>
      </c>
      <c r="C8579" s="9">
        <v>1104</v>
      </c>
      <c r="D8579" s="0">
        <v>4</v>
      </c>
      <c r="E8579" s="10">
        <f>HYPERLINK("http://www.lingerieopt.ru/images/original/291aad2b-19a3-4dc0-bdfb-706d4a75c7fb.jpg","Фото")</f>
      </c>
    </row>
    <row r="8580">
      <c r="A8580" s="7">
        <f>HYPERLINK("http://www.lingerieopt.ru/item/10216-poyas-s-pazhami-allure-dlya-chulok/","10216")</f>
      </c>
      <c r="B8580" s="8" t="s">
        <v>8243</v>
      </c>
      <c r="C8580" s="9">
        <v>1104</v>
      </c>
      <c r="D8580" s="0">
        <v>4</v>
      </c>
      <c r="E8580" s="10">
        <f>HYPERLINK("http://www.lingerieopt.ru/images/original/291aad2b-19a3-4dc0-bdfb-706d4a75c7fb.jpg","Фото")</f>
      </c>
    </row>
    <row r="8581">
      <c r="A8581" s="7">
        <f>HYPERLINK("http://www.lingerieopt.ru/item/10216-poyas-s-pazhami-allure-dlya-chulok/","10216")</f>
      </c>
      <c r="B8581" s="8" t="s">
        <v>8244</v>
      </c>
      <c r="C8581" s="9">
        <v>1104</v>
      </c>
      <c r="D8581" s="0">
        <v>5</v>
      </c>
      <c r="E8581" s="10">
        <f>HYPERLINK("http://www.lingerieopt.ru/images/original/291aad2b-19a3-4dc0-bdfb-706d4a75c7fb.jpg","Фото")</f>
      </c>
    </row>
    <row r="8582">
      <c r="A8582" s="7">
        <f>HYPERLINK("http://www.lingerieopt.ru/item/10217-poyas-s-garterami-pure/","10217")</f>
      </c>
      <c r="B8582" s="8" t="s">
        <v>4214</v>
      </c>
      <c r="C8582" s="9">
        <v>910</v>
      </c>
      <c r="D8582" s="0">
        <v>0</v>
      </c>
      <c r="E8582" s="10">
        <f>HYPERLINK("http://www.lingerieopt.ru/images/original/fd6944ff-642a-4924-9da1-137dbf46c38c.jpg","Фото")</f>
      </c>
    </row>
    <row r="8583">
      <c r="A8583" s="7">
        <f>HYPERLINK("http://www.lingerieopt.ru/item/10217-poyas-s-garterami-pure/","10217")</f>
      </c>
      <c r="B8583" s="8" t="s">
        <v>4213</v>
      </c>
      <c r="C8583" s="9">
        <v>910</v>
      </c>
      <c r="D8583" s="0">
        <v>1</v>
      </c>
      <c r="E8583" s="10">
        <f>HYPERLINK("http://www.lingerieopt.ru/images/original/fd6944ff-642a-4924-9da1-137dbf46c38c.jpg","Фото")</f>
      </c>
    </row>
    <row r="8584">
      <c r="A8584" s="7">
        <f>HYPERLINK("http://www.lingerieopt.ru/item/10217-poyas-s-garterami-pure/","10217")</f>
      </c>
      <c r="B8584" s="8" t="s">
        <v>4215</v>
      </c>
      <c r="C8584" s="9">
        <v>910</v>
      </c>
      <c r="D8584" s="0">
        <v>0</v>
      </c>
      <c r="E8584" s="10">
        <f>HYPERLINK("http://www.lingerieopt.ru/images/original/fd6944ff-642a-4924-9da1-137dbf46c38c.jpg","Фото")</f>
      </c>
    </row>
    <row r="8585">
      <c r="A8585" s="7">
        <f>HYPERLINK("http://www.lingerieopt.ru/item/10245-chulki-iz-krupnoi-setki-s-kruzhevnoi-rezinkoi/","10245")</f>
      </c>
      <c r="B8585" s="8" t="s">
        <v>8245</v>
      </c>
      <c r="C8585" s="9">
        <v>218</v>
      </c>
      <c r="D8585" s="0">
        <v>31</v>
      </c>
      <c r="E8585" s="10">
        <f>HYPERLINK("http://www.lingerieopt.ru/images/original/b5f0a057-d9ad-42ab-be99-41c1476e54b4.jpg","Фото")</f>
      </c>
    </row>
    <row r="8586">
      <c r="A8586" s="7">
        <f>HYPERLINK("http://www.lingerieopt.ru/item/10246-chulki-pod-poyas-iz-melkoi-setki-s-kruzhevnoi-rezinkoi/","10246")</f>
      </c>
      <c r="B8586" s="8" t="s">
        <v>8246</v>
      </c>
      <c r="C8586" s="9">
        <v>218</v>
      </c>
      <c r="D8586" s="0">
        <v>24</v>
      </c>
      <c r="E8586" s="10">
        <f>HYPERLINK("http://www.lingerieopt.ru/images/original/47821370-5528-4765-91e4-cf46b7093f19.jpg","Фото")</f>
      </c>
    </row>
    <row r="8587">
      <c r="A8587" s="7">
        <f>HYPERLINK("http://www.lingerieopt.ru/item/10247-prozrachnje-chulki-s-plotnoi-rezinkoi/","10247")</f>
      </c>
      <c r="B8587" s="8" t="s">
        <v>8247</v>
      </c>
      <c r="C8587" s="9">
        <v>192</v>
      </c>
      <c r="D8587" s="0">
        <v>46</v>
      </c>
      <c r="E8587" s="10">
        <f>HYPERLINK("http://www.lingerieopt.ru/images/original/d6f5b460-f022-4f4c-87fa-510b029292bb.jpg","Фото")</f>
      </c>
    </row>
    <row r="8588">
      <c r="A8588" s="7">
        <f>HYPERLINK("http://www.lingerieopt.ru/item/10247-prozrachnje-chulki-s-plotnoi-rezinkoi/","10247")</f>
      </c>
      <c r="B8588" s="8" t="s">
        <v>8248</v>
      </c>
      <c r="C8588" s="9">
        <v>192</v>
      </c>
      <c r="D8588" s="0">
        <v>120</v>
      </c>
      <c r="E8588" s="10">
        <f>HYPERLINK("http://www.lingerieopt.ru/images/original/d6f5b460-f022-4f4c-87fa-510b029292bb.jpg","Фото")</f>
      </c>
    </row>
    <row r="8589">
      <c r="A8589" s="7">
        <f>HYPERLINK("http://www.lingerieopt.ru/item/10275-chulki-secred-s-shirokim-kruzhevom/","10275")</f>
      </c>
      <c r="B8589" s="8" t="s">
        <v>8249</v>
      </c>
      <c r="C8589" s="9">
        <v>587</v>
      </c>
      <c r="D8589" s="0">
        <v>7</v>
      </c>
      <c r="E8589" s="10">
        <f>HYPERLINK("http://www.lingerieopt.ru/images/original/2ef54792-c564-469d-b853-62389621a6d2.jpg","Фото")</f>
      </c>
    </row>
    <row r="8590">
      <c r="A8590" s="7">
        <f>HYPERLINK("http://www.lingerieopt.ru/item/10346-chulki-v-krupnuyu-setku-s-poyasom/","10346")</f>
      </c>
      <c r="B8590" s="8" t="s">
        <v>8250</v>
      </c>
      <c r="C8590" s="9">
        <v>546</v>
      </c>
      <c r="D8590" s="0">
        <v>0</v>
      </c>
      <c r="E8590" s="10">
        <f>HYPERLINK("http://www.lingerieopt.ru/images/original/b62962e3-0d76-48cb-8e83-d15b364fb431.jpg","Фото")</f>
      </c>
    </row>
    <row r="8591">
      <c r="A8591" s="7">
        <f>HYPERLINK("http://www.lingerieopt.ru/item/10346-chulki-v-krupnuyu-setku-s-poyasom/","10346")</f>
      </c>
      <c r="B8591" s="8" t="s">
        <v>8251</v>
      </c>
      <c r="C8591" s="9">
        <v>546</v>
      </c>
      <c r="D8591" s="0">
        <v>0</v>
      </c>
      <c r="E8591" s="10">
        <f>HYPERLINK("http://www.lingerieopt.ru/images/original/b62962e3-0d76-48cb-8e83-d15b364fb431.jpg","Фото")</f>
      </c>
    </row>
    <row r="8592">
      <c r="A8592" s="7">
        <f>HYPERLINK("http://www.lingerieopt.ru/item/10346-chulki-v-krupnuyu-setku-s-poyasom/","10346")</f>
      </c>
      <c r="B8592" s="8" t="s">
        <v>8252</v>
      </c>
      <c r="C8592" s="9">
        <v>546</v>
      </c>
      <c r="D8592" s="0">
        <v>2</v>
      </c>
      <c r="E8592" s="10">
        <f>HYPERLINK("http://www.lingerieopt.ru/images/original/b62962e3-0d76-48cb-8e83-d15b364fb431.jpg","Фото")</f>
      </c>
    </row>
    <row r="8593">
      <c r="A8593" s="7">
        <f>HYPERLINK("http://www.lingerieopt.ru/item/10383-chernje-lateksnje-chulochki/","10383")</f>
      </c>
      <c r="B8593" s="8" t="s">
        <v>3680</v>
      </c>
      <c r="C8593" s="9">
        <v>2026</v>
      </c>
      <c r="D8593" s="0">
        <v>0</v>
      </c>
      <c r="E8593" s="10">
        <f>HYPERLINK("http://www.lingerieopt.ru/images/original/62def6ad-b318-4906-874f-1402d6e7dec8.jpg","Фото")</f>
      </c>
    </row>
    <row r="8594">
      <c r="A8594" s="7">
        <f>HYPERLINK("http://www.lingerieopt.ru/item/10383-chernje-lateksnje-chulochki/","10383")</f>
      </c>
      <c r="B8594" s="8" t="s">
        <v>3679</v>
      </c>
      <c r="C8594" s="9">
        <v>2026</v>
      </c>
      <c r="D8594" s="0">
        <v>1</v>
      </c>
      <c r="E8594" s="10">
        <f>HYPERLINK("http://www.lingerieopt.ru/images/original/62def6ad-b318-4906-874f-1402d6e7dec8.jpg","Фото")</f>
      </c>
    </row>
    <row r="8595">
      <c r="A8595" s="7">
        <f>HYPERLINK("http://www.lingerieopt.ru/item/10383-chernje-lateksnje-chulochki/","10383")</f>
      </c>
      <c r="B8595" s="8" t="s">
        <v>3678</v>
      </c>
      <c r="C8595" s="9">
        <v>2026</v>
      </c>
      <c r="D8595" s="0">
        <v>0</v>
      </c>
      <c r="E8595" s="10">
        <f>HYPERLINK("http://www.lingerieopt.ru/images/original/62def6ad-b318-4906-874f-1402d6e7dec8.jpg","Фото")</f>
      </c>
    </row>
    <row r="8596">
      <c r="A8596" s="7">
        <f>HYPERLINK("http://www.lingerieopt.ru/item/10394-chulki-tenebra-20-den-s-dvuhcvetnoi-kruzhevnoi-rezinkoi/","10394")</f>
      </c>
      <c r="B8596" s="8" t="s">
        <v>8253</v>
      </c>
      <c r="C8596" s="9">
        <v>824</v>
      </c>
      <c r="D8596" s="0">
        <v>1</v>
      </c>
      <c r="E8596" s="10">
        <f>HYPERLINK("http://www.lingerieopt.ru/images/original/e0f0eda6-36b3-4995-b026-57c3610b6d16.jpg","Фото")</f>
      </c>
    </row>
    <row r="8597">
      <c r="A8597" s="7">
        <f>HYPERLINK("http://www.lingerieopt.ru/item/10394-chulki-tenebra-20-den-s-dvuhcvetnoi-kruzhevnoi-rezinkoi/","10394")</f>
      </c>
      <c r="B8597" s="8" t="s">
        <v>8254</v>
      </c>
      <c r="C8597" s="9">
        <v>824</v>
      </c>
      <c r="D8597" s="0">
        <v>0</v>
      </c>
      <c r="E8597" s="10">
        <f>HYPERLINK("http://www.lingerieopt.ru/images/original/e0f0eda6-36b3-4995-b026-57c3610b6d16.jpg","Фото")</f>
      </c>
    </row>
    <row r="8598">
      <c r="A8598" s="7">
        <f>HYPERLINK("http://www.lingerieopt.ru/item/10394-chulki-tenebra-20-den-s-dvuhcvetnoi-kruzhevnoi-rezinkoi/","10394")</f>
      </c>
      <c r="B8598" s="8" t="s">
        <v>8255</v>
      </c>
      <c r="C8598" s="9">
        <v>824</v>
      </c>
      <c r="D8598" s="0">
        <v>3</v>
      </c>
      <c r="E8598" s="10">
        <f>HYPERLINK("http://www.lingerieopt.ru/images/original/e0f0eda6-36b3-4995-b026-57c3610b6d16.jpg","Фото")</f>
      </c>
    </row>
    <row r="8599">
      <c r="A8599" s="7">
        <f>HYPERLINK("http://www.lingerieopt.ru/item/10411-pikantnji-poyas-korset-bella/","10411")</f>
      </c>
      <c r="B8599" s="8" t="s">
        <v>3503</v>
      </c>
      <c r="C8599" s="9">
        <v>2263</v>
      </c>
      <c r="D8599" s="0">
        <v>5</v>
      </c>
      <c r="E8599" s="10">
        <f>HYPERLINK("http://www.lingerieopt.ru/images/original/fa0a6834-5469-4049-a26b-2ed5c08e9010.jpg","Фото")</f>
      </c>
    </row>
    <row r="8600">
      <c r="A8600" s="7">
        <f>HYPERLINK("http://www.lingerieopt.ru/item/10411-pikantnji-poyas-korset-bella/","10411")</f>
      </c>
      <c r="B8600" s="8" t="s">
        <v>3504</v>
      </c>
      <c r="C8600" s="9">
        <v>2263</v>
      </c>
      <c r="D8600" s="0">
        <v>9</v>
      </c>
      <c r="E8600" s="10">
        <f>HYPERLINK("http://www.lingerieopt.ru/images/original/fa0a6834-5469-4049-a26b-2ed5c08e9010.jpg","Фото")</f>
      </c>
    </row>
    <row r="8601">
      <c r="A8601" s="7">
        <f>HYPERLINK("http://www.lingerieopt.ru/item/10483-kruzhevnoi-poyas-dlya-chulok-charms-plus-size-s-ukrasheniem/","10483")</f>
      </c>
      <c r="B8601" s="8" t="s">
        <v>8256</v>
      </c>
      <c r="C8601" s="9">
        <v>1182</v>
      </c>
      <c r="D8601" s="0">
        <v>2</v>
      </c>
      <c r="E8601" s="10">
        <f>HYPERLINK("http://www.lingerieopt.ru/images/original/7eb25c77-9122-427c-9291-dd89846a2591.jpg","Фото")</f>
      </c>
    </row>
    <row r="8602">
      <c r="A8602" s="7">
        <f>HYPERLINK("http://www.lingerieopt.ru/item/10564-pikantnje-chulki-iz-kruzheva-s-cvetochnjm-uzorom/","10564")</f>
      </c>
      <c r="B8602" s="8" t="s">
        <v>8257</v>
      </c>
      <c r="C8602" s="9">
        <v>888</v>
      </c>
      <c r="D8602" s="0">
        <v>33</v>
      </c>
      <c r="E8602" s="10">
        <f>HYPERLINK("http://www.lingerieopt.ru/images/original/6fb05301-8091-4b2f-9922-5f217daf83eb.jpg","Фото")</f>
      </c>
    </row>
    <row r="8603">
      <c r="A8603" s="7">
        <f>HYPERLINK("http://www.lingerieopt.ru/item/10564-pikantnje-chulki-iz-kruzheva-s-cvetochnjm-uzorom/","10564")</f>
      </c>
      <c r="B8603" s="8" t="s">
        <v>8258</v>
      </c>
      <c r="C8603" s="9">
        <v>888</v>
      </c>
      <c r="D8603" s="0">
        <v>26</v>
      </c>
      <c r="E8603" s="10">
        <f>HYPERLINK("http://www.lingerieopt.ru/images/original/6fb05301-8091-4b2f-9922-5f217daf83eb.jpg","Фото")</f>
      </c>
    </row>
    <row r="8604">
      <c r="A8604" s="7">
        <f>HYPERLINK("http://www.lingerieopt.ru/item/10565-pikantnje-chulki-plus-size-iz-kruzheva-s-cvetochnjm-uzorom/","10565")</f>
      </c>
      <c r="B8604" s="8" t="s">
        <v>8259</v>
      </c>
      <c r="C8604" s="9">
        <v>888</v>
      </c>
      <c r="D8604" s="0">
        <v>15</v>
      </c>
      <c r="E8604" s="10">
        <f>HYPERLINK("http://www.lingerieopt.ru/images/original/1a3e0560-3667-4c2f-871a-c23f70ca5756.jpg","Фото")</f>
      </c>
    </row>
    <row r="8605">
      <c r="A8605" s="7">
        <f>HYPERLINK("http://www.lingerieopt.ru/item/10566-chulki-wetlook-s-dekorativnoi-shnurovkoi-iz-lent/","10566")</f>
      </c>
      <c r="B8605" s="8" t="s">
        <v>3682</v>
      </c>
      <c r="C8605" s="9">
        <v>888</v>
      </c>
      <c r="D8605" s="0">
        <v>9</v>
      </c>
      <c r="E8605" s="10">
        <f>HYPERLINK("http://www.lingerieopt.ru/images/original/52db52ac-aad7-4121-96d3-6d43d3fa7da7.jpg","Фото")</f>
      </c>
    </row>
    <row r="8606">
      <c r="A8606" s="7">
        <f>HYPERLINK("http://www.lingerieopt.ru/item/10566-chulki-wetlook-s-dekorativnoi-shnurovkoi-iz-lent/","10566")</f>
      </c>
      <c r="B8606" s="8" t="s">
        <v>3683</v>
      </c>
      <c r="C8606" s="9">
        <v>888</v>
      </c>
      <c r="D8606" s="0">
        <v>23</v>
      </c>
      <c r="E8606" s="10">
        <f>HYPERLINK("http://www.lingerieopt.ru/images/original/52db52ac-aad7-4121-96d3-6d43d3fa7da7.jpg","Фото")</f>
      </c>
    </row>
    <row r="8607">
      <c r="A8607" s="7">
        <f>HYPERLINK("http://www.lingerieopt.ru/item/10567-chulki-iz-wetlook-materiala-s-dekorativnoi-shnurovkoi-iz-lent/","10567")</f>
      </c>
      <c r="B8607" s="8" t="s">
        <v>3684</v>
      </c>
      <c r="C8607" s="9">
        <v>888</v>
      </c>
      <c r="D8607" s="0">
        <v>13</v>
      </c>
      <c r="E8607" s="10">
        <f>HYPERLINK("http://www.lingerieopt.ru/images/original/b052e62e-d3b9-413c-bb7d-0fa119a60f61.jpg","Фото")</f>
      </c>
    </row>
    <row r="8608">
      <c r="A8608" s="7">
        <f>HYPERLINK("http://www.lingerieopt.ru/item/10624-originalnje-chulki-s-poyasom-trusikami/","10624")</f>
      </c>
      <c r="B8608" s="8" t="s">
        <v>8260</v>
      </c>
      <c r="C8608" s="9">
        <v>546</v>
      </c>
      <c r="D8608" s="0">
        <v>2</v>
      </c>
      <c r="E8608" s="10">
        <f>HYPERLINK("http://www.lingerieopt.ru/images/original/f80e0a3b-65b1-4ada-96aa-aee3abbb4396.jpg","Фото")</f>
      </c>
    </row>
    <row r="8609">
      <c r="A8609" s="7">
        <f>HYPERLINK("http://www.lingerieopt.ru/item/10624-originalnje-chulki-s-poyasom-trusikami/","10624")</f>
      </c>
      <c r="B8609" s="8" t="s">
        <v>8261</v>
      </c>
      <c r="C8609" s="9">
        <v>546</v>
      </c>
      <c r="D8609" s="0">
        <v>5</v>
      </c>
      <c r="E8609" s="10">
        <f>HYPERLINK("http://www.lingerieopt.ru/images/original/f80e0a3b-65b1-4ada-96aa-aee3abbb4396.jpg","Фото")</f>
      </c>
    </row>
    <row r="8610">
      <c r="A8610" s="7">
        <f>HYPERLINK("http://www.lingerieopt.ru/item/10624-originalnje-chulki-s-poyasom-trusikami/","10624")</f>
      </c>
      <c r="B8610" s="8" t="s">
        <v>8262</v>
      </c>
      <c r="C8610" s="9">
        <v>546</v>
      </c>
      <c r="D8610" s="0">
        <v>10</v>
      </c>
      <c r="E8610" s="10">
        <f>HYPERLINK("http://www.lingerieopt.ru/images/original/f80e0a3b-65b1-4ada-96aa-aee3abbb4396.jpg","Фото")</f>
      </c>
    </row>
    <row r="8611">
      <c r="A8611" s="7">
        <f>HYPERLINK("http://www.lingerieopt.ru/item/10637-chulki-wet-look-s-otkrjtoi-pyatkoi-i-noskom/","10637")</f>
      </c>
      <c r="B8611" s="8" t="s">
        <v>3692</v>
      </c>
      <c r="C8611" s="9">
        <v>828</v>
      </c>
      <c r="D8611" s="0">
        <v>3</v>
      </c>
      <c r="E8611" s="10">
        <f>HYPERLINK("http://www.lingerieopt.ru/images/original/7125629c-d0a7-4482-81ea-8bfd02f01c8b.jpg","Фото")</f>
      </c>
    </row>
    <row r="8612">
      <c r="A8612" s="7">
        <f>HYPERLINK("http://www.lingerieopt.ru/item/10793-setchatje-chulki-s-rezinkoi-na-silikone/","10793")</f>
      </c>
      <c r="B8612" s="8" t="s">
        <v>8263</v>
      </c>
      <c r="C8612" s="9">
        <v>847</v>
      </c>
      <c r="D8612" s="0">
        <v>3</v>
      </c>
      <c r="E8612" s="10">
        <f>HYPERLINK("http://www.lingerieopt.ru/images/original/a0a624c1-9362-489d-a3f8-d2398da256c4.jpg","Фото")</f>
      </c>
    </row>
    <row r="8613">
      <c r="A8613" s="7">
        <f>HYPERLINK("http://www.lingerieopt.ru/item/10794-chulki-s-elastichnoi-rezinkoi-na-silikone/","10794")</f>
      </c>
      <c r="B8613" s="8" t="s">
        <v>8264</v>
      </c>
      <c r="C8613" s="9">
        <v>847</v>
      </c>
      <c r="D8613" s="0">
        <v>6</v>
      </c>
      <c r="E8613" s="10">
        <f>HYPERLINK("http://www.lingerieopt.ru/images/original/cc3650f2-8ecf-41cf-a9bd-756f895fb150.jpg","Фото")</f>
      </c>
    </row>
    <row r="8614">
      <c r="A8614" s="7">
        <f>HYPERLINK("http://www.lingerieopt.ru/item/10795-klassicheskie-chulki-s-shirokoi-kruzhevnoi-rezinkoi-na-silikone/","10795")</f>
      </c>
      <c r="B8614" s="8" t="s">
        <v>8265</v>
      </c>
      <c r="C8614" s="9">
        <v>629</v>
      </c>
      <c r="D8614" s="0">
        <v>30</v>
      </c>
      <c r="E8614" s="10">
        <f>HYPERLINK("http://www.lingerieopt.ru/images/original/e7c456a9-20f2-4b9e-9b17-6c5ce0f7c48a.jpg","Фото")</f>
      </c>
    </row>
    <row r="8615">
      <c r="A8615" s="7">
        <f>HYPERLINK("http://www.lingerieopt.ru/item/10796-klassicheskie-chulki-s-silikonovoi-rezinkoi/","10796")</f>
      </c>
      <c r="B8615" s="8" t="s">
        <v>8266</v>
      </c>
      <c r="C8615" s="9">
        <v>636</v>
      </c>
      <c r="D8615" s="0">
        <v>6</v>
      </c>
      <c r="E8615" s="10">
        <f>HYPERLINK("http://www.lingerieopt.ru/images/original/6d925598-c106-4e59-b627-f3e695e39453.jpg","Фото")</f>
      </c>
    </row>
    <row r="8616">
      <c r="A8616" s="7">
        <f>HYPERLINK("http://www.lingerieopt.ru/item/10797-stilnje-chulki-s-figurnoi-strelkoi-szadi/","10797")</f>
      </c>
      <c r="B8616" s="8" t="s">
        <v>8267</v>
      </c>
      <c r="C8616" s="9">
        <v>315</v>
      </c>
      <c r="D8616" s="0">
        <v>5</v>
      </c>
      <c r="E8616" s="10">
        <f>HYPERLINK("http://www.lingerieopt.ru/images/original/869048c8-b0ff-466c-a7ed-bf289ccdeb17.jpg","Фото")</f>
      </c>
    </row>
    <row r="8617">
      <c r="A8617" s="7">
        <f>HYPERLINK("http://www.lingerieopt.ru/item/10803-poyas-plus-size-s-pazhami-dlya-chulok-iz-setchatjh-oborochek/","10803")</f>
      </c>
      <c r="B8617" s="8" t="s">
        <v>8268</v>
      </c>
      <c r="C8617" s="9">
        <v>1104</v>
      </c>
      <c r="D8617" s="0">
        <v>2</v>
      </c>
      <c r="E8617" s="10">
        <f>HYPERLINK("http://www.lingerieopt.ru/images/original/cf6b6fe0-29c7-46cd-bc78-124fbb1104d9.jpg","Фото")</f>
      </c>
    </row>
    <row r="8618">
      <c r="A8618" s="7">
        <f>HYPERLINK("http://www.lingerieopt.ru/item/10803-poyas-plus-size-s-pazhami-dlya-chulok-iz-setchatjh-oborochek/","10803")</f>
      </c>
      <c r="B8618" s="8" t="s">
        <v>8269</v>
      </c>
      <c r="C8618" s="9">
        <v>1104</v>
      </c>
      <c r="D8618" s="0">
        <v>3</v>
      </c>
      <c r="E8618" s="10">
        <f>HYPERLINK("http://www.lingerieopt.ru/images/original/cf6b6fe0-29c7-46cd-bc78-124fbb1104d9.jpg","Фото")</f>
      </c>
    </row>
    <row r="8619">
      <c r="A8619" s="7">
        <f>HYPERLINK("http://www.lingerieopt.ru/item/10803-poyas-plus-size-s-pazhami-dlya-chulok-iz-setchatjh-oborochek/","10803")</f>
      </c>
      <c r="B8619" s="8" t="s">
        <v>8270</v>
      </c>
      <c r="C8619" s="9">
        <v>1104</v>
      </c>
      <c r="D8619" s="0">
        <v>3</v>
      </c>
      <c r="E8619" s="10">
        <f>HYPERLINK("http://www.lingerieopt.ru/images/original/cf6b6fe0-29c7-46cd-bc78-124fbb1104d9.jpg","Фото")</f>
      </c>
    </row>
    <row r="8620">
      <c r="A8620" s="7">
        <f>HYPERLINK("http://www.lingerieopt.ru/item/10805-neobjchnje-chulki-s-bleskom/","10805")</f>
      </c>
      <c r="B8620" s="8" t="s">
        <v>3695</v>
      </c>
      <c r="C8620" s="9">
        <v>1252</v>
      </c>
      <c r="D8620" s="0">
        <v>6</v>
      </c>
      <c r="E8620" s="10">
        <f>HYPERLINK("http://www.lingerieopt.ru/images/original/3340639c-8753-47f2-b3a5-346578c05555.jpg","Фото")</f>
      </c>
    </row>
    <row r="8621">
      <c r="A8621" s="7">
        <f>HYPERLINK("http://www.lingerieopt.ru/item/10805-neobjchnje-chulki-s-bleskom/","10805")</f>
      </c>
      <c r="B8621" s="8" t="s">
        <v>3696</v>
      </c>
      <c r="C8621" s="9">
        <v>1252</v>
      </c>
      <c r="D8621" s="0">
        <v>5</v>
      </c>
      <c r="E8621" s="10">
        <f>HYPERLINK("http://www.lingerieopt.ru/images/original/3340639c-8753-47f2-b3a5-346578c05555.jpg","Фото")</f>
      </c>
    </row>
    <row r="8622">
      <c r="A8622" s="7">
        <f>HYPERLINK("http://www.lingerieopt.ru/item/10805-neobjchnje-chulki-s-bleskom/","10805")</f>
      </c>
      <c r="B8622" s="8" t="s">
        <v>3698</v>
      </c>
      <c r="C8622" s="9">
        <v>1252</v>
      </c>
      <c r="D8622" s="0">
        <v>13</v>
      </c>
      <c r="E8622" s="10">
        <f>HYPERLINK("http://www.lingerieopt.ru/images/original/3340639c-8753-47f2-b3a5-346578c05555.jpg","Фото")</f>
      </c>
    </row>
    <row r="8623">
      <c r="A8623" s="7">
        <f>HYPERLINK("http://www.lingerieopt.ru/item/10805-neobjchnje-chulki-s-bleskom/","10805")</f>
      </c>
      <c r="B8623" s="8" t="s">
        <v>3697</v>
      </c>
      <c r="C8623" s="9">
        <v>1252</v>
      </c>
      <c r="D8623" s="0">
        <v>4</v>
      </c>
      <c r="E8623" s="10">
        <f>HYPERLINK("http://www.lingerieopt.ru/images/original/3340639c-8753-47f2-b3a5-346578c05555.jpg","Фото")</f>
      </c>
    </row>
    <row r="8624">
      <c r="A8624" s="7">
        <f>HYPERLINK("http://www.lingerieopt.ru/item/10806-originalnje-chulki-s-bleskom/","10806")</f>
      </c>
      <c r="B8624" s="8" t="s">
        <v>3700</v>
      </c>
      <c r="C8624" s="9">
        <v>1252</v>
      </c>
      <c r="D8624" s="0">
        <v>5</v>
      </c>
      <c r="E8624" s="10">
        <f>HYPERLINK("http://www.lingerieopt.ru/images/original/e54fc0e1-a244-4ef4-8ea4-0f0027ed21e9.jpg","Фото")</f>
      </c>
    </row>
    <row r="8625">
      <c r="A8625" s="7">
        <f>HYPERLINK("http://www.lingerieopt.ru/item/10806-originalnje-chulki-s-bleskom/","10806")</f>
      </c>
      <c r="B8625" s="8" t="s">
        <v>3699</v>
      </c>
      <c r="C8625" s="9">
        <v>1252</v>
      </c>
      <c r="D8625" s="0">
        <v>3</v>
      </c>
      <c r="E8625" s="10">
        <f>HYPERLINK("http://www.lingerieopt.ru/images/original/e54fc0e1-a244-4ef4-8ea4-0f0027ed21e9.jpg","Фото")</f>
      </c>
    </row>
    <row r="8626">
      <c r="A8626" s="7">
        <f>HYPERLINK("http://www.lingerieopt.ru/item/10828-telesnje-chulki-s-beljm-shirokim-kruzhevom/","10828")</f>
      </c>
      <c r="B8626" s="8" t="s">
        <v>8271</v>
      </c>
      <c r="C8626" s="9">
        <v>533</v>
      </c>
      <c r="D8626" s="0">
        <v>8</v>
      </c>
      <c r="E8626" s="10">
        <f>HYPERLINK("http://www.lingerieopt.ru/images/original/6b1cdb9d-16cf-4d94-b6cc-9d1550e854c6.jpg","Фото")</f>
      </c>
    </row>
    <row r="8627">
      <c r="A8627" s="7">
        <f>HYPERLINK("http://www.lingerieopt.ru/item/10828-telesnje-chulki-s-beljm-shirokim-kruzhevom/","10828")</f>
      </c>
      <c r="B8627" s="8" t="s">
        <v>8272</v>
      </c>
      <c r="C8627" s="9">
        <v>533</v>
      </c>
      <c r="D8627" s="0">
        <v>4</v>
      </c>
      <c r="E8627" s="10">
        <f>HYPERLINK("http://www.lingerieopt.ru/images/original/6b1cdb9d-16cf-4d94-b6cc-9d1550e854c6.jpg","Фото")</f>
      </c>
    </row>
    <row r="8628">
      <c r="A8628" s="7">
        <f>HYPERLINK("http://www.lingerieopt.ru/item/10987-originalnje-chulki-s-imitaciei-shnurovki/","10987")</f>
      </c>
      <c r="B8628" s="8" t="s">
        <v>8273</v>
      </c>
      <c r="C8628" s="9">
        <v>1192</v>
      </c>
      <c r="D8628" s="0">
        <v>12</v>
      </c>
      <c r="E8628" s="10">
        <f>HYPERLINK("http://www.lingerieopt.ru/images/original/8d53573a-d479-44b1-9410-4287da857c6e.jpg","Фото")</f>
      </c>
    </row>
    <row r="8629">
      <c r="A8629" s="7">
        <f>HYPERLINK("http://www.lingerieopt.ru/item/11018-azhurnje-chulki-s-rezinkoi-na-silikone/","11018")</f>
      </c>
      <c r="B8629" s="8" t="s">
        <v>8274</v>
      </c>
      <c r="C8629" s="9">
        <v>724</v>
      </c>
      <c r="D8629" s="0">
        <v>4</v>
      </c>
      <c r="E8629" s="10">
        <f>HYPERLINK("http://www.lingerieopt.ru/images/original/15579561-be81-45c2-87ad-57245abe041f.jpg","Фото")</f>
      </c>
    </row>
    <row r="8630">
      <c r="A8630" s="7">
        <f>HYPERLINK("http://www.lingerieopt.ru/item/11018-azhurnje-chulki-s-rezinkoi-na-silikone/","11018")</f>
      </c>
      <c r="B8630" s="8" t="s">
        <v>8275</v>
      </c>
      <c r="C8630" s="9">
        <v>724</v>
      </c>
      <c r="D8630" s="0">
        <v>5</v>
      </c>
      <c r="E8630" s="10">
        <f>HYPERLINK("http://www.lingerieopt.ru/images/original/15579561-be81-45c2-87ad-57245abe041f.jpg","Фото")</f>
      </c>
    </row>
    <row r="8631">
      <c r="A8631" s="7">
        <f>HYPERLINK("http://www.lingerieopt.ru/item/11049-chulochki-wetlook-s-otkrjtoi-pyatkoi-i-noskom-razmerom-plus-size/","11049")</f>
      </c>
      <c r="B8631" s="8" t="s">
        <v>3703</v>
      </c>
      <c r="C8631" s="9">
        <v>828</v>
      </c>
      <c r="D8631" s="0">
        <v>7</v>
      </c>
      <c r="E8631" s="10">
        <f>HYPERLINK("http://www.lingerieopt.ru/images/original/6d728811-d79f-4ed9-963f-e6d965c9791c.jpg","Фото")</f>
      </c>
    </row>
    <row r="8632">
      <c r="A8632" s="7">
        <f>HYPERLINK("http://www.lingerieopt.ru/item/11049-chulochki-wetlook-s-otkrjtoi-pyatkoi-i-noskom-razmerom-plus-size/","11049")</f>
      </c>
      <c r="B8632" s="8" t="s">
        <v>3702</v>
      </c>
      <c r="C8632" s="9">
        <v>828</v>
      </c>
      <c r="D8632" s="0">
        <v>0</v>
      </c>
      <c r="E8632" s="10">
        <f>HYPERLINK("http://www.lingerieopt.ru/images/original/6d728811-d79f-4ed9-963f-e6d965c9791c.jpg","Фото")</f>
      </c>
    </row>
    <row r="8633">
      <c r="A8633" s="7">
        <f>HYPERLINK("http://www.lingerieopt.ru/item/11094-chulki-pod-poyas-s-uzkoi-kruzhevnoi-rezinkoi/","11094")</f>
      </c>
      <c r="B8633" s="8" t="s">
        <v>8276</v>
      </c>
      <c r="C8633" s="9">
        <v>572</v>
      </c>
      <c r="D8633" s="0">
        <v>13</v>
      </c>
      <c r="E8633" s="10">
        <f>HYPERLINK("http://www.lingerieopt.ru/images/original/674bb7b9-1633-4e96-b6c8-10b87561854a.jpg","Фото")</f>
      </c>
    </row>
    <row r="8634">
      <c r="A8634" s="7">
        <f>HYPERLINK("http://www.lingerieopt.ru/item/11094-chulki-pod-poyas-s-uzkoi-kruzhevnoi-rezinkoi/","11094")</f>
      </c>
      <c r="B8634" s="8" t="s">
        <v>8277</v>
      </c>
      <c r="C8634" s="9">
        <v>572</v>
      </c>
      <c r="D8634" s="0">
        <v>10</v>
      </c>
      <c r="E8634" s="10">
        <f>HYPERLINK("http://www.lingerieopt.ru/images/original/674bb7b9-1633-4e96-b6c8-10b87561854a.jpg","Фото")</f>
      </c>
    </row>
    <row r="8635">
      <c r="A8635" s="7">
        <f>HYPERLINK("http://www.lingerieopt.ru/item/11106-chulki-pod-poyas-s-kontrastnjm-uzorom-v-vide-voln/","11106")</f>
      </c>
      <c r="B8635" s="8" t="s">
        <v>8278</v>
      </c>
      <c r="C8635" s="9">
        <v>518</v>
      </c>
      <c r="D8635" s="0">
        <v>11</v>
      </c>
      <c r="E8635" s="10">
        <f>HYPERLINK("http://www.lingerieopt.ru/images/original/4ba2fba0-eb46-4420-a6bd-99518aad0a37.jpg","Фото")</f>
      </c>
    </row>
    <row r="8636">
      <c r="A8636" s="7">
        <f>HYPERLINK("http://www.lingerieopt.ru/item/11106-chulki-pod-poyas-s-kontrastnjm-uzorom-v-vide-voln/","11106")</f>
      </c>
      <c r="B8636" s="8" t="s">
        <v>8279</v>
      </c>
      <c r="C8636" s="9">
        <v>518</v>
      </c>
      <c r="D8636" s="0">
        <v>10</v>
      </c>
      <c r="E8636" s="10">
        <f>HYPERLINK("http://www.lingerieopt.ru/images/original/4ba2fba0-eb46-4420-a6bd-99518aad0a37.jpg","Фото")</f>
      </c>
    </row>
    <row r="8637">
      <c r="A8637" s="7">
        <f>HYPERLINK("http://www.lingerieopt.ru/item/11149-chulki-plus-size-v-melkuyu-setochku-s-kruzhevnjm-poyasom/","11149")</f>
      </c>
      <c r="B8637" s="8" t="s">
        <v>8280</v>
      </c>
      <c r="C8637" s="9">
        <v>996</v>
      </c>
      <c r="D8637" s="0">
        <v>5</v>
      </c>
      <c r="E8637" s="10">
        <f>HYPERLINK("http://www.lingerieopt.ru/images/original/e5a27b26-8f6a-4570-ac0e-b3db08a7f2fd.jpg","Фото")</f>
      </c>
    </row>
    <row r="8638">
      <c r="A8638" s="7">
        <f>HYPERLINK("http://www.lingerieopt.ru/item/11209-effektnje-chulki-pod-poyas-s-sinei-kruzhevnoi-rezinkoi-bez-silikona/","11209")</f>
      </c>
      <c r="B8638" s="8" t="s">
        <v>8281</v>
      </c>
      <c r="C8638" s="9">
        <v>521</v>
      </c>
      <c r="D8638" s="0">
        <v>5</v>
      </c>
      <c r="E8638" s="10">
        <f>HYPERLINK("http://www.lingerieopt.ru/images/original/e6fd3aae-e94e-4a82-bead-a089138a5639.jpg","Фото")</f>
      </c>
    </row>
    <row r="8639">
      <c r="A8639" s="7">
        <f>HYPERLINK("http://www.lingerieopt.ru/item/11209-effektnje-chulki-pod-poyas-s-sinei-kruzhevnoi-rezinkoi-bez-silikona/","11209")</f>
      </c>
      <c r="B8639" s="8" t="s">
        <v>8282</v>
      </c>
      <c r="C8639" s="9">
        <v>521</v>
      </c>
      <c r="D8639" s="0">
        <v>11</v>
      </c>
      <c r="E8639" s="10">
        <f>HYPERLINK("http://www.lingerieopt.ru/images/original/e6fd3aae-e94e-4a82-bead-a089138a5639.jpg","Фото")</f>
      </c>
    </row>
    <row r="8640">
      <c r="A8640" s="7">
        <f>HYPERLINK("http://www.lingerieopt.ru/item/11210-effektnje-chulki-s-poyasom-i-imitaciei-azhurnjh-strelok/","11210")</f>
      </c>
      <c r="B8640" s="8" t="s">
        <v>8283</v>
      </c>
      <c r="C8640" s="9">
        <v>936</v>
      </c>
      <c r="D8640" s="0">
        <v>11</v>
      </c>
      <c r="E8640" s="10">
        <f>HYPERLINK("http://www.lingerieopt.ru/images/original/f7ea508c-1d3f-41bd-9e28-ad50d944e006.jpg","Фото")</f>
      </c>
    </row>
    <row r="8641">
      <c r="A8641" s="7">
        <f>HYPERLINK("http://www.lingerieopt.ru/item/11211-chulki-v-setku-na-elastichnom-poyase/","11211")</f>
      </c>
      <c r="B8641" s="8" t="s">
        <v>8284</v>
      </c>
      <c r="C8641" s="9">
        <v>882</v>
      </c>
      <c r="D8641" s="0">
        <v>10</v>
      </c>
      <c r="E8641" s="10">
        <f>HYPERLINK("http://www.lingerieopt.ru/images/original/b2406b87-1773-46f7-9452-39c63a9986f6.jpg","Фото")</f>
      </c>
    </row>
    <row r="8642">
      <c r="A8642" s="7">
        <f>HYPERLINK("http://www.lingerieopt.ru/item/11218-chulki-pod-poyas-s-uzkoi-kruzhevnoi-rezinkoi-bez-silikona/","11218")</f>
      </c>
      <c r="B8642" s="8" t="s">
        <v>8285</v>
      </c>
      <c r="C8642" s="9">
        <v>483</v>
      </c>
      <c r="D8642" s="0">
        <v>10</v>
      </c>
      <c r="E8642" s="10">
        <f>HYPERLINK("http://www.lingerieopt.ru/images/original/b992c112-d463-4850-8ff4-4ee5885c6381.jpg","Фото")</f>
      </c>
    </row>
    <row r="8643">
      <c r="A8643" s="7">
        <f>HYPERLINK("http://www.lingerieopt.ru/item/11218-chulki-pod-poyas-s-uzkoi-kruzhevnoi-rezinkoi-bez-silikona/","11218")</f>
      </c>
      <c r="B8643" s="8" t="s">
        <v>8286</v>
      </c>
      <c r="C8643" s="9">
        <v>483</v>
      </c>
      <c r="D8643" s="0">
        <v>10</v>
      </c>
      <c r="E8643" s="10">
        <f>HYPERLINK("http://www.lingerieopt.ru/images/original/b992c112-d463-4850-8ff4-4ee5885c6381.jpg","Фото")</f>
      </c>
    </row>
    <row r="8644">
      <c r="A8644" s="7">
        <f>HYPERLINK("http://www.lingerieopt.ru/item/11220-azhurnji-poyas-dlya-chulok-s-figurnjmi-pazhami/","11220")</f>
      </c>
      <c r="B8644" s="8" t="s">
        <v>8287</v>
      </c>
      <c r="C8644" s="9">
        <v>1367</v>
      </c>
      <c r="D8644" s="0">
        <v>8</v>
      </c>
      <c r="E8644" s="10">
        <f>HYPERLINK("http://www.lingerieopt.ru/images/original/c3e9d6ab-9e5c-4f30-a44c-5d682f474b6e.jpg","Фото")</f>
      </c>
    </row>
    <row r="8645">
      <c r="A8645" s="7">
        <f>HYPERLINK("http://www.lingerieopt.ru/item/11220-azhurnji-poyas-dlya-chulok-s-figurnjmi-pazhami/","11220")</f>
      </c>
      <c r="B8645" s="8" t="s">
        <v>8288</v>
      </c>
      <c r="C8645" s="9">
        <v>1367</v>
      </c>
      <c r="D8645" s="0">
        <v>10</v>
      </c>
      <c r="E8645" s="10">
        <f>HYPERLINK("http://www.lingerieopt.ru/images/original/c3e9d6ab-9e5c-4f30-a44c-5d682f474b6e.jpg","Фото")</f>
      </c>
    </row>
    <row r="8646">
      <c r="A8646" s="7">
        <f>HYPERLINK("http://www.lingerieopt.ru/item/11265-chulki-s-kruzhevnjm-verhom-ravenis-20-den/","11265")</f>
      </c>
      <c r="B8646" s="8" t="s">
        <v>8289</v>
      </c>
      <c r="C8646" s="9">
        <v>722</v>
      </c>
      <c r="D8646" s="0">
        <v>3</v>
      </c>
      <c r="E8646" s="10">
        <f>HYPERLINK("http://www.lingerieopt.ru/images/original/994df4a2-aeac-426f-babd-c380fa90b6d6.jpg","Фото")</f>
      </c>
    </row>
    <row r="8647">
      <c r="A8647" s="7">
        <f>HYPERLINK("http://www.lingerieopt.ru/item/11265-chulki-s-kruzhevnjm-verhom-ravenis-20-den/","11265")</f>
      </c>
      <c r="B8647" s="8" t="s">
        <v>8290</v>
      </c>
      <c r="C8647" s="9">
        <v>722</v>
      </c>
      <c r="D8647" s="0">
        <v>3</v>
      </c>
      <c r="E8647" s="10">
        <f>HYPERLINK("http://www.lingerieopt.ru/images/original/994df4a2-aeac-426f-babd-c380fa90b6d6.jpg","Фото")</f>
      </c>
    </row>
    <row r="8648">
      <c r="A8648" s="7">
        <f>HYPERLINK("http://www.lingerieopt.ru/item/11265-chulki-s-kruzhevnjm-verhom-ravenis-20-den/","11265")</f>
      </c>
      <c r="B8648" s="8" t="s">
        <v>8291</v>
      </c>
      <c r="C8648" s="9">
        <v>722</v>
      </c>
      <c r="D8648" s="0">
        <v>1</v>
      </c>
      <c r="E8648" s="10">
        <f>HYPERLINK("http://www.lingerieopt.ru/images/original/994df4a2-aeac-426f-babd-c380fa90b6d6.jpg","Фото")</f>
      </c>
    </row>
    <row r="8649">
      <c r="A8649" s="7">
        <f>HYPERLINK("http://www.lingerieopt.ru/item/11301-poyas-dlya-chulok-v-komplekte-s-trusikami-string/","11301")</f>
      </c>
      <c r="B8649" s="8" t="s">
        <v>8292</v>
      </c>
      <c r="C8649" s="9">
        <v>1074</v>
      </c>
      <c r="D8649" s="0">
        <v>10</v>
      </c>
      <c r="E8649" s="10">
        <f>HYPERLINK("http://www.lingerieopt.ru/images/original/7f9f7787-6f86-47d9-9237-8476992cfcf2.jpg","Фото")</f>
      </c>
    </row>
    <row r="8650">
      <c r="A8650" s="7">
        <f>HYPERLINK("http://www.lingerieopt.ru/item/11301-poyas-dlya-chulok-v-komplekte-s-trusikami-string/","11301")</f>
      </c>
      <c r="B8650" s="8" t="s">
        <v>8293</v>
      </c>
      <c r="C8650" s="9">
        <v>1074</v>
      </c>
      <c r="D8650" s="0">
        <v>10</v>
      </c>
      <c r="E8650" s="10">
        <f>HYPERLINK("http://www.lingerieopt.ru/images/original/7f9f7787-6f86-47d9-9237-8476992cfcf2.jpg","Фото")</f>
      </c>
    </row>
    <row r="8651">
      <c r="A8651" s="7">
        <f>HYPERLINK("http://www.lingerieopt.ru/item/11324-effektnje-chulki-na-poyase-s-rombovidnjm-uzorom/","11324")</f>
      </c>
      <c r="B8651" s="8" t="s">
        <v>8294</v>
      </c>
      <c r="C8651" s="9">
        <v>856</v>
      </c>
      <c r="D8651" s="0">
        <v>10</v>
      </c>
      <c r="E8651" s="10">
        <f>HYPERLINK("http://www.lingerieopt.ru/images/original/d884c8cb-c718-4d41-a39b-c9cfe731aff2.jpg","Фото")</f>
      </c>
    </row>
    <row r="8652">
      <c r="A8652" s="7">
        <f>HYPERLINK("http://www.lingerieopt.ru/item/11325-chulki-setka-s-poyasom/","11325")</f>
      </c>
      <c r="B8652" s="8" t="s">
        <v>8295</v>
      </c>
      <c r="C8652" s="9">
        <v>882</v>
      </c>
      <c r="D8652" s="0">
        <v>10</v>
      </c>
      <c r="E8652" s="10">
        <f>HYPERLINK("http://www.lingerieopt.ru/images/original/de6c3755-01af-4ceb-9f68-3a013bbc0b0e.jpg","Фото")</f>
      </c>
    </row>
    <row r="8653">
      <c r="A8653" s="7">
        <f>HYPERLINK("http://www.lingerieopt.ru/item/11331-izjskannji-kruzhevnoi-poyas-dlya-chulok-na-kryuchkah/","11331")</f>
      </c>
      <c r="B8653" s="8" t="s">
        <v>8296</v>
      </c>
      <c r="C8653" s="9">
        <v>1301</v>
      </c>
      <c r="D8653" s="0">
        <v>7</v>
      </c>
      <c r="E8653" s="10">
        <f>HYPERLINK("http://www.lingerieopt.ru/images/original/5338d850-d098-4d31-a011-81ceb8d7a4b7.jpg","Фото")</f>
      </c>
    </row>
    <row r="8654">
      <c r="A8654" s="7">
        <f>HYPERLINK("http://www.lingerieopt.ru/item/11331-izjskannji-kruzhevnoi-poyas-dlya-chulok-na-kryuchkah/","11331")</f>
      </c>
      <c r="B8654" s="8" t="s">
        <v>8297</v>
      </c>
      <c r="C8654" s="9">
        <v>1301</v>
      </c>
      <c r="D8654" s="0">
        <v>11</v>
      </c>
      <c r="E8654" s="10">
        <f>HYPERLINK("http://www.lingerieopt.ru/images/original/5338d850-d098-4d31-a011-81ceb8d7a4b7.jpg","Фото")</f>
      </c>
    </row>
    <row r="8655">
      <c r="A8655" s="7">
        <f>HYPERLINK("http://www.lingerieopt.ru/item/11337-effektnje-chulki-s-uzorom/","11337")</f>
      </c>
      <c r="B8655" s="8" t="s">
        <v>8298</v>
      </c>
      <c r="C8655" s="9">
        <v>1743</v>
      </c>
      <c r="D8655" s="0">
        <v>20</v>
      </c>
      <c r="E8655" s="10">
        <f>HYPERLINK("http://www.lingerieopt.ru/images/original/1b062af0-9171-4dba-aba8-ff27898bc07e.jpg","Фото")</f>
      </c>
    </row>
    <row r="8656">
      <c r="A8656" s="7">
        <f>HYPERLINK("http://www.lingerieopt.ru/item/11337-effektnje-chulki-s-uzorom/","11337")</f>
      </c>
      <c r="B8656" s="8" t="s">
        <v>8299</v>
      </c>
      <c r="C8656" s="9">
        <v>1743</v>
      </c>
      <c r="D8656" s="0">
        <v>20</v>
      </c>
      <c r="E8656" s="10">
        <f>HYPERLINK("http://www.lingerieopt.ru/images/original/1b062af0-9171-4dba-aba8-ff27898bc07e.jpg","Фото")</f>
      </c>
    </row>
    <row r="8657">
      <c r="A8657" s="7">
        <f>HYPERLINK("http://www.lingerieopt.ru/item/11337-effektnje-chulki-s-uzorom/","11337")</f>
      </c>
      <c r="B8657" s="8" t="s">
        <v>8300</v>
      </c>
      <c r="C8657" s="9">
        <v>1743</v>
      </c>
      <c r="D8657" s="0">
        <v>2</v>
      </c>
      <c r="E8657" s="10">
        <f>HYPERLINK("http://www.lingerieopt.ru/images/original/1b062af0-9171-4dba-aba8-ff27898bc07e.jpg","Фото")</f>
      </c>
    </row>
    <row r="8658">
      <c r="A8658" s="7">
        <f>HYPERLINK("http://www.lingerieopt.ru/item/11337-effektnje-chulki-s-uzorom/","11337")</f>
      </c>
      <c r="B8658" s="8" t="s">
        <v>8301</v>
      </c>
      <c r="C8658" s="9">
        <v>1743</v>
      </c>
      <c r="D8658" s="0">
        <v>2</v>
      </c>
      <c r="E8658" s="10">
        <f>HYPERLINK("http://www.lingerieopt.ru/images/original/1b062af0-9171-4dba-aba8-ff27898bc07e.jpg","Фото")</f>
      </c>
    </row>
    <row r="8659">
      <c r="A8659" s="7">
        <f>HYPERLINK("http://www.lingerieopt.ru/item/11338-ocharovatelnje-chulki-s-kruzhevnoi-rezinkoi-uzorami-i-strelkoi/","11338")</f>
      </c>
      <c r="B8659" s="8" t="s">
        <v>8302</v>
      </c>
      <c r="C8659" s="9">
        <v>1743</v>
      </c>
      <c r="D8659" s="0">
        <v>1</v>
      </c>
      <c r="E8659" s="10">
        <f>HYPERLINK("http://www.lingerieopt.ru/images/original/f2495148-2868-49a5-b8ec-ad2c985fb913.jpg","Фото")</f>
      </c>
    </row>
    <row r="8660">
      <c r="A8660" s="7">
        <f>HYPERLINK("http://www.lingerieopt.ru/item/11338-ocharovatelnje-chulki-s-kruzhevnoi-rezinkoi-uzorami-i-strelkoi/","11338")</f>
      </c>
      <c r="B8660" s="8" t="s">
        <v>8303</v>
      </c>
      <c r="C8660" s="9">
        <v>1743</v>
      </c>
      <c r="D8660" s="0">
        <v>4</v>
      </c>
      <c r="E8660" s="10">
        <f>HYPERLINK("http://www.lingerieopt.ru/images/original/f2495148-2868-49a5-b8ec-ad2c985fb913.jpg","Фото")</f>
      </c>
    </row>
    <row r="8661">
      <c r="A8661" s="7">
        <f>HYPERLINK("http://www.lingerieopt.ru/item/11338-ocharovatelnje-chulki-s-kruzhevnoi-rezinkoi-uzorami-i-strelkoi/","11338")</f>
      </c>
      <c r="B8661" s="8" t="s">
        <v>8304</v>
      </c>
      <c r="C8661" s="9">
        <v>1743</v>
      </c>
      <c r="D8661" s="0">
        <v>14</v>
      </c>
      <c r="E8661" s="10">
        <f>HYPERLINK("http://www.lingerieopt.ru/images/original/f2495148-2868-49a5-b8ec-ad2c985fb913.jpg","Фото")</f>
      </c>
    </row>
    <row r="8662">
      <c r="A8662" s="7">
        <f>HYPERLINK("http://www.lingerieopt.ru/item/11338-ocharovatelnje-chulki-s-kruzhevnoi-rezinkoi-uzorami-i-strelkoi/","11338")</f>
      </c>
      <c r="B8662" s="8" t="s">
        <v>8305</v>
      </c>
      <c r="C8662" s="9">
        <v>1743</v>
      </c>
      <c r="D8662" s="0">
        <v>5</v>
      </c>
      <c r="E8662" s="10">
        <f>HYPERLINK("http://www.lingerieopt.ru/images/original/f2495148-2868-49a5-b8ec-ad2c985fb913.jpg","Фото")</f>
      </c>
    </row>
    <row r="8663">
      <c r="A8663" s="7">
        <f>HYPERLINK("http://www.lingerieopt.ru/item/11339-effektnje-chulki-s-imitaciei-shnurovki-i-bantami/","11339")</f>
      </c>
      <c r="B8663" s="8" t="s">
        <v>8306</v>
      </c>
      <c r="C8663" s="9">
        <v>1273</v>
      </c>
      <c r="D8663" s="0">
        <v>15</v>
      </c>
      <c r="E8663" s="10">
        <f>HYPERLINK("http://www.lingerieopt.ru/images/original/5fad8d54-0ae6-4b70-80bd-4d9f76bc559a.jpg","Фото")</f>
      </c>
    </row>
    <row r="8664">
      <c r="A8664" s="7">
        <f>HYPERLINK("http://www.lingerieopt.ru/item/11339-effektnje-chulki-s-imitaciei-shnurovki-i-bantami/","11339")</f>
      </c>
      <c r="B8664" s="8" t="s">
        <v>8307</v>
      </c>
      <c r="C8664" s="9">
        <v>1273</v>
      </c>
      <c r="D8664" s="0">
        <v>0</v>
      </c>
      <c r="E8664" s="10">
        <f>HYPERLINK("http://www.lingerieopt.ru/images/original/5fad8d54-0ae6-4b70-80bd-4d9f76bc559a.jpg","Фото")</f>
      </c>
    </row>
    <row r="8665">
      <c r="A8665" s="7">
        <f>HYPERLINK("http://www.lingerieopt.ru/item/11340-ocharovatelnje-chulki-s-uzorami-v-oblasti-rezinki/","11340")</f>
      </c>
      <c r="B8665" s="8" t="s">
        <v>8308</v>
      </c>
      <c r="C8665" s="9">
        <v>1743</v>
      </c>
      <c r="D8665" s="0">
        <v>3</v>
      </c>
      <c r="E8665" s="10">
        <f>HYPERLINK("http://www.lingerieopt.ru/images/original/c04d9886-85f1-4c42-923a-f09d3a56060c.jpg","Фото")</f>
      </c>
    </row>
    <row r="8666">
      <c r="A8666" s="7">
        <f>HYPERLINK("http://www.lingerieopt.ru/item/11340-ocharovatelnje-chulki-s-uzorami-v-oblasti-rezinki/","11340")</f>
      </c>
      <c r="B8666" s="8" t="s">
        <v>8309</v>
      </c>
      <c r="C8666" s="9">
        <v>1743</v>
      </c>
      <c r="D8666" s="0">
        <v>20</v>
      </c>
      <c r="E8666" s="10">
        <f>HYPERLINK("http://www.lingerieopt.ru/images/original/c04d9886-85f1-4c42-923a-f09d3a56060c.jpg","Фото")</f>
      </c>
    </row>
    <row r="8667">
      <c r="A8667" s="7">
        <f>HYPERLINK("http://www.lingerieopt.ru/item/11440-shirokii-kruzhevnoi-poyas-s-pazhami-i-trusikami/","11440")</f>
      </c>
      <c r="B8667" s="8" t="s">
        <v>8310</v>
      </c>
      <c r="C8667" s="9">
        <v>1211</v>
      </c>
      <c r="D8667" s="0">
        <v>10</v>
      </c>
      <c r="E8667" s="10">
        <f>HYPERLINK("http://www.lingerieopt.ru/images/original/3e155214-862f-443f-932c-6f1da7b8bf49.jpg","Фото")</f>
      </c>
    </row>
    <row r="8668">
      <c r="A8668" s="7">
        <f>HYPERLINK("http://www.lingerieopt.ru/item/11440-shirokii-kruzhevnoi-poyas-s-pazhami-i-trusikami/","11440")</f>
      </c>
      <c r="B8668" s="8" t="s">
        <v>8311</v>
      </c>
      <c r="C8668" s="9">
        <v>1211</v>
      </c>
      <c r="D8668" s="0">
        <v>11</v>
      </c>
      <c r="E8668" s="10">
        <f>HYPERLINK("http://www.lingerieopt.ru/images/original/3e155214-862f-443f-932c-6f1da7b8bf49.jpg","Фото")</f>
      </c>
    </row>
    <row r="8669">
      <c r="A8669" s="7">
        <f>HYPERLINK("http://www.lingerieopt.ru/item/11457-voshititelnje-chulki-s-kruzhevnoi-rezinkoi-na-silikone-i-cvetochnjm-uzorom/","11457")</f>
      </c>
      <c r="B8669" s="8" t="s">
        <v>8312</v>
      </c>
      <c r="C8669" s="9">
        <v>572</v>
      </c>
      <c r="D8669" s="0">
        <v>6</v>
      </c>
      <c r="E8669" s="10">
        <f>HYPERLINK("http://www.lingerieopt.ru/images/original/4b849c73-970d-41e3-ab22-df3f832b0b1e.jpg","Фото")</f>
      </c>
    </row>
    <row r="8670">
      <c r="A8670" s="7">
        <f>HYPERLINK("http://www.lingerieopt.ru/item/11457-voshititelnje-chulki-s-kruzhevnoi-rezinkoi-na-silikone-i-cvetochnjm-uzorom/","11457")</f>
      </c>
      <c r="B8670" s="8" t="s">
        <v>8313</v>
      </c>
      <c r="C8670" s="9">
        <v>572</v>
      </c>
      <c r="D8670" s="0">
        <v>7</v>
      </c>
      <c r="E8670" s="10">
        <f>HYPERLINK("http://www.lingerieopt.ru/images/original/4b849c73-970d-41e3-ab22-df3f832b0b1e.jpg","Фото")</f>
      </c>
    </row>
    <row r="8671">
      <c r="A8671" s="5"/>
      <c r="B8671" s="6" t="s">
        <v>8314</v>
      </c>
      <c r="C8671" s="5"/>
      <c r="D8671" s="5"/>
      <c r="E8671" s="5"/>
    </row>
    <row r="8672">
      <c r="A8672" s="7">
        <f>HYPERLINK("http://www.lingerieopt.ru/item/2102-podyubnik-trehsloinji-chernji-50-sm/","2102")</f>
      </c>
      <c r="B8672" s="8" t="s">
        <v>8315</v>
      </c>
      <c r="C8672" s="9">
        <v>273</v>
      </c>
      <c r="D8672" s="0">
        <v>20</v>
      </c>
      <c r="E8672" s="10">
        <f>HYPERLINK("http://www.lingerieopt.ru/images/original/b5902105-ec53-4188-8b75-deae3dcfc335.jpg","Фото")</f>
      </c>
    </row>
    <row r="8673">
      <c r="A8673" s="7">
        <f>HYPERLINK("http://www.lingerieopt.ru/item/3678-ultrakorotkaya-glyancevaya-yubka-na-molnii/","3678")</f>
      </c>
      <c r="B8673" s="8" t="s">
        <v>3602</v>
      </c>
      <c r="C8673" s="9">
        <v>381</v>
      </c>
      <c r="D8673" s="0">
        <v>0</v>
      </c>
      <c r="E8673" s="10">
        <f>HYPERLINK("http://www.lingerieopt.ru/images/original/474677d4-e41e-4262-aa9c-934e2f74ae35.jpg","Фото")</f>
      </c>
    </row>
    <row r="8674">
      <c r="A8674" s="7">
        <f>HYPERLINK("http://www.lingerieopt.ru/item/3678-ultrakorotkaya-glyancevaya-yubka-na-molnii/","3678")</f>
      </c>
      <c r="B8674" s="8" t="s">
        <v>3601</v>
      </c>
      <c r="C8674" s="9">
        <v>381</v>
      </c>
      <c r="D8674" s="0">
        <v>0</v>
      </c>
      <c r="E8674" s="10">
        <f>HYPERLINK("http://www.lingerieopt.ru/images/original/474677d4-e41e-4262-aa9c-934e2f74ae35.jpg","Фото")</f>
      </c>
    </row>
    <row r="8675">
      <c r="A8675" s="7">
        <f>HYPERLINK("http://www.lingerieopt.ru/item/3678-ultrakorotkaya-glyancevaya-yubka-na-molnii/","3678")</f>
      </c>
      <c r="B8675" s="8" t="s">
        <v>3604</v>
      </c>
      <c r="C8675" s="9">
        <v>381</v>
      </c>
      <c r="D8675" s="0">
        <v>0</v>
      </c>
      <c r="E8675" s="10">
        <f>HYPERLINK("http://www.lingerieopt.ru/images/original/474677d4-e41e-4262-aa9c-934e2f74ae35.jpg","Фото")</f>
      </c>
    </row>
    <row r="8676">
      <c r="A8676" s="7">
        <f>HYPERLINK("http://www.lingerieopt.ru/item/3678-ultrakorotkaya-glyancevaya-yubka-na-molnii/","3678")</f>
      </c>
      <c r="B8676" s="8" t="s">
        <v>3605</v>
      </c>
      <c r="C8676" s="9">
        <v>381</v>
      </c>
      <c r="D8676" s="0">
        <v>6</v>
      </c>
      <c r="E8676" s="10">
        <f>HYPERLINK("http://www.lingerieopt.ru/images/original/474677d4-e41e-4262-aa9c-934e2f74ae35.jpg","Фото")</f>
      </c>
    </row>
    <row r="8677">
      <c r="A8677" s="7">
        <f>HYPERLINK("http://www.lingerieopt.ru/item/3678-ultrakorotkaya-glyancevaya-yubka-na-molnii/","3678")</f>
      </c>
      <c r="B8677" s="8" t="s">
        <v>3603</v>
      </c>
      <c r="C8677" s="9">
        <v>381</v>
      </c>
      <c r="D8677" s="0">
        <v>0</v>
      </c>
      <c r="E8677" s="10">
        <f>HYPERLINK("http://www.lingerieopt.ru/images/original/474677d4-e41e-4262-aa9c-934e2f74ae35.jpg","Фото")</f>
      </c>
    </row>
    <row r="8678">
      <c r="A8678" s="7">
        <f>HYPERLINK("http://www.lingerieopt.ru/item/3678-ultrakorotkaya-glyancevaya-yubka-na-molnii/","3678")</f>
      </c>
      <c r="B8678" s="8" t="s">
        <v>3606</v>
      </c>
      <c r="C8678" s="9">
        <v>381</v>
      </c>
      <c r="D8678" s="0">
        <v>0</v>
      </c>
      <c r="E8678" s="10">
        <f>HYPERLINK("http://www.lingerieopt.ru/images/original/474677d4-e41e-4262-aa9c-934e2f74ae35.jpg","Фото")</f>
      </c>
    </row>
    <row r="8679">
      <c r="A8679" s="7">
        <f>HYPERLINK("http://www.lingerieopt.ru/item/3680-korotkaya-plissirovannaya-yubka-cveta-metallik-s-molniei/","3680")</f>
      </c>
      <c r="B8679" s="8" t="s">
        <v>3607</v>
      </c>
      <c r="C8679" s="9">
        <v>190</v>
      </c>
      <c r="D8679" s="0">
        <v>30</v>
      </c>
      <c r="E8679" s="10">
        <f>HYPERLINK("http://www.lingerieopt.ru/images/original/a52d6169-00f2-4cc5-8265-2c8c4428c70d.jpg","Фото")</f>
      </c>
    </row>
    <row r="8680">
      <c r="A8680" s="7">
        <f>HYPERLINK("http://www.lingerieopt.ru/item/3680-korotkaya-plissirovannaya-yubka-cveta-metallik-s-molniei/","3680")</f>
      </c>
      <c r="B8680" s="8" t="s">
        <v>3608</v>
      </c>
      <c r="C8680" s="9">
        <v>190</v>
      </c>
      <c r="D8680" s="0">
        <v>30</v>
      </c>
      <c r="E8680" s="10">
        <f>HYPERLINK("http://www.lingerieopt.ru/images/original/a52d6169-00f2-4cc5-8265-2c8c4428c70d.jpg","Фото")</f>
      </c>
    </row>
    <row r="8681">
      <c r="A8681" s="7">
        <f>HYPERLINK("http://www.lingerieopt.ru/item/3680-korotkaya-plissirovannaya-yubka-cveta-metallik-s-molniei/","3680")</f>
      </c>
      <c r="B8681" s="8" t="s">
        <v>3609</v>
      </c>
      <c r="C8681" s="9">
        <v>190</v>
      </c>
      <c r="D8681" s="0">
        <v>31</v>
      </c>
      <c r="E8681" s="10">
        <f>HYPERLINK("http://www.lingerieopt.ru/images/original/a52d6169-00f2-4cc5-8265-2c8c4428c70d.jpg","Фото")</f>
      </c>
    </row>
    <row r="8682">
      <c r="A8682" s="7">
        <f>HYPERLINK("http://www.lingerieopt.ru/item/3807-chernaya-lakovaya-mini-yubka/","3807")</f>
      </c>
      <c r="B8682" s="8" t="s">
        <v>3610</v>
      </c>
      <c r="C8682" s="9">
        <v>3315</v>
      </c>
      <c r="D8682" s="0">
        <v>0</v>
      </c>
      <c r="E8682" s="10">
        <f>HYPERLINK("http://www.lingerieopt.ru/images/original/a54abc31-c4d1-476d-9446-e01edb451115.jpg","Фото")</f>
      </c>
    </row>
    <row r="8683">
      <c r="A8683" s="7">
        <f>HYPERLINK("http://www.lingerieopt.ru/item/3807-chernaya-lakovaya-mini-yubka/","3807")</f>
      </c>
      <c r="B8683" s="8" t="s">
        <v>3611</v>
      </c>
      <c r="C8683" s="9">
        <v>3315</v>
      </c>
      <c r="D8683" s="0">
        <v>0</v>
      </c>
      <c r="E8683" s="10">
        <f>HYPERLINK("http://www.lingerieopt.ru/images/original/a54abc31-c4d1-476d-9446-e01edb451115.jpg","Фото")</f>
      </c>
    </row>
    <row r="8684">
      <c r="A8684" s="7">
        <f>HYPERLINK("http://www.lingerieopt.ru/item/3807-chernaya-lakovaya-mini-yubka/","3807")</f>
      </c>
      <c r="B8684" s="8" t="s">
        <v>3612</v>
      </c>
      <c r="C8684" s="9">
        <v>3315</v>
      </c>
      <c r="D8684" s="0">
        <v>1</v>
      </c>
      <c r="E8684" s="10">
        <f>HYPERLINK("http://www.lingerieopt.ru/images/original/a54abc31-c4d1-476d-9446-e01edb451115.jpg","Фото")</f>
      </c>
    </row>
    <row r="8685">
      <c r="A8685" s="7">
        <f>HYPERLINK("http://www.lingerieopt.ru/item/4212-yubka-s-kontrastnjm-kruzhevom/","4212")</f>
      </c>
      <c r="B8685" s="8" t="s">
        <v>8316</v>
      </c>
      <c r="C8685" s="9">
        <v>876</v>
      </c>
      <c r="D8685" s="0">
        <v>1</v>
      </c>
      <c r="E8685" s="10">
        <f>HYPERLINK("http://www.lingerieopt.ru/images/original/8e36b50a-a23b-420f-8dd9-9cd3d33d4dfd.jpg","Фото")</f>
      </c>
    </row>
    <row r="8686">
      <c r="A8686" s="7">
        <f>HYPERLINK("http://www.lingerieopt.ru/item/6972-mini-yubka-shkolnicj/","6972")</f>
      </c>
      <c r="B8686" s="8" t="s">
        <v>8317</v>
      </c>
      <c r="C8686" s="9">
        <v>709</v>
      </c>
      <c r="D8686" s="0">
        <v>1</v>
      </c>
      <c r="E8686" s="10">
        <f>HYPERLINK("http://www.lingerieopt.ru/images/original/5b9eca9b-b014-4e56-9656-a750864acae7.jpg","Фото")</f>
      </c>
    </row>
    <row r="8687">
      <c r="A8687" s="7">
        <f>HYPERLINK("http://www.lingerieopt.ru/item/6972-mini-yubka-shkolnicj/","6972")</f>
      </c>
      <c r="B8687" s="8" t="s">
        <v>8318</v>
      </c>
      <c r="C8687" s="9">
        <v>709</v>
      </c>
      <c r="D8687" s="0">
        <v>1</v>
      </c>
      <c r="E8687" s="10">
        <f>HYPERLINK("http://www.lingerieopt.ru/images/original/5b9eca9b-b014-4e56-9656-a750864acae7.jpg","Фото")</f>
      </c>
    </row>
    <row r="8688">
      <c r="A8688" s="7">
        <f>HYPERLINK("http://www.lingerieopt.ru/item/8275-atlasnaya-yubka-s-bolshim-rozovjm-bantom/","8275")</f>
      </c>
      <c r="B8688" s="8" t="s">
        <v>8319</v>
      </c>
      <c r="C8688" s="9">
        <v>1841</v>
      </c>
      <c r="D8688" s="0">
        <v>2</v>
      </c>
      <c r="E8688" s="10">
        <f>HYPERLINK("http://www.lingerieopt.ru/images/original/afcf82aa-1a00-4c6b-b977-84b00a2a1d46.jpg","Фото")</f>
      </c>
    </row>
    <row r="8689">
      <c r="A8689" s="7">
        <f>HYPERLINK("http://www.lingerieopt.ru/item/10622-yubka-studentessa-iz-strep-lent/","10622")</f>
      </c>
      <c r="B8689" s="8" t="s">
        <v>8320</v>
      </c>
      <c r="C8689" s="9">
        <v>1164</v>
      </c>
      <c r="D8689" s="0">
        <v>5</v>
      </c>
      <c r="E8689" s="10">
        <f>HYPERLINK("http://www.lingerieopt.ru/images/original/129fed20-f80a-46e3-a35d-4f392c040fc6.jpg","Фото")</f>
      </c>
    </row>
    <row r="8690">
      <c r="A8690" s="7">
        <f>HYPERLINK("http://www.lingerieopt.ru/item/10622-yubka-studentessa-iz-strep-lent/","10622")</f>
      </c>
      <c r="B8690" s="8" t="s">
        <v>8321</v>
      </c>
      <c r="C8690" s="9">
        <v>1164</v>
      </c>
      <c r="D8690" s="0">
        <v>5</v>
      </c>
      <c r="E8690" s="10">
        <f>HYPERLINK("http://www.lingerieopt.ru/images/original/129fed20-f80a-46e3-a35d-4f392c040fc6.jpg","Фото")</f>
      </c>
    </row>
    <row r="8691">
      <c r="A8691" s="7">
        <f>HYPERLINK("http://www.lingerieopt.ru/item/10622-yubka-studentessa-iz-strep-lent/","10622")</f>
      </c>
      <c r="B8691" s="8" t="s">
        <v>8322</v>
      </c>
      <c r="C8691" s="9">
        <v>1164</v>
      </c>
      <c r="D8691" s="0">
        <v>5</v>
      </c>
      <c r="E8691" s="10">
        <f>HYPERLINK("http://www.lingerieopt.ru/images/original/129fed20-f80a-46e3-a35d-4f392c040fc6.jpg","Фото")</f>
      </c>
    </row>
    <row r="8692">
      <c r="A8692" s="5"/>
      <c r="B8692" s="6" t="s">
        <v>8323</v>
      </c>
      <c r="C8692" s="5"/>
      <c r="D8692" s="5"/>
      <c r="E8692" s="5"/>
    </row>
    <row r="8693">
      <c r="A8693" s="7">
        <f>HYPERLINK("http://www.lingerieopt.ru/item/7950-chernaya-setka-dlya-volos-pod-parik/","7950")</f>
      </c>
      <c r="B8693" s="8" t="s">
        <v>8324</v>
      </c>
      <c r="C8693" s="9">
        <v>245</v>
      </c>
      <c r="D8693" s="0">
        <v>30</v>
      </c>
      <c r="E8693" s="10">
        <f>HYPERLINK("http://www.lingerieopt.ru/images/original/2d56ecb6-4410-47d2-90f7-be836843dafd.jpg","Фото")</f>
      </c>
    </row>
    <row r="8694">
      <c r="A8694" s="7">
        <f>HYPERLINK("http://www.lingerieopt.ru/item/7957-neonovje-svetyaschiesya-v-temnote-clip-in-lokonj/","7957")</f>
      </c>
      <c r="B8694" s="8" t="s">
        <v>8325</v>
      </c>
      <c r="C8694" s="9">
        <v>81</v>
      </c>
      <c r="D8694" s="0">
        <v>30</v>
      </c>
      <c r="E8694" s="10">
        <f>HYPERLINK("http://www.lingerieopt.ru/images/original/2f5ec2e2-47d8-4e0b-9558-63bfa1b1c259.jpg","Фото")</f>
      </c>
    </row>
    <row r="8695">
      <c r="A8695" s="7">
        <f>HYPERLINK("http://www.lingerieopt.ru/item/7960-cherno-belje-clip-in-lokonj-s-printom-pandj/","7960")</f>
      </c>
      <c r="B8695" s="8" t="s">
        <v>8326</v>
      </c>
      <c r="C8695" s="9">
        <v>118</v>
      </c>
      <c r="D8695" s="0">
        <v>30</v>
      </c>
      <c r="E8695" s="10">
        <f>HYPERLINK("http://www.lingerieopt.ru/images/original/12129a28-35c9-4886-8fe4-44b37aaae4ef.jpg","Фото")</f>
      </c>
    </row>
    <row r="8696">
      <c r="A8696" s="7">
        <f>HYPERLINK("http://www.lingerieopt.ru/item/7961-cvetnje-clip-in-lokonj-fioletovje-s-rozovjmi-serdechkami/","7961")</f>
      </c>
      <c r="B8696" s="8" t="s">
        <v>8327</v>
      </c>
      <c r="C8696" s="9">
        <v>118</v>
      </c>
      <c r="D8696" s="0">
        <v>30</v>
      </c>
      <c r="E8696" s="10">
        <f>HYPERLINK("http://www.lingerieopt.ru/images/original/1335c1b8-811d-43fc-b675-4c958d7b6fce.jpg","Фото")</f>
      </c>
    </row>
    <row r="8697">
      <c r="A8697" s="7">
        <f>HYPERLINK("http://www.lingerieopt.ru/item/7964-svetlje-clip-in-lokonj-cveta-naturalnji-blond/","7964")</f>
      </c>
      <c r="B8697" s="8" t="s">
        <v>8328</v>
      </c>
      <c r="C8697" s="9">
        <v>76</v>
      </c>
      <c r="D8697" s="0">
        <v>30</v>
      </c>
      <c r="E8697" s="10">
        <f>HYPERLINK("http://www.lingerieopt.ru/images/original/13c8a64a-2cec-4c9f-b201-d2da8623157f.jpg","Фото")</f>
      </c>
    </row>
    <row r="8698">
      <c r="A8698" s="7">
        <f>HYPERLINK("http://www.lingerieopt.ru/item/7967-cvetnje-clip-in-lokonj-slivovogo-cveta/","7967")</f>
      </c>
      <c r="B8698" s="8" t="s">
        <v>8329</v>
      </c>
      <c r="C8698" s="9">
        <v>76</v>
      </c>
      <c r="D8698" s="0">
        <v>30</v>
      </c>
      <c r="E8698" s="10">
        <f>HYPERLINK("http://www.lingerieopt.ru/images/original/02afafa9-7140-416e-a711-613633db762a.jpg","Фото")</f>
      </c>
    </row>
    <row r="8699">
      <c r="A8699" s="7">
        <f>HYPERLINK("http://www.lingerieopt.ru/item/7973-telesnaya-setka-dlya-volos-pod-parik/","7973")</f>
      </c>
      <c r="B8699" s="8" t="s">
        <v>8330</v>
      </c>
      <c r="C8699" s="9">
        <v>245</v>
      </c>
      <c r="D8699" s="0">
        <v>30</v>
      </c>
      <c r="E8699" s="10">
        <f>HYPERLINK("http://www.lingerieopt.ru/images/original/05accaa0-cc4f-4ff6-9600-59cd9080beef.jpg","Фото")</f>
      </c>
    </row>
    <row r="8700">
      <c r="A8700" s="7">
        <f>HYPERLINK("http://www.lingerieopt.ru/item/7974-temnje-clip-in-lokonj/","7974")</f>
      </c>
      <c r="B8700" s="8" t="s">
        <v>8331</v>
      </c>
      <c r="C8700" s="9">
        <v>76</v>
      </c>
      <c r="D8700" s="0">
        <v>30</v>
      </c>
      <c r="E8700" s="10">
        <f>HYPERLINK("http://www.lingerieopt.ru/images/original/851c3457-3bb1-47ac-9fb8-4f6b37b60bbd.jpg","Фото")</f>
      </c>
    </row>
    <row r="8701">
      <c r="A8701" s="7">
        <f>HYPERLINK("http://www.lingerieopt.ru/item/7975-cherno-belje-lokonj-clip-in/","7975")</f>
      </c>
      <c r="B8701" s="8" t="s">
        <v>8332</v>
      </c>
      <c r="C8701" s="9">
        <v>118</v>
      </c>
      <c r="D8701" s="0">
        <v>30</v>
      </c>
      <c r="E8701" s="10">
        <f>HYPERLINK("http://www.lingerieopt.ru/images/original/ef4ff0e3-6f7b-4425-b143-e66eb445c2a8.jpg","Фото")</f>
      </c>
    </row>
    <row r="8702">
      <c r="A8702" s="7">
        <f>HYPERLINK("http://www.lingerieopt.ru/item/7978-skladnaya-podstavka-dlya-parika/","7978")</f>
      </c>
      <c r="B8702" s="8" t="s">
        <v>8333</v>
      </c>
      <c r="C8702" s="9">
        <v>296</v>
      </c>
      <c r="D8702" s="0">
        <v>30</v>
      </c>
      <c r="E8702" s="10">
        <f>HYPERLINK("http://www.lingerieopt.ru/images/original/927820b0-f7fb-4a12-b711-50424e9e7e25.jpg","Фото")</f>
      </c>
    </row>
    <row r="8703">
      <c r="A8703" s="7">
        <f>HYPERLINK("http://www.lingerieopt.ru/item/7979-cvetnje-clip-in-lokonj-cherno-rozovaya-zebra/","7979")</f>
      </c>
      <c r="B8703" s="8" t="s">
        <v>8334</v>
      </c>
      <c r="C8703" s="9">
        <v>118</v>
      </c>
      <c r="D8703" s="0">
        <v>30</v>
      </c>
      <c r="E8703" s="10">
        <f>HYPERLINK("http://www.lingerieopt.ru/images/original/1b415e75-db6d-4f84-b50e-cd0fda9c4d96.jpg","Фото")</f>
      </c>
    </row>
    <row r="8704">
      <c r="A8704" s="7">
        <f>HYPERLINK("http://www.lingerieopt.ru/item/7980-svetlje-clip-in-lokonj-platinovji-blond/","7980")</f>
      </c>
      <c r="B8704" s="8" t="s">
        <v>8335</v>
      </c>
      <c r="C8704" s="9">
        <v>76</v>
      </c>
      <c r="D8704" s="0">
        <v>30</v>
      </c>
      <c r="E8704" s="10">
        <f>HYPERLINK("http://www.lingerieopt.ru/images/original/234a7639-235b-4c33-9429-f11f5bdd4413.jpg","Фото")</f>
      </c>
    </row>
    <row r="8705">
      <c r="A8705" s="7">
        <f>HYPERLINK("http://www.lingerieopt.ru/item/7981-cvetnje-clip-in-lokonj-lilovogo-cveta/","7981")</f>
      </c>
      <c r="B8705" s="8" t="s">
        <v>8336</v>
      </c>
      <c r="C8705" s="9">
        <v>76</v>
      </c>
      <c r="D8705" s="0">
        <v>30</v>
      </c>
      <c r="E8705" s="10">
        <f>HYPERLINK("http://www.lingerieopt.ru/images/original/56ef7c33-6809-48c2-afb2-6f23fe2c8a1d.jpg","Фото")</f>
      </c>
    </row>
    <row r="8706">
      <c r="A8706" s="7">
        <f>HYPERLINK("http://www.lingerieopt.ru/item/7983-belo-rozovji-parik-candy/","7983")</f>
      </c>
      <c r="B8706" s="8" t="s">
        <v>8337</v>
      </c>
      <c r="C8706" s="9">
        <v>2888</v>
      </c>
      <c r="D8706" s="0">
        <v>3</v>
      </c>
      <c r="E8706" s="10">
        <f>HYPERLINK("http://www.lingerieopt.ru/images/original/7b247035-d4b0-404c-b9f2-1cf0a6139718.jpg","Фото")</f>
      </c>
    </row>
    <row r="8707">
      <c r="A8707" s="7">
        <f>HYPERLINK("http://www.lingerieopt.ru/item/8199-kare-cveta-platinovji-blond-playfully-platinum/","8199")</f>
      </c>
      <c r="B8707" s="8" t="s">
        <v>8338</v>
      </c>
      <c r="C8707" s="9">
        <v>2359</v>
      </c>
      <c r="D8707" s="0">
        <v>1</v>
      </c>
      <c r="E8707" s="10">
        <f>HYPERLINK("http://www.lingerieopt.ru/images/original/6ed3f078-8704-420e-a6d8-1645c2f2ac9c.jpg","Фото")</f>
      </c>
    </row>
    <row r="8708">
      <c r="A8708" s="7">
        <f>HYPERLINK("http://www.lingerieopt.ru/item/8202-dlinnaya-pricheska-dark-elegance-iz-struyaschihsya-obemnjh-lokonov/","8202")</f>
      </c>
      <c r="B8708" s="8" t="s">
        <v>8339</v>
      </c>
      <c r="C8708" s="9">
        <v>2528</v>
      </c>
      <c r="D8708" s="0">
        <v>3</v>
      </c>
      <c r="E8708" s="10">
        <f>HYPERLINK("http://www.lingerieopt.ru/images/original/6f915a16-d5fa-455b-add9-d5451c594ceb.jpg","Фото")</f>
      </c>
    </row>
    <row r="8709">
      <c r="A8709" s="7">
        <f>HYPERLINK("http://www.lingerieopt.ru/item/8233-podstavka-pod-parik/","8233")</f>
      </c>
      <c r="B8709" s="8" t="s">
        <v>8340</v>
      </c>
      <c r="C8709" s="9">
        <v>3599</v>
      </c>
      <c r="D8709" s="0">
        <v>1</v>
      </c>
      <c r="E8709" s="10">
        <f>HYPERLINK("http://www.lingerieopt.ru/images/original/957ba6b1-1d5f-4e87-87dc-07a226415d2a.jpg","Фото")</f>
      </c>
    </row>
    <row r="8710">
      <c r="A8710" s="7">
        <f>HYPERLINK("http://www.lingerieopt.ru/item/8234-parik-bryunetki-s-chelkoi-dlinoi-do-plech/","8234")</f>
      </c>
      <c r="B8710" s="8" t="s">
        <v>8341</v>
      </c>
      <c r="C8710" s="9">
        <v>2049</v>
      </c>
      <c r="D8710" s="0">
        <v>16</v>
      </c>
      <c r="E8710" s="10">
        <f>HYPERLINK("http://www.lingerieopt.ru/images/original/39662019-65ab-4b5b-ace7-bbba331d568f.jpg","Фото")</f>
      </c>
    </row>
    <row r="8711">
      <c r="A8711" s="7">
        <f>HYPERLINK("http://www.lingerieopt.ru/item/8236-rjzhevatji-parik-amber-s-kosoi-chelkoi/","8236")</f>
      </c>
      <c r="B8711" s="8" t="s">
        <v>8342</v>
      </c>
      <c r="C8711" s="9">
        <v>2502</v>
      </c>
      <c r="D8711" s="0">
        <v>9</v>
      </c>
      <c r="E8711" s="10">
        <f>HYPERLINK("http://www.lingerieopt.ru/images/original/86b4f0ce-3bb0-4460-876b-49370e5adc3f.jpg","Фото")</f>
      </c>
    </row>
    <row r="8712">
      <c r="A8712" s="7">
        <f>HYPERLINK("http://www.lingerieopt.ru/item/8238-rjzhevatji-parik-so-strizhkoi-lesenkoi/","8238")</f>
      </c>
      <c r="B8712" s="8" t="s">
        <v>8343</v>
      </c>
      <c r="C8712" s="9">
        <v>2049</v>
      </c>
      <c r="D8712" s="0">
        <v>4</v>
      </c>
      <c r="E8712" s="10">
        <f>HYPERLINK("http://www.lingerieopt.ru/images/original/14f496ff-969e-4b30-806a-ee6fcfc85371.jpg","Фото")</f>
      </c>
    </row>
    <row r="8713">
      <c r="A8713" s="7">
        <f>HYPERLINK("http://www.lingerieopt.ru/item/8239-bordovji-parik-sienna/","8239")</f>
      </c>
      <c r="B8713" s="8" t="s">
        <v>8344</v>
      </c>
      <c r="C8713" s="9">
        <v>2049</v>
      </c>
      <c r="D8713" s="0">
        <v>10</v>
      </c>
      <c r="E8713" s="10">
        <f>HYPERLINK("http://www.lingerieopt.ru/images/original/84136321-ba7f-4abc-a37d-89dbbbb8120b.jpg","Фото")</f>
      </c>
    </row>
    <row r="8714">
      <c r="A8714" s="7">
        <f>HYPERLINK("http://www.lingerieopt.ru/item/8244-podstavka-dlya-parika-na-nozhkah/","8244")</f>
      </c>
      <c r="B8714" s="8" t="s">
        <v>8345</v>
      </c>
      <c r="C8714" s="9">
        <v>212</v>
      </c>
      <c r="D8714" s="0">
        <v>7</v>
      </c>
      <c r="E8714" s="10">
        <f>HYPERLINK("http://www.lingerieopt.ru/images/original/fc133d4c-cd9f-4b0a-a738-99677a2cac94.jpg","Фото")</f>
      </c>
    </row>
    <row r="8715">
      <c r="A8715" s="7">
        <f>HYPERLINK("http://www.lingerieopt.ru/item/8245-setka-pod-parik/","8245")</f>
      </c>
      <c r="B8715" s="8" t="s">
        <v>8346</v>
      </c>
      <c r="C8715" s="9">
        <v>155</v>
      </c>
      <c r="D8715" s="0">
        <v>10</v>
      </c>
      <c r="E8715" s="10">
        <f>HYPERLINK("http://www.lingerieopt.ru/images/original/ecca697b-cf52-4494-8046-95d326d86ab0.jpg","Фото")</f>
      </c>
    </row>
    <row r="8716">
      <c r="A8716" s="7">
        <f>HYPERLINK("http://www.lingerieopt.ru/item/8254-kashtanovji-parik-jessica-s-dlinnjmi-pryamjmi-volosami/","8254")</f>
      </c>
      <c r="B8716" s="8" t="s">
        <v>8347</v>
      </c>
      <c r="C8716" s="9">
        <v>2502</v>
      </c>
      <c r="D8716" s="0">
        <v>2</v>
      </c>
      <c r="E8716" s="10">
        <f>HYPERLINK("http://www.lingerieopt.ru/images/original/27530fea-e52a-49f7-b352-3464f85ec678.jpg","Фото")</f>
      </c>
    </row>
    <row r="8717">
      <c r="A8717" s="7">
        <f>HYPERLINK("http://www.lingerieopt.ru/item/8257-kashtanovji-parik-sienna/","8257")</f>
      </c>
      <c r="B8717" s="8" t="s">
        <v>8348</v>
      </c>
      <c r="C8717" s="9">
        <v>2049</v>
      </c>
      <c r="D8717" s="0">
        <v>3</v>
      </c>
      <c r="E8717" s="10">
        <f>HYPERLINK("http://www.lingerieopt.ru/images/original/27c5296d-a354-44bb-a7eb-e2e32fce1a08.jpg","Фото")</f>
      </c>
    </row>
    <row r="8718">
      <c r="A8718" s="7">
        <f>HYPERLINK("http://www.lingerieopt.ru/item/8259-krasnji-parik-khloe-s-dlinnoi-chelkoi/","8259")</f>
      </c>
      <c r="B8718" s="8" t="s">
        <v>8349</v>
      </c>
      <c r="C8718" s="9">
        <v>1971</v>
      </c>
      <c r="D8718" s="0">
        <v>6</v>
      </c>
      <c r="E8718" s="10">
        <f>HYPERLINK("http://www.lingerieopt.ru/images/original/f643ab54-e7b4-4cdc-9ac1-a9a6ff18c106.jpg","Фото")</f>
      </c>
    </row>
    <row r="8719">
      <c r="A8719" s="7">
        <f>HYPERLINK("http://www.lingerieopt.ru/item/8260-sinii-parik-khloe-s-dlinnoi-chelkoi/","8260")</f>
      </c>
      <c r="B8719" s="8" t="s">
        <v>8350</v>
      </c>
      <c r="C8719" s="9">
        <v>2190</v>
      </c>
      <c r="D8719" s="0">
        <v>3</v>
      </c>
      <c r="E8719" s="10">
        <f>HYPERLINK("http://www.lingerieopt.ru/images/original/85b11ae5-5ac4-4cec-9be0-19d153d6925e.jpg","Фото")</f>
      </c>
    </row>
    <row r="8720">
      <c r="A8720" s="7">
        <f>HYPERLINK("http://www.lingerieopt.ru/item/8261-sirenevji-parik-khloe-s-dlinnoi-chelkoi/","8261")</f>
      </c>
      <c r="B8720" s="8" t="s">
        <v>8351</v>
      </c>
      <c r="C8720" s="9">
        <v>2190</v>
      </c>
      <c r="D8720" s="0">
        <v>5</v>
      </c>
      <c r="E8720" s="10">
        <f>HYPERLINK("http://www.lingerieopt.ru/images/original/2bd1ea40-3c80-4581-ab81-35894b3f70ce.jpg","Фото")</f>
      </c>
    </row>
    <row r="8721">
      <c r="A8721" s="7">
        <f>HYPERLINK("http://www.lingerieopt.ru/item/10373-zelenji-parik-so-strizhkoi-pryamoi-bob/","10373")</f>
      </c>
      <c r="B8721" s="8" t="s">
        <v>8352</v>
      </c>
      <c r="C8721" s="9">
        <v>1894</v>
      </c>
      <c r="D8721" s="0">
        <v>4</v>
      </c>
      <c r="E8721" s="10">
        <f>HYPERLINK("http://www.lingerieopt.ru/images/original/bd671615-8e62-48d4-88f8-b715b528b4f8.jpg","Фото")</f>
      </c>
    </row>
    <row r="8722">
      <c r="A8722" s="5"/>
      <c r="B8722" s="6" t="s">
        <v>8353</v>
      </c>
      <c r="C8722" s="5"/>
      <c r="D8722" s="5"/>
      <c r="E8722" s="5"/>
    </row>
    <row r="8723">
      <c r="A8723" s="7">
        <f>HYPERLINK("http://www.lingerieopt.ru/item/717-sergi-zvezdochki-s-kristallami-diamond-star/","717")</f>
      </c>
      <c r="B8723" s="8" t="s">
        <v>8354</v>
      </c>
      <c r="C8723" s="9">
        <v>1347</v>
      </c>
      <c r="D8723" s="0">
        <v>1</v>
      </c>
      <c r="E8723" s="10">
        <f>HYPERLINK("http://www.lingerieopt.ru/images/original/e3cf37a1-5931-4de7-98c1-1e83def8c0b5.jpg","Фото")</f>
      </c>
    </row>
    <row r="8724">
      <c r="A8724" s="7">
        <f>HYPERLINK("http://www.lingerieopt.ru/item/6042-zakolka-dlya-volos-s-krasnjm-yakorem/","6042")</f>
      </c>
      <c r="B8724" s="8" t="s">
        <v>8355</v>
      </c>
      <c r="C8724" s="9">
        <v>800</v>
      </c>
      <c r="D8724" s="0">
        <v>7</v>
      </c>
      <c r="E8724" s="10">
        <f>HYPERLINK("http://www.lingerieopt.ru/images/original/84dd7e27-eb8a-422d-baa6-e58bc63599b9.jpg","Фото")</f>
      </c>
    </row>
    <row r="8725">
      <c r="A8725" s="7">
        <f>HYPERLINK("http://www.lingerieopt.ru/item/6043-zakolka-dlya-volos/","6043")</f>
      </c>
      <c r="B8725" s="8" t="s">
        <v>8356</v>
      </c>
      <c r="C8725" s="9">
        <v>1300</v>
      </c>
      <c r="D8725" s="0">
        <v>7</v>
      </c>
      <c r="E8725" s="10">
        <f>HYPERLINK("http://www.lingerieopt.ru/images/original/4a085b3f-e171-4665-b0c0-e7acfd8fdad0.jpg","Фото")</f>
      </c>
    </row>
    <row r="8726">
      <c r="A8726" s="7">
        <f>HYPERLINK("http://www.lingerieopt.ru/item/6044-zakolka-dlya-volos-s-yakorem/","6044")</f>
      </c>
      <c r="B8726" s="8" t="s">
        <v>8357</v>
      </c>
      <c r="C8726" s="9">
        <v>800</v>
      </c>
      <c r="D8726" s="0">
        <v>7</v>
      </c>
      <c r="E8726" s="10">
        <f>HYPERLINK("http://www.lingerieopt.ru/images/original/e158ab67-6c49-423e-b14a-c0c4be71583b.jpg","Фото")</f>
      </c>
    </row>
    <row r="8727">
      <c r="A8727" s="7">
        <f>HYPERLINK("http://www.lingerieopt.ru/item/6045-zakolka-dlya-volos-so-znakom-piki/","6045")</f>
      </c>
      <c r="B8727" s="8" t="s">
        <v>8358</v>
      </c>
      <c r="C8727" s="9">
        <v>800</v>
      </c>
      <c r="D8727" s="0">
        <v>9</v>
      </c>
      <c r="E8727" s="10">
        <f>HYPERLINK("http://www.lingerieopt.ru/images/original/afb12880-70a5-4e6a-8493-5c617c0ea805.jpg","Фото")</f>
      </c>
    </row>
    <row r="8728">
      <c r="A8728" s="7">
        <f>HYPERLINK("http://www.lingerieopt.ru/item/6046-zakolka-dlya-volos-s-medvezhonkom/","6046")</f>
      </c>
      <c r="B8728" s="8" t="s">
        <v>8359</v>
      </c>
      <c r="C8728" s="9">
        <v>800</v>
      </c>
      <c r="D8728" s="0">
        <v>11</v>
      </c>
      <c r="E8728" s="10">
        <f>HYPERLINK("http://www.lingerieopt.ru/images/original/2a52a9e6-8999-4e73-b1c2-650a60919bbc.jpg","Фото")</f>
      </c>
    </row>
    <row r="8729">
      <c r="A8729" s="7">
        <f>HYPERLINK("http://www.lingerieopt.ru/item/7909-ukrashenie-na-bedra-dangler-belt/","7909")</f>
      </c>
      <c r="B8729" s="8" t="s">
        <v>8360</v>
      </c>
      <c r="C8729" s="9">
        <v>1884</v>
      </c>
      <c r="D8729" s="0">
        <v>6</v>
      </c>
      <c r="E8729" s="10">
        <f>HYPERLINK("http://www.lingerieopt.ru/images/original/2f7aed45-213b-4042-b77e-5a84d639d7da.jpg","Фото")</f>
      </c>
    </row>
    <row r="8730">
      <c r="A8730" s="7">
        <f>HYPERLINK("http://www.lingerieopt.ru/item/7910-zolotistoe-ukrashenie-na-bedra-dangler-belt/","7910")</f>
      </c>
      <c r="B8730" s="8" t="s">
        <v>8361</v>
      </c>
      <c r="C8730" s="9">
        <v>1884</v>
      </c>
      <c r="D8730" s="0">
        <v>6</v>
      </c>
      <c r="E8730" s="10">
        <f>HYPERLINK("http://www.lingerieopt.ru/images/original/44254f12-a6c2-4a42-b608-c3f3eda12e3f.jpg","Фото")</f>
      </c>
    </row>
    <row r="8731">
      <c r="A8731" s="7">
        <f>HYPERLINK("http://www.lingerieopt.ru/item/7911-ukrashenie-na-telo-sexy/","7911")</f>
      </c>
      <c r="B8731" s="8" t="s">
        <v>8362</v>
      </c>
      <c r="C8731" s="9">
        <v>2450</v>
      </c>
      <c r="D8731" s="0">
        <v>6</v>
      </c>
      <c r="E8731" s="10">
        <f>HYPERLINK("http://www.lingerieopt.ru/images/original/5068b561-10a7-410e-a710-2e3b8df1ac5b.jpg","Фото")</f>
      </c>
    </row>
    <row r="8732">
      <c r="A8732" s="7">
        <f>HYPERLINK("http://www.lingerieopt.ru/item/7912-kruglje-sergi-bitch/","7912")</f>
      </c>
      <c r="B8732" s="8" t="s">
        <v>8363</v>
      </c>
      <c r="C8732" s="9">
        <v>844</v>
      </c>
      <c r="D8732" s="0">
        <v>3</v>
      </c>
      <c r="E8732" s="10">
        <f>HYPERLINK("http://www.lingerieopt.ru/images/original/481c82fd-d138-4aa3-ab17-3f5459dfaa40.jpg","Фото")</f>
      </c>
    </row>
    <row r="8733">
      <c r="A8733" s="7">
        <f>HYPERLINK("http://www.lingerieopt.ru/item/7913-shikarnoe-ozherele-queen/","7913")</f>
      </c>
      <c r="B8733" s="8" t="s">
        <v>8364</v>
      </c>
      <c r="C8733" s="9">
        <v>3869</v>
      </c>
      <c r="D8733" s="0">
        <v>6</v>
      </c>
      <c r="E8733" s="10">
        <f>HYPERLINK("http://www.lingerieopt.ru/images/original/63d8057c-e93f-4b47-92b9-197ff23f8d15.jpg","Фото")</f>
      </c>
    </row>
    <row r="8734">
      <c r="A8734" s="7">
        <f>HYPERLINK("http://www.lingerieopt.ru/item/7914-sergi-gvozdiki-s-kristallami/","7914")</f>
      </c>
      <c r="B8734" s="8" t="s">
        <v>8365</v>
      </c>
      <c r="C8734" s="9">
        <v>808</v>
      </c>
      <c r="D8734" s="0">
        <v>6</v>
      </c>
      <c r="E8734" s="10">
        <f>HYPERLINK("http://www.lingerieopt.ru/images/original/d9f2f97b-e58a-48a0-9dc8-307ae5de0093.jpg","Фото")</f>
      </c>
    </row>
    <row r="8735">
      <c r="A8735" s="7">
        <f>HYPERLINK("http://www.lingerieopt.ru/item/7917-kole-s-podveskoi-heart-necklace-with-bold-chain/","7917")</f>
      </c>
      <c r="B8735" s="8" t="s">
        <v>8366</v>
      </c>
      <c r="C8735" s="9">
        <v>926</v>
      </c>
      <c r="D8735" s="0">
        <v>1</v>
      </c>
      <c r="E8735" s="10">
        <f>HYPERLINK("http://www.lingerieopt.ru/images/original/49cba02f-6ed7-4f2a-8176-6aa732434fcb.jpg","Фото")</f>
      </c>
    </row>
    <row r="8736">
      <c r="A8736" s="7">
        <f>HYPERLINK("http://www.lingerieopt.ru/item/7919-osheinik-iz-kristallov-sexy-rhinestone-choker/","7919")</f>
      </c>
      <c r="B8736" s="8" t="s">
        <v>8367</v>
      </c>
      <c r="C8736" s="9">
        <v>930</v>
      </c>
      <c r="D8736" s="0">
        <v>30</v>
      </c>
      <c r="E8736" s="10">
        <f>HYPERLINK("http://www.lingerieopt.ru/images/original/35e787a4-2b0c-4c36-8877-b10e000e587d.jpg","Фото")</f>
      </c>
    </row>
    <row r="8737">
      <c r="A8737" s="7">
        <f>HYPERLINK("http://www.lingerieopt.ru/item/7921-shirokii-zolotistji-osheinik-s-nadpisyu-fuck/","7921")</f>
      </c>
      <c r="B8737" s="8" t="s">
        <v>8368</v>
      </c>
      <c r="C8737" s="9">
        <v>2638</v>
      </c>
      <c r="D8737" s="0">
        <v>7</v>
      </c>
      <c r="E8737" s="10">
        <f>HYPERLINK("http://www.lingerieopt.ru/images/original/2c040a4a-0600-405a-9802-914d16676ef3.jpg","Фото")</f>
      </c>
    </row>
    <row r="8738">
      <c r="A8738" s="7">
        <f>HYPERLINK("http://www.lingerieopt.ru/item/7923-braslet-iz-zolotistjh-kristallov-stretch-tennis-bracelet/","7923")</f>
      </c>
      <c r="B8738" s="8" t="s">
        <v>8369</v>
      </c>
      <c r="C8738" s="9">
        <v>754</v>
      </c>
      <c r="D8738" s="0">
        <v>30</v>
      </c>
      <c r="E8738" s="10">
        <f>HYPERLINK("http://www.lingerieopt.ru/images/original/32f34439-be5f-4b3a-9cd8-fd69decb0468.jpg","Фото")</f>
      </c>
    </row>
    <row r="8739">
      <c r="A8739" s="7">
        <f>HYPERLINK("http://www.lingerieopt.ru/item/7925-cepochka-s-bolshoi-podveskoi-serdcem/","7925")</f>
      </c>
      <c r="B8739" s="8" t="s">
        <v>8370</v>
      </c>
      <c r="C8739" s="9">
        <v>577</v>
      </c>
      <c r="D8739" s="0">
        <v>30</v>
      </c>
      <c r="E8739" s="10">
        <f>HYPERLINK("http://www.lingerieopt.ru/images/original/39b97d61-3a41-418d-9f49-c1021be4c9f7.jpg","Фото")</f>
      </c>
    </row>
    <row r="8740">
      <c r="A8740" s="7">
        <f>HYPERLINK("http://www.lingerieopt.ru/item/7927-zolotistji-galstuk-iz-kristallov-sexy-rhinestore-tie/","7927")</f>
      </c>
      <c r="B8740" s="8" t="s">
        <v>8371</v>
      </c>
      <c r="C8740" s="9">
        <v>1405</v>
      </c>
      <c r="D8740" s="0">
        <v>30</v>
      </c>
      <c r="E8740" s="10">
        <f>HYPERLINK("http://www.lingerieopt.ru/images/original/bdab57aa-e82c-47ab-8529-5fff1ba94cf5.jpg","Фото")</f>
      </c>
    </row>
    <row r="8741">
      <c r="A8741" s="7">
        <f>HYPERLINK("http://www.lingerieopt.ru/item/7928-galstuk-iz-kristallov-sexy-rhinestore-tie/","7928")</f>
      </c>
      <c r="B8741" s="8" t="s">
        <v>8372</v>
      </c>
      <c r="C8741" s="9">
        <v>1405</v>
      </c>
      <c r="D8741" s="0">
        <v>31</v>
      </c>
      <c r="E8741" s="10">
        <f>HYPERLINK("http://www.lingerieopt.ru/images/original/a50c1355-672f-4262-8f78-8c4ed3c0a0b0.jpg","Фото")</f>
      </c>
    </row>
    <row r="8742">
      <c r="A8742" s="7">
        <f>HYPERLINK("http://www.lingerieopt.ru/item/7929-ukrashenie-so-zvezdochkami/","7929")</f>
      </c>
      <c r="B8742" s="8" t="s">
        <v>8373</v>
      </c>
      <c r="C8742" s="9">
        <v>667</v>
      </c>
      <c r="D8742" s="0">
        <v>30</v>
      </c>
      <c r="E8742" s="10">
        <f>HYPERLINK("http://www.lingerieopt.ru/images/original/3c33a682-b02f-4159-aed2-610ab1c06950.jpg","Фото")</f>
      </c>
    </row>
    <row r="8743">
      <c r="A8743" s="7">
        <f>HYPERLINK("http://www.lingerieopt.ru/item/7930-ukrashenie-dlya-grudi-sexy/","7930")</f>
      </c>
      <c r="B8743" s="8" t="s">
        <v>8374</v>
      </c>
      <c r="C8743" s="9">
        <v>2374</v>
      </c>
      <c r="D8743" s="0">
        <v>30</v>
      </c>
      <c r="E8743" s="10">
        <f>HYPERLINK("http://www.lingerieopt.ru/images/original/53c5836a-aa4e-424e-baf2-ed39150db8f5.jpg","Фото")</f>
      </c>
    </row>
    <row r="8744">
      <c r="A8744" s="7">
        <f>HYPERLINK("http://www.lingerieopt.ru/item/7931-zolotistaya-cepochka-s-serdcem-titanic-heart-necklace/","7931")</f>
      </c>
      <c r="B8744" s="8" t="s">
        <v>8375</v>
      </c>
      <c r="C8744" s="9">
        <v>1355</v>
      </c>
      <c r="D8744" s="0">
        <v>6</v>
      </c>
      <c r="E8744" s="10">
        <f>HYPERLINK("http://www.lingerieopt.ru/images/original/ce8b3981-b744-4c05-8482-094716219c44.jpg","Фото")</f>
      </c>
    </row>
    <row r="8745">
      <c r="A8745" s="7">
        <f>HYPERLINK("http://www.lingerieopt.ru/item/7932-kruglje-sergi-sexy/","7932")</f>
      </c>
      <c r="B8745" s="8" t="s">
        <v>8376</v>
      </c>
      <c r="C8745" s="9">
        <v>844</v>
      </c>
      <c r="D8745" s="0">
        <v>30</v>
      </c>
      <c r="E8745" s="10">
        <f>HYPERLINK("http://www.lingerieopt.ru/images/original/356b0ac5-d145-4c87-903b-7739b24dc55e.jpg","Фото")</f>
      </c>
    </row>
    <row r="8746">
      <c r="A8746" s="7">
        <f>HYPERLINK("http://www.lingerieopt.ru/item/7934-galstuk-iz-zolotistjh-kristallov-executive-rhinestone-tie/","7934")</f>
      </c>
      <c r="B8746" s="8" t="s">
        <v>8377</v>
      </c>
      <c r="C8746" s="9">
        <v>1145</v>
      </c>
      <c r="D8746" s="0">
        <v>30</v>
      </c>
      <c r="E8746" s="10">
        <f>HYPERLINK("http://www.lingerieopt.ru/images/original/4c8e668f-7955-4353-96ad-b101754ce0fe.jpg","Фото")</f>
      </c>
    </row>
    <row r="8747">
      <c r="A8747" s="7">
        <f>HYPERLINK("http://www.lingerieopt.ru/item/7935-ozherele-babochka-iz-blestyaschih-kristallov/","7935")</f>
      </c>
      <c r="B8747" s="8" t="s">
        <v>8378</v>
      </c>
      <c r="C8747" s="9">
        <v>1874</v>
      </c>
      <c r="D8747" s="0">
        <v>6</v>
      </c>
      <c r="E8747" s="10">
        <f>HYPERLINK("http://www.lingerieopt.ru/images/original/7883d1a8-084e-409b-9b43-8b0878b5999b.jpg","Фото")</f>
      </c>
    </row>
    <row r="8748">
      <c r="A8748" s="7">
        <f>HYPERLINK("http://www.lingerieopt.ru/item/7936-sergi-serdca-iz-kristallov-love/","7936")</f>
      </c>
      <c r="B8748" s="8" t="s">
        <v>8379</v>
      </c>
      <c r="C8748" s="9">
        <v>1178</v>
      </c>
      <c r="D8748" s="0">
        <v>30</v>
      </c>
      <c r="E8748" s="10">
        <f>HYPERLINK("http://www.lingerieopt.ru/images/original/68e43c5d-8dc1-4e78-90a8-5be903086ce4.jpg","Фото")</f>
      </c>
    </row>
    <row r="8749">
      <c r="A8749" s="7">
        <f>HYPERLINK("http://www.lingerieopt.ru/item/7937-cepochka-s-podveskoi-sexy/","7937")</f>
      </c>
      <c r="B8749" s="8" t="s">
        <v>8380</v>
      </c>
      <c r="C8749" s="9">
        <v>700</v>
      </c>
      <c r="D8749" s="0">
        <v>30</v>
      </c>
      <c r="E8749" s="10">
        <f>HYPERLINK("http://www.lingerieopt.ru/images/original/8dbae8d1-dc5f-47ed-ab1b-832b84588dc5.jpg","Фото")</f>
      </c>
    </row>
    <row r="8750">
      <c r="A8750" s="7">
        <f>HYPERLINK("http://www.lingerieopt.ru/item/7938-zolotistji-top-iz-kristallov-rhinestone-hottie-top/","7938")</f>
      </c>
      <c r="B8750" s="8" t="s">
        <v>8381</v>
      </c>
      <c r="C8750" s="9">
        <v>3518</v>
      </c>
      <c r="D8750" s="0">
        <v>6</v>
      </c>
      <c r="E8750" s="10">
        <f>HYPERLINK("http://www.lingerieopt.ru/images/original/025f689b-bb8b-423a-a402-cafd1060c589.jpg","Фото")</f>
      </c>
    </row>
    <row r="8751">
      <c r="A8751" s="7">
        <f>HYPERLINK("http://www.lingerieopt.ru/item/8267-chernji-choker-so-shnurovkoi-berra/","8267")</f>
      </c>
      <c r="B8751" s="8" t="s">
        <v>3655</v>
      </c>
      <c r="C8751" s="9">
        <v>659</v>
      </c>
      <c r="D8751" s="0">
        <v>16</v>
      </c>
      <c r="E8751" s="10">
        <f>HYPERLINK("http://www.lingerieopt.ru/images/original/c1d78e80-a32b-4ec6-8ffc-2737401cdc2f.jpg","Фото")</f>
      </c>
    </row>
    <row r="8752">
      <c r="A8752" s="7">
        <f>HYPERLINK("http://www.lingerieopt.ru/item/8268-choker-babochka-pepe-black/","8268")</f>
      </c>
      <c r="B8752" s="8" t="s">
        <v>8382</v>
      </c>
      <c r="C8752" s="9">
        <v>1021</v>
      </c>
      <c r="D8752" s="0">
        <v>16</v>
      </c>
      <c r="E8752" s="10">
        <f>HYPERLINK("http://www.lingerieopt.ru/images/original/49a6d987-a5d1-42ca-b03b-8d113c1c0a8f.jpg","Фото")</f>
      </c>
    </row>
    <row r="8753">
      <c r="A8753" s="7">
        <f>HYPERLINK("http://www.lingerieopt.ru/item/8269-reznoi-braslet-gero-black/","8269")</f>
      </c>
      <c r="B8753" s="8" t="s">
        <v>8383</v>
      </c>
      <c r="C8753" s="9">
        <v>1207</v>
      </c>
      <c r="D8753" s="0">
        <v>21</v>
      </c>
      <c r="E8753" s="10">
        <f>HYPERLINK("http://www.lingerieopt.ru/images/original/25417fe9-90c1-49e0-a697-c9bfab15f849.jpg","Фото")</f>
      </c>
    </row>
    <row r="8754">
      <c r="A8754" s="7">
        <f>HYPERLINK("http://www.lingerieopt.ru/item/8291-korichnevji-choker-maze-single-choker/","8291")</f>
      </c>
      <c r="B8754" s="8" t="s">
        <v>8384</v>
      </c>
      <c r="C8754" s="9">
        <v>1251</v>
      </c>
      <c r="D8754" s="0">
        <v>10</v>
      </c>
      <c r="E8754" s="10">
        <f>HYPERLINK("http://www.lingerieopt.ru/images/original/b2a094be-7703-42b8-bf3a-fbaee6e3410c.jpg","Фото")</f>
      </c>
    </row>
    <row r="8755">
      <c r="A8755" s="7">
        <f>HYPERLINK("http://www.lingerieopt.ru/item/8476-reznoi-shirokii-kozhanji-braslet-shana/","8476")</f>
      </c>
      <c r="B8755" s="8" t="s">
        <v>8385</v>
      </c>
      <c r="C8755" s="9">
        <v>1811</v>
      </c>
      <c r="D8755" s="0">
        <v>25</v>
      </c>
      <c r="E8755" s="10">
        <f>HYPERLINK("http://www.lingerieopt.ru/images/original/18d77ea0-6cc8-4665-9360-4edd77fdfba4.jpg","Фото")</f>
      </c>
    </row>
    <row r="8756">
      <c r="A8756" s="7">
        <f>HYPERLINK("http://www.lingerieopt.ru/item/8832-belaya-maska-na-glaza-etheria-s-kruzhevami-po-krayu/","8832")</f>
      </c>
      <c r="B8756" s="8" t="s">
        <v>8386</v>
      </c>
      <c r="C8756" s="9">
        <v>572</v>
      </c>
      <c r="D8756" s="0">
        <v>6</v>
      </c>
      <c r="E8756" s="10">
        <f>HYPERLINK("http://www.lingerieopt.ru/images/original/f2372060-93c2-4d22-ad0f-fe325d34e08f.jpg","Фото")</f>
      </c>
    </row>
    <row r="8757">
      <c r="A8757" s="7">
        <f>HYPERLINK("http://www.lingerieopt.ru/item/8965-ukrashenie-na-golovu-queen-of-hearts-arabesque/","8965")</f>
      </c>
      <c r="B8757" s="8" t="s">
        <v>8387</v>
      </c>
      <c r="C8757" s="9">
        <v>744</v>
      </c>
      <c r="D8757" s="0">
        <v>5</v>
      </c>
      <c r="E8757" s="10">
        <f>HYPERLINK("http://www.lingerieopt.ru/images/original/291623e8-82a6-4d94-8248-98cb7f93fa21.jpg","Фото")</f>
      </c>
    </row>
    <row r="8758">
      <c r="A8758" s="7">
        <f>HYPERLINK("http://www.lingerieopt.ru/item/8965-ukrashenie-na-golovu-queen-of-hearts-arabesque/","8965")</f>
      </c>
      <c r="B8758" s="8" t="s">
        <v>8388</v>
      </c>
      <c r="C8758" s="9">
        <v>744</v>
      </c>
      <c r="D8758" s="0">
        <v>9</v>
      </c>
      <c r="E8758" s="10">
        <f>HYPERLINK("http://www.lingerieopt.ru/images/original/291623e8-82a6-4d94-8248-98cb7f93fa21.jpg","Фото")</f>
      </c>
    </row>
    <row r="8759">
      <c r="A8759" s="7">
        <f>HYPERLINK("http://www.lingerieopt.ru/item/8965-ukrashenie-na-golovu-queen-of-hearts-arabesque/","8965")</f>
      </c>
      <c r="B8759" s="8" t="s">
        <v>8389</v>
      </c>
      <c r="C8759" s="9">
        <v>744</v>
      </c>
      <c r="D8759" s="0">
        <v>9</v>
      </c>
      <c r="E8759" s="10">
        <f>HYPERLINK("http://www.lingerieopt.ru/images/original/291623e8-82a6-4d94-8248-98cb7f93fa21.jpg","Фото")</f>
      </c>
    </row>
    <row r="8760">
      <c r="A8760" s="7">
        <f>HYPERLINK("http://www.lingerieopt.ru/item/8966-ukrashenie-na-golovu-queen-of-hearts-s-dlinnoi-bahromoi/","8966")</f>
      </c>
      <c r="B8760" s="8" t="s">
        <v>8390</v>
      </c>
      <c r="C8760" s="9">
        <v>636</v>
      </c>
      <c r="D8760" s="0">
        <v>7</v>
      </c>
      <c r="E8760" s="10">
        <f>HYPERLINK("http://www.lingerieopt.ru/images/original/4d65a431-5afe-4331-a010-b48bcf99a7e7.jpg","Фото")</f>
      </c>
    </row>
    <row r="8761">
      <c r="A8761" s="7">
        <f>HYPERLINK("http://www.lingerieopt.ru/item/8966-ukrashenie-na-golovu-queen-of-hearts-s-dlinnoi-bahromoi/","8966")</f>
      </c>
      <c r="B8761" s="8" t="s">
        <v>8391</v>
      </c>
      <c r="C8761" s="9">
        <v>636</v>
      </c>
      <c r="D8761" s="0">
        <v>3</v>
      </c>
      <c r="E8761" s="10">
        <f>HYPERLINK("http://www.lingerieopt.ru/images/original/4d65a431-5afe-4331-a010-b48bcf99a7e7.jpg","Фото")</f>
      </c>
    </row>
    <row r="8762">
      <c r="A8762" s="7">
        <f>HYPERLINK("http://www.lingerieopt.ru/item/8966-ukrashenie-na-golovu-queen-of-hearts-s-dlinnoi-bahromoi/","8966")</f>
      </c>
      <c r="B8762" s="8" t="s">
        <v>8392</v>
      </c>
      <c r="C8762" s="9">
        <v>636</v>
      </c>
      <c r="D8762" s="0">
        <v>9</v>
      </c>
      <c r="E8762" s="10">
        <f>HYPERLINK("http://www.lingerieopt.ru/images/original/4d65a431-5afe-4331-a010-b48bcf99a7e7.jpg","Фото")</f>
      </c>
    </row>
    <row r="8763">
      <c r="A8763" s="7">
        <f>HYPERLINK("http://www.lingerieopt.ru/item/8967-ukrashenie-na-nogi-pod-obuv-queen-of-hearts-arabesque/","8967")</f>
      </c>
      <c r="B8763" s="8" t="s">
        <v>8393</v>
      </c>
      <c r="C8763" s="9">
        <v>1164</v>
      </c>
      <c r="D8763" s="0">
        <v>3</v>
      </c>
      <c r="E8763" s="10">
        <f>HYPERLINK("http://www.lingerieopt.ru/images/original/43c25ae0-df47-41d4-a72a-e213e0425598.jpg","Фото")</f>
      </c>
    </row>
    <row r="8764">
      <c r="A8764" s="7">
        <f>HYPERLINK("http://www.lingerieopt.ru/item/8967-ukrashenie-na-nogi-pod-obuv-queen-of-hearts-arabesque/","8967")</f>
      </c>
      <c r="B8764" s="8" t="s">
        <v>8394</v>
      </c>
      <c r="C8764" s="9">
        <v>1164</v>
      </c>
      <c r="D8764" s="0">
        <v>1</v>
      </c>
      <c r="E8764" s="10">
        <f>HYPERLINK("http://www.lingerieopt.ru/images/original/43c25ae0-df47-41d4-a72a-e213e0425598.jpg","Фото")</f>
      </c>
    </row>
    <row r="8765">
      <c r="A8765" s="7">
        <f>HYPERLINK("http://www.lingerieopt.ru/item/8967-ukrashenie-na-nogi-pod-obuv-queen-of-hearts-arabesque/","8967")</f>
      </c>
      <c r="B8765" s="8" t="s">
        <v>8395</v>
      </c>
      <c r="C8765" s="9">
        <v>1164</v>
      </c>
      <c r="D8765" s="0">
        <v>4</v>
      </c>
      <c r="E8765" s="10">
        <f>HYPERLINK("http://www.lingerieopt.ru/images/original/43c25ae0-df47-41d4-a72a-e213e0425598.jpg","Фото")</f>
      </c>
    </row>
    <row r="8766">
      <c r="A8766" s="7">
        <f>HYPERLINK("http://www.lingerieopt.ru/item/8968-choker-queen-of-hearts-bonita-s-bantikami/","8968")</f>
      </c>
      <c r="B8766" s="8" t="s">
        <v>8396</v>
      </c>
      <c r="C8766" s="9">
        <v>792</v>
      </c>
      <c r="D8766" s="0">
        <v>9</v>
      </c>
      <c r="E8766" s="10">
        <f>HYPERLINK("http://www.lingerieopt.ru/images/original/9b9dc6ec-07f3-4ce8-8c67-d663086208cf.jpg","Фото")</f>
      </c>
    </row>
    <row r="8767">
      <c r="A8767" s="7">
        <f>HYPERLINK("http://www.lingerieopt.ru/item/8968-choker-queen-of-hearts-bonita-s-bantikami/","8968")</f>
      </c>
      <c r="B8767" s="8" t="s">
        <v>8397</v>
      </c>
      <c r="C8767" s="9">
        <v>792</v>
      </c>
      <c r="D8767" s="0">
        <v>10</v>
      </c>
      <c r="E8767" s="10">
        <f>HYPERLINK("http://www.lingerieopt.ru/images/original/9b9dc6ec-07f3-4ce8-8c67-d663086208cf.jpg","Фото")</f>
      </c>
    </row>
    <row r="8768">
      <c r="A8768" s="7">
        <f>HYPERLINK("http://www.lingerieopt.ru/item/8968-choker-queen-of-hearts-bonita-s-bantikami/","8968")</f>
      </c>
      <c r="B8768" s="8" t="s">
        <v>8398</v>
      </c>
      <c r="C8768" s="9">
        <v>792</v>
      </c>
      <c r="D8768" s="0">
        <v>9</v>
      </c>
      <c r="E8768" s="10">
        <f>HYPERLINK("http://www.lingerieopt.ru/images/original/9b9dc6ec-07f3-4ce8-8c67-d663086208cf.jpg","Фото")</f>
      </c>
    </row>
    <row r="8769">
      <c r="A8769" s="7">
        <f>HYPERLINK("http://www.lingerieopt.ru/item/9038-zolotistoe-kole-na-telo-s-chernjm-agatom-enigma/","9038")</f>
      </c>
      <c r="B8769" s="8" t="s">
        <v>8399</v>
      </c>
      <c r="C8769" s="9">
        <v>1415</v>
      </c>
      <c r="D8769" s="0">
        <v>3</v>
      </c>
      <c r="E8769" s="10">
        <f>HYPERLINK("http://www.lingerieopt.ru/images/original/82953c2d-0132-44d8-8a13-08c6a4de0def.jpg","Фото")</f>
      </c>
    </row>
    <row r="8770">
      <c r="A8770" s="7">
        <f>HYPERLINK("http://www.lingerieopt.ru/item/9047-kole-na-telo-vento/","9047")</f>
      </c>
      <c r="B8770" s="8" t="s">
        <v>8400</v>
      </c>
      <c r="C8770" s="9">
        <v>1799</v>
      </c>
      <c r="D8770" s="0">
        <v>4</v>
      </c>
      <c r="E8770" s="10">
        <f>HYPERLINK("http://www.lingerieopt.ru/images/original/70f272bd-35c1-4c3e-ac91-f3465a621b4e.jpg","Фото")</f>
      </c>
    </row>
    <row r="8771">
      <c r="A8771" s="7">
        <f>HYPERLINK("http://www.lingerieopt.ru/item/9047-kole-na-telo-vento/","9047")</f>
      </c>
      <c r="B8771" s="8" t="s">
        <v>8401</v>
      </c>
      <c r="C8771" s="9">
        <v>1799</v>
      </c>
      <c r="D8771" s="0">
        <v>4</v>
      </c>
      <c r="E8771" s="10">
        <f>HYPERLINK("http://www.lingerieopt.ru/images/original/70f272bd-35c1-4c3e-ac91-f3465a621b4e.jpg","Фото")</f>
      </c>
    </row>
    <row r="8772">
      <c r="A8772" s="7">
        <f>HYPERLINK("http://www.lingerieopt.ru/item/9049-serebristoe-kole-na-telo-monika/","9049")</f>
      </c>
      <c r="B8772" s="8" t="s">
        <v>8402</v>
      </c>
      <c r="C8772" s="9">
        <v>2518</v>
      </c>
      <c r="D8772" s="0">
        <v>2</v>
      </c>
      <c r="E8772" s="10">
        <f>HYPERLINK("http://www.lingerieopt.ru/images/original/77514f8c-a2a8-4be8-818a-56c838b55dd3.jpg","Фото")</f>
      </c>
    </row>
    <row r="8773">
      <c r="A8773" s="7">
        <f>HYPERLINK("http://www.lingerieopt.ru/item/9049-serebristoe-kole-na-telo-monika/","9049")</f>
      </c>
      <c r="B8773" s="8" t="s">
        <v>8403</v>
      </c>
      <c r="C8773" s="9">
        <v>2518</v>
      </c>
      <c r="D8773" s="0">
        <v>0</v>
      </c>
      <c r="E8773" s="10">
        <f>HYPERLINK("http://www.lingerieopt.ru/images/original/77514f8c-a2a8-4be8-818a-56c838b55dd3.jpg","Фото")</f>
      </c>
    </row>
    <row r="8774">
      <c r="A8774" s="7">
        <f>HYPERLINK("http://www.lingerieopt.ru/item/9065-choker-arabesque-s-zolotistjmi-elementami/","9065")</f>
      </c>
      <c r="B8774" s="8" t="s">
        <v>8404</v>
      </c>
      <c r="C8774" s="9">
        <v>994</v>
      </c>
      <c r="D8774" s="0">
        <v>8</v>
      </c>
      <c r="E8774" s="10">
        <f>HYPERLINK("http://www.lingerieopt.ru/images/original/1b671937-f4f4-4adf-ba15-acff870877bc.jpg","Фото")</f>
      </c>
    </row>
    <row r="8775">
      <c r="A8775" s="7">
        <f>HYPERLINK("http://www.lingerieopt.ru/item/9269-maska-s-ushkami-queen-of-hearts-allure/","9269")</f>
      </c>
      <c r="B8775" s="8" t="s">
        <v>8405</v>
      </c>
      <c r="C8775" s="9">
        <v>1523</v>
      </c>
      <c r="D8775" s="0">
        <v>2</v>
      </c>
      <c r="E8775" s="10">
        <f>HYPERLINK("http://www.lingerieopt.ru/images/original/91357736-6b1c-442b-8aae-98ac872f048d.jpg","Фото")</f>
      </c>
    </row>
    <row r="8776">
      <c r="A8776" s="7">
        <f>HYPERLINK("http://www.lingerieopt.ru/item/9269-maska-s-ushkami-queen-of-hearts-allure/","9269")</f>
      </c>
      <c r="B8776" s="8" t="s">
        <v>8406</v>
      </c>
      <c r="C8776" s="9">
        <v>1523</v>
      </c>
      <c r="D8776" s="0">
        <v>0</v>
      </c>
      <c r="E8776" s="10">
        <f>HYPERLINK("http://www.lingerieopt.ru/images/original/91357736-6b1c-442b-8aae-98ac872f048d.jpg","Фото")</f>
      </c>
    </row>
    <row r="8777">
      <c r="A8777" s="7">
        <f>HYPERLINK("http://www.lingerieopt.ru/item/9269-maska-s-ushkami-queen-of-hearts-allure/","9269")</f>
      </c>
      <c r="B8777" s="8" t="s">
        <v>8407</v>
      </c>
      <c r="C8777" s="9">
        <v>1523</v>
      </c>
      <c r="D8777" s="0">
        <v>0</v>
      </c>
      <c r="E8777" s="10">
        <f>HYPERLINK("http://www.lingerieopt.ru/images/original/91357736-6b1c-442b-8aae-98ac872f048d.jpg","Фото")</f>
      </c>
    </row>
    <row r="8778">
      <c r="A8778" s="7">
        <f>HYPERLINK("http://www.lingerieopt.ru/item/10212-dekorativnaya-uzdechka-klyap-queen-of-hearts/","10212")</f>
      </c>
      <c r="B8778" s="8" t="s">
        <v>8408</v>
      </c>
      <c r="C8778" s="9">
        <v>1343</v>
      </c>
      <c r="D8778" s="0">
        <v>0</v>
      </c>
      <c r="E8778" s="10">
        <f>HYPERLINK("http://www.lingerieopt.ru/images/original/5b417249-7e97-4291-beac-faff98e0dec4.jpg","Фото")</f>
      </c>
    </row>
    <row r="8779">
      <c r="A8779" s="7">
        <f>HYPERLINK("http://www.lingerieopt.ru/item/10212-dekorativnaya-uzdechka-klyap-queen-of-hearts/","10212")</f>
      </c>
      <c r="B8779" s="8" t="s">
        <v>8409</v>
      </c>
      <c r="C8779" s="9">
        <v>1343</v>
      </c>
      <c r="D8779" s="0">
        <v>2</v>
      </c>
      <c r="E8779" s="10">
        <f>HYPERLINK("http://www.lingerieopt.ru/images/original/5b417249-7e97-4291-beac-faff98e0dec4.jpg","Фото")</f>
      </c>
    </row>
    <row r="8780">
      <c r="A8780" s="7">
        <f>HYPERLINK("http://www.lingerieopt.ru/item/10212-dekorativnaya-uzdechka-klyap-queen-of-hearts/","10212")</f>
      </c>
      <c r="B8780" s="8" t="s">
        <v>8410</v>
      </c>
      <c r="C8780" s="9">
        <v>1343</v>
      </c>
      <c r="D8780" s="0">
        <v>0</v>
      </c>
      <c r="E8780" s="10">
        <f>HYPERLINK("http://www.lingerieopt.ru/images/original/5b417249-7e97-4291-beac-faff98e0dec4.jpg","Фото")</f>
      </c>
    </row>
    <row r="8781">
      <c r="A8781" s="7">
        <f>HYPERLINK("http://www.lingerieopt.ru/item/10213-choker-na-sheyu-arabesque-s-metallicheskimi-detalyami/","10213")</f>
      </c>
      <c r="B8781" s="8" t="s">
        <v>8411</v>
      </c>
      <c r="C8781" s="9">
        <v>994</v>
      </c>
      <c r="D8781" s="0">
        <v>5</v>
      </c>
      <c r="E8781" s="10">
        <f>HYPERLINK("http://www.lingerieopt.ru/images/original/39f932d1-950f-48d2-80c0-222d6d725129.jpg","Фото")</f>
      </c>
    </row>
    <row r="8782">
      <c r="A8782" s="7">
        <f>HYPERLINK("http://www.lingerieopt.ru/item/10213-choker-na-sheyu-arabesque-s-metallicheskimi-detalyami/","10213")</f>
      </c>
      <c r="B8782" s="8" t="s">
        <v>8412</v>
      </c>
      <c r="C8782" s="9">
        <v>994</v>
      </c>
      <c r="D8782" s="0">
        <v>0</v>
      </c>
      <c r="E8782" s="10">
        <f>HYPERLINK("http://www.lingerieopt.ru/images/original/39f932d1-950f-48d2-80c0-222d6d725129.jpg","Фото")</f>
      </c>
    </row>
    <row r="8783">
      <c r="A8783" s="7">
        <f>HYPERLINK("http://www.lingerieopt.ru/item/10214-manzhetj-s-bahromoi-queen-of-hearts-arabesque/","10214")</f>
      </c>
      <c r="B8783" s="8" t="s">
        <v>3777</v>
      </c>
      <c r="C8783" s="9">
        <v>1193</v>
      </c>
      <c r="D8783" s="0">
        <v>3</v>
      </c>
      <c r="E8783" s="10">
        <f>HYPERLINK("http://www.lingerieopt.ru/images/original/95ec2328-fdcf-4abe-a296-ed3e84897407.jpg","Фото")</f>
      </c>
    </row>
    <row r="8784">
      <c r="A8784" s="7">
        <f>HYPERLINK("http://www.lingerieopt.ru/item/10214-manzhetj-s-bahromoi-queen-of-hearts-arabesque/","10214")</f>
      </c>
      <c r="B8784" s="8" t="s">
        <v>3778</v>
      </c>
      <c r="C8784" s="9">
        <v>1193</v>
      </c>
      <c r="D8784" s="0">
        <v>3</v>
      </c>
      <c r="E8784" s="10">
        <f>HYPERLINK("http://www.lingerieopt.ru/images/original/95ec2328-fdcf-4abe-a296-ed3e84897407.jpg","Фото")</f>
      </c>
    </row>
    <row r="8785">
      <c r="A8785" s="7">
        <f>HYPERLINK("http://www.lingerieopt.ru/item/10214-manzhetj-s-bahromoi-queen-of-hearts-arabesque/","10214")</f>
      </c>
      <c r="B8785" s="8" t="s">
        <v>3779</v>
      </c>
      <c r="C8785" s="9">
        <v>1193</v>
      </c>
      <c r="D8785" s="0">
        <v>0</v>
      </c>
      <c r="E8785" s="10">
        <f>HYPERLINK("http://www.lingerieopt.ru/images/original/95ec2328-fdcf-4abe-a296-ed3e84897407.jpg","Фото")</f>
      </c>
    </row>
    <row r="8786">
      <c r="A8786" s="7">
        <f>HYPERLINK("http://www.lingerieopt.ru/item/10215-manzhetj-na-ruki-s-bantikami-bonita/","10215")</f>
      </c>
      <c r="B8786" s="8" t="s">
        <v>8413</v>
      </c>
      <c r="C8786" s="9">
        <v>744</v>
      </c>
      <c r="D8786" s="0">
        <v>2</v>
      </c>
      <c r="E8786" s="10">
        <f>HYPERLINK("http://www.lingerieopt.ru/images/original/a7b0b3a8-fdbb-49cb-ac6b-ae3ec522f8aa.jpg","Фото")</f>
      </c>
    </row>
    <row r="8787">
      <c r="A8787" s="7">
        <f>HYPERLINK("http://www.lingerieopt.ru/item/10215-manzhetj-na-ruki-s-bantikami-bonita/","10215")</f>
      </c>
      <c r="B8787" s="8" t="s">
        <v>8414</v>
      </c>
      <c r="C8787" s="9">
        <v>744</v>
      </c>
      <c r="D8787" s="0">
        <v>1</v>
      </c>
      <c r="E8787" s="10">
        <f>HYPERLINK("http://www.lingerieopt.ru/images/original/a7b0b3a8-fdbb-49cb-ac6b-ae3ec522f8aa.jpg","Фото")</f>
      </c>
    </row>
    <row r="8788">
      <c r="A8788" s="7">
        <f>HYPERLINK("http://www.lingerieopt.ru/item/10215-manzhetj-na-ruki-s-bantikami-bonita/","10215")</f>
      </c>
      <c r="B8788" s="8" t="s">
        <v>8415</v>
      </c>
      <c r="C8788" s="9">
        <v>744</v>
      </c>
      <c r="D8788" s="0">
        <v>5</v>
      </c>
      <c r="E8788" s="10">
        <f>HYPERLINK("http://www.lingerieopt.ru/images/original/a7b0b3a8-fdbb-49cb-ac6b-ae3ec522f8aa.jpg","Фото")</f>
      </c>
    </row>
    <row r="8789">
      <c r="A8789" s="7">
        <f>HYPERLINK("http://www.lingerieopt.ru/item/10380-chernji-osheinik-s-cepochkami-desir-metallique-collar/","10380")</f>
      </c>
      <c r="B8789" s="8" t="s">
        <v>8416</v>
      </c>
      <c r="C8789" s="9">
        <v>1182</v>
      </c>
      <c r="D8789" s="0">
        <v>6</v>
      </c>
      <c r="E8789" s="10">
        <f>HYPERLINK("http://www.lingerieopt.ru/images/original/99442cb2-b0c9-42cb-9392-092043773875.jpg","Фото")</f>
      </c>
    </row>
    <row r="8790">
      <c r="A8790" s="7">
        <f>HYPERLINK("http://www.lingerieopt.ru/item/10558-ukrashenie-na-goleni-bonita-s-fiksaciei-za-kabluk/","10558")</f>
      </c>
      <c r="B8790" s="8" t="s">
        <v>8417</v>
      </c>
      <c r="C8790" s="9">
        <v>1193</v>
      </c>
      <c r="D8790" s="0">
        <v>3</v>
      </c>
      <c r="E8790" s="10">
        <f>HYPERLINK("http://www.lingerieopt.ru/images/original/64b24357-2f84-47c9-9c66-9b9957c111d6.jpg","Фото")</f>
      </c>
    </row>
    <row r="8791">
      <c r="A8791" s="7">
        <f>HYPERLINK("http://www.lingerieopt.ru/item/10558-ukrashenie-na-goleni-bonita-s-fiksaciei-za-kabluk/","10558")</f>
      </c>
      <c r="B8791" s="8" t="s">
        <v>8418</v>
      </c>
      <c r="C8791" s="9">
        <v>1193</v>
      </c>
      <c r="D8791" s="0">
        <v>5</v>
      </c>
      <c r="E8791" s="10">
        <f>HYPERLINK("http://www.lingerieopt.ru/images/original/64b24357-2f84-47c9-9c66-9b9957c111d6.jpg","Фото")</f>
      </c>
    </row>
    <row r="8792">
      <c r="A8792" s="7">
        <f>HYPERLINK("http://www.lingerieopt.ru/item/10558-ukrashenie-na-goleni-bonita-s-fiksaciei-za-kabluk/","10558")</f>
      </c>
      <c r="B8792" s="8" t="s">
        <v>8419</v>
      </c>
      <c r="C8792" s="9">
        <v>1193</v>
      </c>
      <c r="D8792" s="0">
        <v>0</v>
      </c>
      <c r="E8792" s="10">
        <f>HYPERLINK("http://www.lingerieopt.ru/images/original/64b24357-2f84-47c9-9c66-9b9957c111d6.jpg","Фото")</f>
      </c>
    </row>
    <row r="8793">
      <c r="A8793" s="7">
        <f>HYPERLINK("http://www.lingerieopt.ru/item/10559-ukrashenie-na-schikolotki-bonita-s-fiksaciei-za-kabluk/","10559")</f>
      </c>
      <c r="B8793" s="8" t="s">
        <v>8420</v>
      </c>
      <c r="C8793" s="9">
        <v>1386</v>
      </c>
      <c r="D8793" s="0">
        <v>0</v>
      </c>
      <c r="E8793" s="10">
        <f>HYPERLINK("http://www.lingerieopt.ru/images/original/379e1711-9038-4f97-970b-bce4b09e5098.jpg","Фото")</f>
      </c>
    </row>
    <row r="8794">
      <c r="A8794" s="7">
        <f>HYPERLINK("http://www.lingerieopt.ru/item/10559-ukrashenie-na-schikolotki-bonita-s-fiksaciei-za-kabluk/","10559")</f>
      </c>
      <c r="B8794" s="8" t="s">
        <v>8421</v>
      </c>
      <c r="C8794" s="9">
        <v>1386</v>
      </c>
      <c r="D8794" s="0">
        <v>0</v>
      </c>
      <c r="E8794" s="10">
        <f>HYPERLINK("http://www.lingerieopt.ru/images/original/379e1711-9038-4f97-970b-bce4b09e5098.jpg","Фото")</f>
      </c>
    </row>
    <row r="8795">
      <c r="A8795" s="7">
        <f>HYPERLINK("http://www.lingerieopt.ru/item/10559-ukrashenie-na-schikolotki-bonita-s-fiksaciei-za-kabluk/","10559")</f>
      </c>
      <c r="B8795" s="8" t="s">
        <v>8422</v>
      </c>
      <c r="C8795" s="9">
        <v>1386</v>
      </c>
      <c r="D8795" s="0">
        <v>3</v>
      </c>
      <c r="E8795" s="10">
        <f>HYPERLINK("http://www.lingerieopt.ru/images/original/379e1711-9038-4f97-970b-bce4b09e5098.jpg","Фото")</f>
      </c>
    </row>
    <row r="8796">
      <c r="A8796" s="7">
        <f>HYPERLINK("http://www.lingerieopt.ru/item/10563-povyazka-na-sheyu-iz-setki-s-yarkim-stezhkom/","10563")</f>
      </c>
      <c r="B8796" s="8" t="s">
        <v>8423</v>
      </c>
      <c r="C8796" s="9">
        <v>318</v>
      </c>
      <c r="D8796" s="0">
        <v>13</v>
      </c>
      <c r="E8796" s="10">
        <f>HYPERLINK("http://www.lingerieopt.ru/images/original/c7bf0e08-e71f-4d9b-bbed-51ef8f7fdbec.jpg","Фото")</f>
      </c>
    </row>
    <row r="8797">
      <c r="A8797" s="7">
        <f>HYPERLINK("http://www.lingerieopt.ru/item/10959-braslet-s-petlei-na-palchik/","10959")</f>
      </c>
      <c r="B8797" s="8" t="s">
        <v>8424</v>
      </c>
      <c r="C8797" s="9">
        <v>1727</v>
      </c>
      <c r="D8797" s="0">
        <v>4</v>
      </c>
      <c r="E8797" s="10">
        <f>HYPERLINK("http://www.lingerieopt.ru/images/original/8a589130-8f56-4ab8-80e5-14b3b7c2309c.jpg","Фото")</f>
      </c>
    </row>
    <row r="8798">
      <c r="A8798" s="7">
        <f>HYPERLINK("http://www.lingerieopt.ru/item/10961-zolotistoe-ozherele-plet-magnifique/","10961")</f>
      </c>
      <c r="B8798" s="8" t="s">
        <v>8425</v>
      </c>
      <c r="C8798" s="9">
        <v>1977</v>
      </c>
      <c r="D8798" s="0">
        <v>2</v>
      </c>
      <c r="E8798" s="10">
        <f>HYPERLINK("http://www.lingerieopt.ru/images/original/888a6953-7bd1-4d53-8038-65a8feb8f53a.jpg","Фото")</f>
      </c>
    </row>
    <row r="8799">
      <c r="A8799" s="5"/>
      <c r="B8799" s="6" t="s">
        <v>8426</v>
      </c>
      <c r="C8799" s="5"/>
      <c r="D8799" s="5"/>
      <c r="E8799" s="5"/>
    </row>
    <row r="8800">
      <c r="A8800" s="7">
        <f>HYPERLINK("http://www.lingerieopt.ru/item/3298-korotkii-halat-rashida/","3298")</f>
      </c>
      <c r="B8800" s="8" t="s">
        <v>8427</v>
      </c>
      <c r="C8800" s="9">
        <v>1695</v>
      </c>
      <c r="D8800" s="0">
        <v>20</v>
      </c>
      <c r="E8800" s="10">
        <f>HYPERLINK("http://www.lingerieopt.ru/images/original/94e11053-f7ad-43a2-9f26-76fa866a2896.jpg","Фото")</f>
      </c>
    </row>
    <row r="8801">
      <c r="A8801" s="7">
        <f>HYPERLINK("http://www.lingerieopt.ru/item/3298-korotkii-halat-rashida/","3298")</f>
      </c>
      <c r="B8801" s="8" t="s">
        <v>8428</v>
      </c>
      <c r="C8801" s="9">
        <v>1695</v>
      </c>
      <c r="D8801" s="0">
        <v>3</v>
      </c>
      <c r="E8801" s="10">
        <f>HYPERLINK("http://www.lingerieopt.ru/images/original/94e11053-f7ad-43a2-9f26-76fa866a2896.jpg","Фото")</f>
      </c>
    </row>
    <row r="8802">
      <c r="A8802" s="7">
        <f>HYPERLINK("http://www.lingerieopt.ru/item/3444-korotkii-setchatji-top-s-dlinnjmi-rukavami/","3444")</f>
      </c>
      <c r="B8802" s="8" t="s">
        <v>8429</v>
      </c>
      <c r="C8802" s="9">
        <v>710</v>
      </c>
      <c r="D8802" s="0">
        <v>30</v>
      </c>
      <c r="E8802" s="10">
        <f>HYPERLINK("http://www.lingerieopt.ru/images/original/9454c793-a6d1-4052-95ad-88ae3318b2b4.jpg","Фото")</f>
      </c>
    </row>
    <row r="8803">
      <c r="A8803" s="7">
        <f>HYPERLINK("http://www.lingerieopt.ru/item/3444-korotkii-setchatji-top-s-dlinnjmi-rukavami/","3444")</f>
      </c>
      <c r="B8803" s="8" t="s">
        <v>8430</v>
      </c>
      <c r="C8803" s="9">
        <v>710</v>
      </c>
      <c r="D8803" s="0">
        <v>30</v>
      </c>
      <c r="E8803" s="10">
        <f>HYPERLINK("http://www.lingerieopt.ru/images/original/9454c793-a6d1-4052-95ad-88ae3318b2b4.jpg","Фото")</f>
      </c>
    </row>
    <row r="8804">
      <c r="A8804" s="7">
        <f>HYPERLINK("http://www.lingerieopt.ru/item/3450-dlinnji-galstuk-v-cherno-rozovuyu-kletku/","3450")</f>
      </c>
      <c r="B8804" s="8" t="s">
        <v>8431</v>
      </c>
      <c r="C8804" s="9">
        <v>154</v>
      </c>
      <c r="D8804" s="0">
        <v>30</v>
      </c>
      <c r="E8804" s="10">
        <f>HYPERLINK("http://www.lingerieopt.ru/images/original/d92bf1a2-1c71-4a34-b551-61ef8d7b0c7b.jpg","Фото")</f>
      </c>
    </row>
    <row r="8805">
      <c r="A8805" s="7">
        <f>HYPERLINK("http://www.lingerieopt.ru/item/3451-dlinnji-galstuk-iz-vinila-s-risunkom/","3451")</f>
      </c>
      <c r="B8805" s="8" t="s">
        <v>8432</v>
      </c>
      <c r="C8805" s="9">
        <v>154</v>
      </c>
      <c r="D8805" s="0">
        <v>30</v>
      </c>
      <c r="E8805" s="10">
        <f>HYPERLINK("http://www.lingerieopt.ru/images/original/7afbd677-ffb0-43c6-9625-216a9ffa13f4.jpg","Фото")</f>
      </c>
    </row>
    <row r="8806">
      <c r="A8806" s="7">
        <f>HYPERLINK("http://www.lingerieopt.ru/item/3451-dlinnji-galstuk-iz-vinila-s-risunkom/","3451")</f>
      </c>
      <c r="B8806" s="8" t="s">
        <v>8433</v>
      </c>
      <c r="C8806" s="9">
        <v>154</v>
      </c>
      <c r="D8806" s="0">
        <v>30</v>
      </c>
      <c r="E8806" s="10">
        <f>HYPERLINK("http://www.lingerieopt.ru/images/original/7afbd677-ffb0-43c6-9625-216a9ffa13f4.jpg","Фото")</f>
      </c>
    </row>
    <row r="8807">
      <c r="A8807" s="7">
        <f>HYPERLINK("http://www.lingerieopt.ru/item/3463-kozhanji-top-amerikanka-dynasty/","3463")</f>
      </c>
      <c r="B8807" s="8" t="s">
        <v>8434</v>
      </c>
      <c r="C8807" s="9">
        <v>960</v>
      </c>
      <c r="D8807" s="0">
        <v>6</v>
      </c>
      <c r="E8807" s="10">
        <f>HYPERLINK("http://www.lingerieopt.ru/images/original/4b30b0f5-6a4b-451a-a6ab-f9174a8ee964.jpg","Фото")</f>
      </c>
    </row>
    <row r="8808">
      <c r="A8808" s="7">
        <f>HYPERLINK("http://www.lingerieopt.ru/item/3463-kozhanji-top-amerikanka-dynasty/","3463")</f>
      </c>
      <c r="B8808" s="8" t="s">
        <v>8435</v>
      </c>
      <c r="C8808" s="9">
        <v>960</v>
      </c>
      <c r="D8808" s="0">
        <v>6</v>
      </c>
      <c r="E8808" s="10">
        <f>HYPERLINK("http://www.lingerieopt.ru/images/original/4b30b0f5-6a4b-451a-a6ab-f9174a8ee964.jpg","Фото")</f>
      </c>
    </row>
    <row r="8809">
      <c r="A8809" s="7">
        <f>HYPERLINK("http://www.lingerieopt.ru/item/3463-kozhanji-top-amerikanka-dynasty/","3463")</f>
      </c>
      <c r="B8809" s="8" t="s">
        <v>8436</v>
      </c>
      <c r="C8809" s="9">
        <v>960</v>
      </c>
      <c r="D8809" s="0">
        <v>30</v>
      </c>
      <c r="E8809" s="10">
        <f>HYPERLINK("http://www.lingerieopt.ru/images/original/4b30b0f5-6a4b-451a-a6ab-f9174a8ee964.jpg","Фото")</f>
      </c>
    </row>
    <row r="8810">
      <c r="A8810" s="7">
        <f>HYPERLINK("http://www.lingerieopt.ru/item/3465-chernji-shkolnji-top-s-kletchatjm-vorotnikom/","3465")</f>
      </c>
      <c r="B8810" s="8" t="s">
        <v>8437</v>
      </c>
      <c r="C8810" s="9">
        <v>203</v>
      </c>
      <c r="D8810" s="0">
        <v>30</v>
      </c>
      <c r="E8810" s="10">
        <f>HYPERLINK("http://www.lingerieopt.ru/images/original/10030b74-ff68-45c2-9701-6ad4f439a7a5.jpg","Фото")</f>
      </c>
    </row>
    <row r="8811">
      <c r="A8811" s="7">
        <f>HYPERLINK("http://www.lingerieopt.ru/item/3510-kletchatji-galstuk-hustler/","3510")</f>
      </c>
      <c r="B8811" s="8" t="s">
        <v>8438</v>
      </c>
      <c r="C8811" s="9">
        <v>754</v>
      </c>
      <c r="D8811" s="0">
        <v>0</v>
      </c>
      <c r="E8811" s="10">
        <f>HYPERLINK("http://www.lingerieopt.ru/images/original/5f21e6f4-5c08-443f-897e-c3358073661e.jpg","Фото")</f>
      </c>
    </row>
    <row r="8812">
      <c r="A8812" s="7">
        <f>HYPERLINK("http://www.lingerieopt.ru/item/3510-kletchatji-galstuk-hustler/","3510")</f>
      </c>
      <c r="B8812" s="8" t="s">
        <v>8439</v>
      </c>
      <c r="C8812" s="9">
        <v>754</v>
      </c>
      <c r="D8812" s="0">
        <v>0</v>
      </c>
      <c r="E8812" s="10">
        <f>HYPERLINK("http://www.lingerieopt.ru/images/original/5f21e6f4-5c08-443f-897e-c3358073661e.jpg","Фото")</f>
      </c>
    </row>
    <row r="8813">
      <c r="A8813" s="7">
        <f>HYPERLINK("http://www.lingerieopt.ru/item/3510-kletchatji-galstuk-hustler/","3510")</f>
      </c>
      <c r="B8813" s="8" t="s">
        <v>8440</v>
      </c>
      <c r="C8813" s="9">
        <v>754</v>
      </c>
      <c r="D8813" s="0">
        <v>6</v>
      </c>
      <c r="E8813" s="10">
        <f>HYPERLINK("http://www.lingerieopt.ru/images/original/5f21e6f4-5c08-443f-897e-c3358073661e.jpg","Фото")</f>
      </c>
    </row>
    <row r="8814">
      <c r="A8814" s="7">
        <f>HYPERLINK("http://www.lingerieopt.ru/item/3510-kletchatji-galstuk-hustler/","3510")</f>
      </c>
      <c r="B8814" s="8" t="s">
        <v>8441</v>
      </c>
      <c r="C8814" s="9">
        <v>754</v>
      </c>
      <c r="D8814" s="0">
        <v>1</v>
      </c>
      <c r="E8814" s="10">
        <f>HYPERLINK("http://www.lingerieopt.ru/images/original/5f21e6f4-5c08-443f-897e-c3358073661e.jpg","Фото")</f>
      </c>
    </row>
    <row r="8815">
      <c r="A8815" s="7">
        <f>HYPERLINK("http://www.lingerieopt.ru/item/3653-shortiki-s-ryushami/","3653")</f>
      </c>
      <c r="B8815" s="8" t="s">
        <v>6170</v>
      </c>
      <c r="C8815" s="9">
        <v>710</v>
      </c>
      <c r="D8815" s="0">
        <v>0</v>
      </c>
      <c r="E8815" s="10">
        <f>HYPERLINK("http://www.lingerieopt.ru/images/original/4af693b3-3e28-4b3e-950f-ce872a3cacad.jpg","Фото")</f>
      </c>
    </row>
    <row r="8816">
      <c r="A8816" s="7">
        <f>HYPERLINK("http://www.lingerieopt.ru/item/3653-shortiki-s-ryushami/","3653")</f>
      </c>
      <c r="B8816" s="8" t="s">
        <v>6171</v>
      </c>
      <c r="C8816" s="9">
        <v>710</v>
      </c>
      <c r="D8816" s="0">
        <v>0</v>
      </c>
      <c r="E8816" s="10">
        <f>HYPERLINK("http://www.lingerieopt.ru/images/original/4af693b3-3e28-4b3e-950f-ce872a3cacad.jpg","Фото")</f>
      </c>
    </row>
    <row r="8817">
      <c r="A8817" s="7">
        <f>HYPERLINK("http://www.lingerieopt.ru/item/3653-shortiki-s-ryushami/","3653")</f>
      </c>
      <c r="B8817" s="8" t="s">
        <v>6172</v>
      </c>
      <c r="C8817" s="9">
        <v>710</v>
      </c>
      <c r="D8817" s="0">
        <v>30</v>
      </c>
      <c r="E8817" s="10">
        <f>HYPERLINK("http://www.lingerieopt.ru/images/original/4af693b3-3e28-4b3e-950f-ce872a3cacad.jpg","Фото")</f>
      </c>
    </row>
    <row r="8818">
      <c r="A8818" s="7">
        <f>HYPERLINK("http://www.lingerieopt.ru/item/3653-shortiki-s-ryushami/","3653")</f>
      </c>
      <c r="B8818" s="8" t="s">
        <v>6173</v>
      </c>
      <c r="C8818" s="9">
        <v>710</v>
      </c>
      <c r="D8818" s="0">
        <v>0</v>
      </c>
      <c r="E8818" s="10">
        <f>HYPERLINK("http://www.lingerieopt.ru/images/original/4af693b3-3e28-4b3e-950f-ce872a3cacad.jpg","Фото")</f>
      </c>
    </row>
    <row r="8819">
      <c r="A8819" s="7">
        <f>HYPERLINK("http://www.lingerieopt.ru/item/3653-shortiki-s-ryushami/","3653")</f>
      </c>
      <c r="B8819" s="8" t="s">
        <v>6174</v>
      </c>
      <c r="C8819" s="9">
        <v>710</v>
      </c>
      <c r="D8819" s="0">
        <v>30</v>
      </c>
      <c r="E8819" s="10">
        <f>HYPERLINK("http://www.lingerieopt.ru/images/original/4af693b3-3e28-4b3e-950f-ce872a3cacad.jpg","Фото")</f>
      </c>
    </row>
    <row r="8820">
      <c r="A8820" s="7">
        <f>HYPERLINK("http://www.lingerieopt.ru/item/3653-shortiki-s-ryushami/","3653")</f>
      </c>
      <c r="B8820" s="8" t="s">
        <v>6168</v>
      </c>
      <c r="C8820" s="9">
        <v>710</v>
      </c>
      <c r="D8820" s="0">
        <v>30</v>
      </c>
      <c r="E8820" s="10">
        <f>HYPERLINK("http://www.lingerieopt.ru/images/original/4af693b3-3e28-4b3e-950f-ce872a3cacad.jpg","Фото")</f>
      </c>
    </row>
    <row r="8821">
      <c r="A8821" s="7">
        <f>HYPERLINK("http://www.lingerieopt.ru/item/3653-shortiki-s-ryushami/","3653")</f>
      </c>
      <c r="B8821" s="8" t="s">
        <v>6169</v>
      </c>
      <c r="C8821" s="9">
        <v>710</v>
      </c>
      <c r="D8821" s="0">
        <v>30</v>
      </c>
      <c r="E8821" s="10">
        <f>HYPERLINK("http://www.lingerieopt.ru/images/original/4af693b3-3e28-4b3e-950f-ce872a3cacad.jpg","Фото")</f>
      </c>
    </row>
    <row r="8822">
      <c r="A8822" s="7">
        <f>HYPERLINK("http://www.lingerieopt.ru/item/3654-sirenevji-top-svobodnogo-kroya-s-zolotoi-cepochkoi-na-spine/","3654")</f>
      </c>
      <c r="B8822" s="8" t="s">
        <v>8442</v>
      </c>
      <c r="C8822" s="9">
        <v>1645</v>
      </c>
      <c r="D8822" s="0">
        <v>1</v>
      </c>
      <c r="E8822" s="10">
        <f>HYPERLINK("http://www.lingerieopt.ru/images/original/1fda369b-8b09-4b23-8008-90b8836287de.jpg","Фото")</f>
      </c>
    </row>
    <row r="8823">
      <c r="A8823" s="7">
        <f>HYPERLINK("http://www.lingerieopt.ru/item/3654-sirenevji-top-svobodnogo-kroya-s-zolotoi-cepochkoi-na-spine/","3654")</f>
      </c>
      <c r="B8823" s="8" t="s">
        <v>8443</v>
      </c>
      <c r="C8823" s="9">
        <v>1645</v>
      </c>
      <c r="D8823" s="0">
        <v>6</v>
      </c>
      <c r="E8823" s="10">
        <f>HYPERLINK("http://www.lingerieopt.ru/images/original/1fda369b-8b09-4b23-8008-90b8836287de.jpg","Фото")</f>
      </c>
    </row>
    <row r="8824">
      <c r="A8824" s="7">
        <f>HYPERLINK("http://www.lingerieopt.ru/item/3654-sirenevji-top-svobodnogo-kroya-s-zolotoi-cepochkoi-na-spine/","3654")</f>
      </c>
      <c r="B8824" s="8" t="s">
        <v>8444</v>
      </c>
      <c r="C8824" s="9">
        <v>1645</v>
      </c>
      <c r="D8824" s="0">
        <v>3</v>
      </c>
      <c r="E8824" s="10">
        <f>HYPERLINK("http://www.lingerieopt.ru/images/original/1fda369b-8b09-4b23-8008-90b8836287de.jpg","Фото")</f>
      </c>
    </row>
    <row r="8825">
      <c r="A8825" s="7">
        <f>HYPERLINK("http://www.lingerieopt.ru/item/3968-korotkii-top-xxx/","3968")</f>
      </c>
      <c r="B8825" s="8" t="s">
        <v>8445</v>
      </c>
      <c r="C8825" s="9">
        <v>254</v>
      </c>
      <c r="D8825" s="0">
        <v>30</v>
      </c>
      <c r="E8825" s="10">
        <f>HYPERLINK("http://www.lingerieopt.ru/images/original/af3cb748-c32e-4e34-85a8-ee1b168e3622.jpg","Фото")</f>
      </c>
    </row>
    <row r="8826">
      <c r="A8826" s="7">
        <f>HYPERLINK("http://www.lingerieopt.ru/item/3968-korotkii-top-xxx/","3968")</f>
      </c>
      <c r="B8826" s="8" t="s">
        <v>8446</v>
      </c>
      <c r="C8826" s="9">
        <v>254</v>
      </c>
      <c r="D8826" s="0">
        <v>0</v>
      </c>
      <c r="E8826" s="10">
        <f>HYPERLINK("http://www.lingerieopt.ru/images/original/af3cb748-c32e-4e34-85a8-ee1b168e3622.jpg","Фото")</f>
      </c>
    </row>
    <row r="8827">
      <c r="A8827" s="7">
        <f>HYPERLINK("http://www.lingerieopt.ru/item/4033-kruzhevnoi-top-s-podvyazkami-dlya-chulok-i-trusiki/","4033")</f>
      </c>
      <c r="B8827" s="8" t="s">
        <v>1567</v>
      </c>
      <c r="C8827" s="9">
        <v>1949</v>
      </c>
      <c r="D8827" s="0">
        <v>0</v>
      </c>
      <c r="E8827" s="10">
        <f>HYPERLINK("http://www.lingerieopt.ru/images/original/573e76c3-4ee5-43ac-a185-92610068930d.jpg","Фото")</f>
      </c>
    </row>
    <row r="8828">
      <c r="A8828" s="7">
        <f>HYPERLINK("http://www.lingerieopt.ru/item/4033-kruzhevnoi-top-s-podvyazkami-dlya-chulok-i-trusiki/","4033")</f>
      </c>
      <c r="B8828" s="8" t="s">
        <v>1568</v>
      </c>
      <c r="C8828" s="9">
        <v>1949</v>
      </c>
      <c r="D8828" s="0">
        <v>0</v>
      </c>
      <c r="E8828" s="10">
        <f>HYPERLINK("http://www.lingerieopt.ru/images/original/573e76c3-4ee5-43ac-a185-92610068930d.jpg","Фото")</f>
      </c>
    </row>
    <row r="8829">
      <c r="A8829" s="7">
        <f>HYPERLINK("http://www.lingerieopt.ru/item/4033-kruzhevnoi-top-s-podvyazkami-dlya-chulok-i-trusiki/","4033")</f>
      </c>
      <c r="B8829" s="8" t="s">
        <v>1569</v>
      </c>
      <c r="C8829" s="9">
        <v>1949</v>
      </c>
      <c r="D8829" s="0">
        <v>30</v>
      </c>
      <c r="E8829" s="10">
        <f>HYPERLINK("http://www.lingerieopt.ru/images/original/573e76c3-4ee5-43ac-a185-92610068930d.jpg","Фото")</f>
      </c>
    </row>
    <row r="8830">
      <c r="A8830" s="7">
        <f>HYPERLINK("http://www.lingerieopt.ru/item/4130-pizhama-bebi-doll-iz-blestyaschego-atlasa/","4130")</f>
      </c>
      <c r="B8830" s="8" t="s">
        <v>8447</v>
      </c>
      <c r="C8830" s="9">
        <v>2275</v>
      </c>
      <c r="D8830" s="0">
        <v>30</v>
      </c>
      <c r="E8830" s="10">
        <f>HYPERLINK("http://www.lingerieopt.ru/images/original/28e3d752-bdf4-4d7d-bc66-7d68eb294688.jpg","Фото")</f>
      </c>
    </row>
    <row r="8831">
      <c r="A8831" s="7">
        <f>HYPERLINK("http://www.lingerieopt.ru/item/4130-pizhama-bebi-doll-iz-blestyaschego-atlasa/","4130")</f>
      </c>
      <c r="B8831" s="8" t="s">
        <v>8448</v>
      </c>
      <c r="C8831" s="9">
        <v>2275</v>
      </c>
      <c r="D8831" s="0">
        <v>0</v>
      </c>
      <c r="E8831" s="10">
        <f>HYPERLINK("http://www.lingerieopt.ru/images/original/28e3d752-bdf4-4d7d-bc66-7d68eb294688.jpg","Фото")</f>
      </c>
    </row>
    <row r="8832">
      <c r="A8832" s="7">
        <f>HYPERLINK("http://www.lingerieopt.ru/item/4130-pizhama-bebi-doll-iz-blestyaschego-atlasa/","4130")</f>
      </c>
      <c r="B8832" s="8" t="s">
        <v>8449</v>
      </c>
      <c r="C8832" s="9">
        <v>2275</v>
      </c>
      <c r="D8832" s="0">
        <v>0</v>
      </c>
      <c r="E8832" s="10">
        <f>HYPERLINK("http://www.lingerieopt.ru/images/original/28e3d752-bdf4-4d7d-bc66-7d68eb294688.jpg","Фото")</f>
      </c>
    </row>
    <row r="8833">
      <c r="A8833" s="7">
        <f>HYPERLINK("http://www.lingerieopt.ru/item/4130-pizhama-bebi-doll-iz-blestyaschego-atlasa/","4130")</f>
      </c>
      <c r="B8833" s="8" t="s">
        <v>8450</v>
      </c>
      <c r="C8833" s="9">
        <v>2275</v>
      </c>
      <c r="D8833" s="0">
        <v>30</v>
      </c>
      <c r="E8833" s="10">
        <f>HYPERLINK("http://www.lingerieopt.ru/images/original/28e3d752-bdf4-4d7d-bc66-7d68eb294688.jpg","Фото")</f>
      </c>
    </row>
    <row r="8834">
      <c r="A8834" s="7">
        <f>HYPERLINK("http://www.lingerieopt.ru/item/4130-pizhama-bebi-doll-iz-blestyaschego-atlasa/","4130")</f>
      </c>
      <c r="B8834" s="8" t="s">
        <v>8451</v>
      </c>
      <c r="C8834" s="9">
        <v>2275</v>
      </c>
      <c r="D8834" s="0">
        <v>30</v>
      </c>
      <c r="E8834" s="10">
        <f>HYPERLINK("http://www.lingerieopt.ru/images/original/28e3d752-bdf4-4d7d-bc66-7d68eb294688.jpg","Фото")</f>
      </c>
    </row>
    <row r="8835">
      <c r="A8835" s="7">
        <f>HYPERLINK("http://www.lingerieopt.ru/item/4130-pizhama-bebi-doll-iz-blestyaschego-atlasa/","4130")</f>
      </c>
      <c r="B8835" s="8" t="s">
        <v>8452</v>
      </c>
      <c r="C8835" s="9">
        <v>2275</v>
      </c>
      <c r="D8835" s="0">
        <v>0</v>
      </c>
      <c r="E8835" s="10">
        <f>HYPERLINK("http://www.lingerieopt.ru/images/original/28e3d752-bdf4-4d7d-bc66-7d68eb294688.jpg","Фото")</f>
      </c>
    </row>
    <row r="8836">
      <c r="A8836" s="7">
        <f>HYPERLINK("http://www.lingerieopt.ru/item/4130-pizhama-bebi-doll-iz-blestyaschego-atlasa/","4130")</f>
      </c>
      <c r="B8836" s="8" t="s">
        <v>8453</v>
      </c>
      <c r="C8836" s="9">
        <v>2275</v>
      </c>
      <c r="D8836" s="0">
        <v>6</v>
      </c>
      <c r="E8836" s="10">
        <f>HYPERLINK("http://www.lingerieopt.ru/images/original/28e3d752-bdf4-4d7d-bc66-7d68eb294688.jpg","Фото")</f>
      </c>
    </row>
    <row r="8837">
      <c r="A8837" s="7">
        <f>HYPERLINK("http://www.lingerieopt.ru/item/4130-pizhama-bebi-doll-iz-blestyaschego-atlasa/","4130")</f>
      </c>
      <c r="B8837" s="8" t="s">
        <v>8454</v>
      </c>
      <c r="C8837" s="9">
        <v>2275</v>
      </c>
      <c r="D8837" s="0">
        <v>3</v>
      </c>
      <c r="E8837" s="10">
        <f>HYPERLINK("http://www.lingerieopt.ru/images/original/28e3d752-bdf4-4d7d-bc66-7d68eb294688.jpg","Фото")</f>
      </c>
    </row>
    <row r="8838">
      <c r="A8838" s="7">
        <f>HYPERLINK("http://www.lingerieopt.ru/item/4130-pizhama-bebi-doll-iz-blestyaschego-atlasa/","4130")</f>
      </c>
      <c r="B8838" s="8" t="s">
        <v>8455</v>
      </c>
      <c r="C8838" s="9">
        <v>2275</v>
      </c>
      <c r="D8838" s="0">
        <v>6</v>
      </c>
      <c r="E8838" s="10">
        <f>HYPERLINK("http://www.lingerieopt.ru/images/original/28e3d752-bdf4-4d7d-bc66-7d68eb294688.jpg","Фото")</f>
      </c>
    </row>
    <row r="8839">
      <c r="A8839" s="7">
        <f>HYPERLINK("http://www.lingerieopt.ru/item/4130-pizhama-bebi-doll-iz-blestyaschego-atlasa/","4130")</f>
      </c>
      <c r="B8839" s="8" t="s">
        <v>8456</v>
      </c>
      <c r="C8839" s="9">
        <v>2275</v>
      </c>
      <c r="D8839" s="0">
        <v>6</v>
      </c>
      <c r="E8839" s="10">
        <f>HYPERLINK("http://www.lingerieopt.ru/images/original/28e3d752-bdf4-4d7d-bc66-7d68eb294688.jpg","Фото")</f>
      </c>
    </row>
    <row r="8840">
      <c r="A8840" s="7">
        <f>HYPERLINK("http://www.lingerieopt.ru/item/4130-pizhama-bebi-doll-iz-blestyaschego-atlasa/","4130")</f>
      </c>
      <c r="B8840" s="8" t="s">
        <v>8457</v>
      </c>
      <c r="C8840" s="9">
        <v>2275</v>
      </c>
      <c r="D8840" s="0">
        <v>0</v>
      </c>
      <c r="E8840" s="10">
        <f>HYPERLINK("http://www.lingerieopt.ru/images/original/28e3d752-bdf4-4d7d-bc66-7d68eb294688.jpg","Фото")</f>
      </c>
    </row>
    <row r="8841">
      <c r="A8841" s="7">
        <f>HYPERLINK("http://www.lingerieopt.ru/item/4130-pizhama-bebi-doll-iz-blestyaschego-atlasa/","4130")</f>
      </c>
      <c r="B8841" s="8" t="s">
        <v>8458</v>
      </c>
      <c r="C8841" s="9">
        <v>2275</v>
      </c>
      <c r="D8841" s="0">
        <v>0</v>
      </c>
      <c r="E8841" s="10">
        <f>HYPERLINK("http://www.lingerieopt.ru/images/original/28e3d752-bdf4-4d7d-bc66-7d68eb294688.jpg","Фото")</f>
      </c>
    </row>
    <row r="8842">
      <c r="A8842" s="7">
        <f>HYPERLINK("http://www.lingerieopt.ru/item/4131-pizhamnji-komplekt-iz-maechki-i-shortikov/","4131")</f>
      </c>
      <c r="B8842" s="8" t="s">
        <v>1576</v>
      </c>
      <c r="C8842" s="9">
        <v>2275</v>
      </c>
      <c r="D8842" s="0">
        <v>0</v>
      </c>
      <c r="E8842" s="10">
        <f>HYPERLINK("http://www.lingerieopt.ru/images/original/a368e8d7-9e90-40df-8c30-20d181d63fe5.jpg","Фото")</f>
      </c>
    </row>
    <row r="8843">
      <c r="A8843" s="7">
        <f>HYPERLINK("http://www.lingerieopt.ru/item/4131-pizhamnji-komplekt-iz-maechki-i-shortikov/","4131")</f>
      </c>
      <c r="B8843" s="8" t="s">
        <v>1580</v>
      </c>
      <c r="C8843" s="9">
        <v>2275</v>
      </c>
      <c r="D8843" s="0">
        <v>0</v>
      </c>
      <c r="E8843" s="10">
        <f>HYPERLINK("http://www.lingerieopt.ru/images/original/a368e8d7-9e90-40df-8c30-20d181d63fe5.jpg","Фото")</f>
      </c>
    </row>
    <row r="8844">
      <c r="A8844" s="7">
        <f>HYPERLINK("http://www.lingerieopt.ru/item/4131-pizhamnji-komplekt-iz-maechki-i-shortikov/","4131")</f>
      </c>
      <c r="B8844" s="8" t="s">
        <v>1577</v>
      </c>
      <c r="C8844" s="9">
        <v>2275</v>
      </c>
      <c r="D8844" s="0">
        <v>0</v>
      </c>
      <c r="E8844" s="10">
        <f>HYPERLINK("http://www.lingerieopt.ru/images/original/a368e8d7-9e90-40df-8c30-20d181d63fe5.jpg","Фото")</f>
      </c>
    </row>
    <row r="8845">
      <c r="A8845" s="7">
        <f>HYPERLINK("http://www.lingerieopt.ru/item/4131-pizhamnji-komplekt-iz-maechki-i-shortikov/","4131")</f>
      </c>
      <c r="B8845" s="8" t="s">
        <v>1579</v>
      </c>
      <c r="C8845" s="9">
        <v>2275</v>
      </c>
      <c r="D8845" s="0">
        <v>6</v>
      </c>
      <c r="E8845" s="10">
        <f>HYPERLINK("http://www.lingerieopt.ru/images/original/a368e8d7-9e90-40df-8c30-20d181d63fe5.jpg","Фото")</f>
      </c>
    </row>
    <row r="8846">
      <c r="A8846" s="7">
        <f>HYPERLINK("http://www.lingerieopt.ru/item/4131-pizhamnji-komplekt-iz-maechki-i-shortikov/","4131")</f>
      </c>
      <c r="B8846" s="8" t="s">
        <v>1578</v>
      </c>
      <c r="C8846" s="9">
        <v>2275</v>
      </c>
      <c r="D8846" s="0">
        <v>6</v>
      </c>
      <c r="E8846" s="10">
        <f>HYPERLINK("http://www.lingerieopt.ru/images/original/a368e8d7-9e90-40df-8c30-20d181d63fe5.jpg","Фото")</f>
      </c>
    </row>
    <row r="8847">
      <c r="A8847" s="7">
        <f>HYPERLINK("http://www.lingerieopt.ru/item/4131-pizhamnji-komplekt-iz-maechki-i-shortikov/","4131")</f>
      </c>
      <c r="B8847" s="8" t="s">
        <v>1573</v>
      </c>
      <c r="C8847" s="9">
        <v>2275</v>
      </c>
      <c r="D8847" s="0">
        <v>0</v>
      </c>
      <c r="E8847" s="10">
        <f>HYPERLINK("http://www.lingerieopt.ru/images/original/a368e8d7-9e90-40df-8c30-20d181d63fe5.jpg","Фото")</f>
      </c>
    </row>
    <row r="8848">
      <c r="A8848" s="7">
        <f>HYPERLINK("http://www.lingerieopt.ru/item/4131-pizhamnji-komplekt-iz-maechki-i-shortikov/","4131")</f>
      </c>
      <c r="B8848" s="8" t="s">
        <v>1585</v>
      </c>
      <c r="C8848" s="9">
        <v>2275</v>
      </c>
      <c r="D8848" s="0">
        <v>0</v>
      </c>
      <c r="E8848" s="10">
        <f>HYPERLINK("http://www.lingerieopt.ru/images/original/a368e8d7-9e90-40df-8c30-20d181d63fe5.jpg","Фото")</f>
      </c>
    </row>
    <row r="8849">
      <c r="A8849" s="7">
        <f>HYPERLINK("http://www.lingerieopt.ru/item/4131-pizhamnji-komplekt-iz-maechki-i-shortikov/","4131")</f>
      </c>
      <c r="B8849" s="8" t="s">
        <v>1584</v>
      </c>
      <c r="C8849" s="9">
        <v>2275</v>
      </c>
      <c r="D8849" s="0">
        <v>6</v>
      </c>
      <c r="E8849" s="10">
        <f>HYPERLINK("http://www.lingerieopt.ru/images/original/a368e8d7-9e90-40df-8c30-20d181d63fe5.jpg","Фото")</f>
      </c>
    </row>
    <row r="8850">
      <c r="A8850" s="7">
        <f>HYPERLINK("http://www.lingerieopt.ru/item/4131-pizhamnji-komplekt-iz-maechki-i-shortikov/","4131")</f>
      </c>
      <c r="B8850" s="8" t="s">
        <v>1583</v>
      </c>
      <c r="C8850" s="9">
        <v>2275</v>
      </c>
      <c r="D8850" s="0">
        <v>6</v>
      </c>
      <c r="E8850" s="10">
        <f>HYPERLINK("http://www.lingerieopt.ru/images/original/a368e8d7-9e90-40df-8c30-20d181d63fe5.jpg","Фото")</f>
      </c>
    </row>
    <row r="8851">
      <c r="A8851" s="7">
        <f>HYPERLINK("http://www.lingerieopt.ru/item/4131-pizhamnji-komplekt-iz-maechki-i-shortikov/","4131")</f>
      </c>
      <c r="B8851" s="8" t="s">
        <v>1582</v>
      </c>
      <c r="C8851" s="9">
        <v>2275</v>
      </c>
      <c r="D8851" s="0">
        <v>6</v>
      </c>
      <c r="E8851" s="10">
        <f>HYPERLINK("http://www.lingerieopt.ru/images/original/a368e8d7-9e90-40df-8c30-20d181d63fe5.jpg","Фото")</f>
      </c>
    </row>
    <row r="8852">
      <c r="A8852" s="7">
        <f>HYPERLINK("http://www.lingerieopt.ru/item/4131-pizhamnji-komplekt-iz-maechki-i-shortikov/","4131")</f>
      </c>
      <c r="B8852" s="8" t="s">
        <v>1581</v>
      </c>
      <c r="C8852" s="9">
        <v>2275</v>
      </c>
      <c r="D8852" s="0">
        <v>3</v>
      </c>
      <c r="E8852" s="10">
        <f>HYPERLINK("http://www.lingerieopt.ru/images/original/a368e8d7-9e90-40df-8c30-20d181d63fe5.jpg","Фото")</f>
      </c>
    </row>
    <row r="8853">
      <c r="A8853" s="7">
        <f>HYPERLINK("http://www.lingerieopt.ru/item/4131-pizhamnji-komplekt-iz-maechki-i-shortikov/","4131")</f>
      </c>
      <c r="B8853" s="8" t="s">
        <v>1572</v>
      </c>
      <c r="C8853" s="9">
        <v>2275</v>
      </c>
      <c r="D8853" s="0">
        <v>0</v>
      </c>
      <c r="E8853" s="10">
        <f>HYPERLINK("http://www.lingerieopt.ru/images/original/a368e8d7-9e90-40df-8c30-20d181d63fe5.jpg","Фото")</f>
      </c>
    </row>
    <row r="8854">
      <c r="A8854" s="7">
        <f>HYPERLINK("http://www.lingerieopt.ru/item/4131-pizhamnji-komplekt-iz-maechki-i-shortikov/","4131")</f>
      </c>
      <c r="B8854" s="8" t="s">
        <v>1574</v>
      </c>
      <c r="C8854" s="9">
        <v>2275</v>
      </c>
      <c r="D8854" s="0">
        <v>0</v>
      </c>
      <c r="E8854" s="10">
        <f>HYPERLINK("http://www.lingerieopt.ru/images/original/a368e8d7-9e90-40df-8c30-20d181d63fe5.jpg","Фото")</f>
      </c>
    </row>
    <row r="8855">
      <c r="A8855" s="7">
        <f>HYPERLINK("http://www.lingerieopt.ru/item/4131-pizhamnji-komplekt-iz-maechki-i-shortikov/","4131")</f>
      </c>
      <c r="B8855" s="8" t="s">
        <v>1571</v>
      </c>
      <c r="C8855" s="9">
        <v>2275</v>
      </c>
      <c r="D8855" s="0">
        <v>0</v>
      </c>
      <c r="E8855" s="10">
        <f>HYPERLINK("http://www.lingerieopt.ru/images/original/a368e8d7-9e90-40df-8c30-20d181d63fe5.jpg","Фото")</f>
      </c>
    </row>
    <row r="8856">
      <c r="A8856" s="7">
        <f>HYPERLINK("http://www.lingerieopt.ru/item/4131-pizhamnji-komplekt-iz-maechki-i-shortikov/","4131")</f>
      </c>
      <c r="B8856" s="8" t="s">
        <v>1575</v>
      </c>
      <c r="C8856" s="9">
        <v>2275</v>
      </c>
      <c r="D8856" s="0">
        <v>0</v>
      </c>
      <c r="E8856" s="10">
        <f>HYPERLINK("http://www.lingerieopt.ru/images/original/a368e8d7-9e90-40df-8c30-20d181d63fe5.jpg","Фото")</f>
      </c>
    </row>
    <row r="8857">
      <c r="A8857" s="7">
        <f>HYPERLINK("http://www.lingerieopt.ru/item/4135-odnotonnaya-pizhama-iz-atlasa-s-elegantnjm-bleskom/","4135")</f>
      </c>
      <c r="B8857" s="8" t="s">
        <v>8459</v>
      </c>
      <c r="C8857" s="9">
        <v>2599</v>
      </c>
      <c r="D8857" s="0">
        <v>0</v>
      </c>
      <c r="E8857" s="10">
        <f>HYPERLINK("http://www.lingerieopt.ru/images/original/07915c7f-0bd5-47a7-8ea2-0a29f096267b.jpg","Фото")</f>
      </c>
    </row>
    <row r="8858">
      <c r="A8858" s="7">
        <f>HYPERLINK("http://www.lingerieopt.ru/item/4135-odnotonnaya-pizhama-iz-atlasa-s-elegantnjm-bleskom/","4135")</f>
      </c>
      <c r="B8858" s="8" t="s">
        <v>8460</v>
      </c>
      <c r="C8858" s="9">
        <v>2599</v>
      </c>
      <c r="D8858" s="0">
        <v>0</v>
      </c>
      <c r="E8858" s="10">
        <f>HYPERLINK("http://www.lingerieopt.ru/images/original/07915c7f-0bd5-47a7-8ea2-0a29f096267b.jpg","Фото")</f>
      </c>
    </row>
    <row r="8859">
      <c r="A8859" s="7">
        <f>HYPERLINK("http://www.lingerieopt.ru/item/4135-odnotonnaya-pizhama-iz-atlasa-s-elegantnjm-bleskom/","4135")</f>
      </c>
      <c r="B8859" s="8" t="s">
        <v>8461</v>
      </c>
      <c r="C8859" s="9">
        <v>2599</v>
      </c>
      <c r="D8859" s="0">
        <v>0</v>
      </c>
      <c r="E8859" s="10">
        <f>HYPERLINK("http://www.lingerieopt.ru/images/original/07915c7f-0bd5-47a7-8ea2-0a29f096267b.jpg","Фото")</f>
      </c>
    </row>
    <row r="8860">
      <c r="A8860" s="7">
        <f>HYPERLINK("http://www.lingerieopt.ru/item/4135-odnotonnaya-pizhama-iz-atlasa-s-elegantnjm-bleskom/","4135")</f>
      </c>
      <c r="B8860" s="8" t="s">
        <v>8462</v>
      </c>
      <c r="C8860" s="9">
        <v>2599</v>
      </c>
      <c r="D8860" s="0">
        <v>1</v>
      </c>
      <c r="E8860" s="10">
        <f>HYPERLINK("http://www.lingerieopt.ru/images/original/07915c7f-0bd5-47a7-8ea2-0a29f096267b.jpg","Фото")</f>
      </c>
    </row>
    <row r="8861">
      <c r="A8861" s="7">
        <f>HYPERLINK("http://www.lingerieopt.ru/item/4135-odnotonnaya-pizhama-iz-atlasa-s-elegantnjm-bleskom/","4135")</f>
      </c>
      <c r="B8861" s="8" t="s">
        <v>8463</v>
      </c>
      <c r="C8861" s="9">
        <v>2599</v>
      </c>
      <c r="D8861" s="0">
        <v>0</v>
      </c>
      <c r="E8861" s="10">
        <f>HYPERLINK("http://www.lingerieopt.ru/images/original/07915c7f-0bd5-47a7-8ea2-0a29f096267b.jpg","Фото")</f>
      </c>
    </row>
    <row r="8862">
      <c r="A8862" s="7">
        <f>HYPERLINK("http://www.lingerieopt.ru/item/4135-odnotonnaya-pizhama-iz-atlasa-s-elegantnjm-bleskom/","4135")</f>
      </c>
      <c r="B8862" s="8" t="s">
        <v>8464</v>
      </c>
      <c r="C8862" s="9">
        <v>2599</v>
      </c>
      <c r="D8862" s="0">
        <v>6</v>
      </c>
      <c r="E8862" s="10">
        <f>HYPERLINK("http://www.lingerieopt.ru/images/original/07915c7f-0bd5-47a7-8ea2-0a29f096267b.jpg","Фото")</f>
      </c>
    </row>
    <row r="8863">
      <c r="A8863" s="7">
        <f>HYPERLINK("http://www.lingerieopt.ru/item/4135-odnotonnaya-pizhama-iz-atlasa-s-elegantnjm-bleskom/","4135")</f>
      </c>
      <c r="B8863" s="8" t="s">
        <v>8465</v>
      </c>
      <c r="C8863" s="9">
        <v>2599</v>
      </c>
      <c r="D8863" s="0">
        <v>0</v>
      </c>
      <c r="E8863" s="10">
        <f>HYPERLINK("http://www.lingerieopt.ru/images/original/07915c7f-0bd5-47a7-8ea2-0a29f096267b.jpg","Фото")</f>
      </c>
    </row>
    <row r="8864">
      <c r="A8864" s="7">
        <f>HYPERLINK("http://www.lingerieopt.ru/item/4176-fartuk-v-melkii-goroshek/","4176")</f>
      </c>
      <c r="B8864" s="8" t="s">
        <v>4603</v>
      </c>
      <c r="C8864" s="9">
        <v>2275</v>
      </c>
      <c r="D8864" s="0">
        <v>30</v>
      </c>
      <c r="E8864" s="10">
        <f>HYPERLINK("http://www.lingerieopt.ru/images/original/f8f387cd-d452-4e7a-a30d-270e606acf25.jpg","Фото")</f>
      </c>
    </row>
    <row r="8865">
      <c r="A8865" s="7">
        <f>HYPERLINK("http://www.lingerieopt.ru/item/5310-kostyum-iz-korotkogo-topa-i-oblegayuschei-yubki/","5310")</f>
      </c>
      <c r="B8865" s="8" t="s">
        <v>8466</v>
      </c>
      <c r="C8865" s="9">
        <v>1030</v>
      </c>
      <c r="D8865" s="0">
        <v>6</v>
      </c>
      <c r="E8865" s="10">
        <f>HYPERLINK("http://www.lingerieopt.ru/images/original/2ba82adc-6b33-485a-b1c1-e42c91df7c5e.jpg","Фото")</f>
      </c>
    </row>
    <row r="8866">
      <c r="A8866" s="7">
        <f>HYPERLINK("http://www.lingerieopt.ru/item/5310-kostyum-iz-korotkogo-topa-i-oblegayuschei-yubki/","5310")</f>
      </c>
      <c r="B8866" s="8" t="s">
        <v>8467</v>
      </c>
      <c r="C8866" s="9">
        <v>1030</v>
      </c>
      <c r="D8866" s="0">
        <v>31</v>
      </c>
      <c r="E8866" s="10">
        <f>HYPERLINK("http://www.lingerieopt.ru/images/original/2ba82adc-6b33-485a-b1c1-e42c91df7c5e.jpg","Фото")</f>
      </c>
    </row>
    <row r="8867">
      <c r="A8867" s="7">
        <f>HYPERLINK("http://www.lingerieopt.ru/item/5310-kostyum-iz-korotkogo-topa-i-oblegayuschei-yubki/","5310")</f>
      </c>
      <c r="B8867" s="8" t="s">
        <v>8468</v>
      </c>
      <c r="C8867" s="9">
        <v>1030</v>
      </c>
      <c r="D8867" s="0">
        <v>3</v>
      </c>
      <c r="E8867" s="10">
        <f>HYPERLINK("http://www.lingerieopt.ru/images/original/2ba82adc-6b33-485a-b1c1-e42c91df7c5e.jpg","Фото")</f>
      </c>
    </row>
    <row r="8868">
      <c r="A8868" s="7">
        <f>HYPERLINK("http://www.lingerieopt.ru/item/5382-pikantnji-komplekt-ukorochennji-top-i-mini-yubka/","5382")</f>
      </c>
      <c r="B8868" s="8" t="s">
        <v>1660</v>
      </c>
      <c r="C8868" s="9">
        <v>2482</v>
      </c>
      <c r="D8868" s="0">
        <v>0</v>
      </c>
      <c r="E8868" s="10">
        <f>HYPERLINK("http://www.lingerieopt.ru/images/original/0bd2aa70-48a4-4834-affc-2836fab131d0.jpg","Фото")</f>
      </c>
    </row>
    <row r="8869">
      <c r="A8869" s="7">
        <f>HYPERLINK("http://www.lingerieopt.ru/item/5382-pikantnji-komplekt-ukorochennji-top-i-mini-yubka/","5382")</f>
      </c>
      <c r="B8869" s="8" t="s">
        <v>1659</v>
      </c>
      <c r="C8869" s="9">
        <v>2482</v>
      </c>
      <c r="D8869" s="0">
        <v>3</v>
      </c>
      <c r="E8869" s="10">
        <f>HYPERLINK("http://www.lingerieopt.ru/images/original/0bd2aa70-48a4-4834-affc-2836fab131d0.jpg","Фото")</f>
      </c>
    </row>
    <row r="8870">
      <c r="A8870" s="7">
        <f>HYPERLINK("http://www.lingerieopt.ru/item/5981-pushistoe-boa/","5981")</f>
      </c>
      <c r="B8870" s="8" t="s">
        <v>8469</v>
      </c>
      <c r="C8870" s="9">
        <v>584</v>
      </c>
      <c r="D8870" s="0">
        <v>6</v>
      </c>
      <c r="E8870" s="10">
        <f>HYPERLINK("http://www.lingerieopt.ru/images/original/1fc51763-cfcc-4337-beb0-7852b160982b.jpg","Фото")</f>
      </c>
    </row>
    <row r="8871">
      <c r="A8871" s="7">
        <f>HYPERLINK("http://www.lingerieopt.ru/item/5981-pushistoe-boa/","5981")</f>
      </c>
      <c r="B8871" s="8" t="s">
        <v>8470</v>
      </c>
      <c r="C8871" s="9">
        <v>584</v>
      </c>
      <c r="D8871" s="0">
        <v>0</v>
      </c>
      <c r="E8871" s="10">
        <f>HYPERLINK("http://www.lingerieopt.ru/images/original/1fc51763-cfcc-4337-beb0-7852b160982b.jpg","Фото")</f>
      </c>
    </row>
    <row r="8872">
      <c r="A8872" s="7">
        <f>HYPERLINK("http://www.lingerieopt.ru/item/5981-pushistoe-boa/","5981")</f>
      </c>
      <c r="B8872" s="8" t="s">
        <v>8471</v>
      </c>
      <c r="C8872" s="9">
        <v>584</v>
      </c>
      <c r="D8872" s="0">
        <v>0</v>
      </c>
      <c r="E8872" s="10">
        <f>HYPERLINK("http://www.lingerieopt.ru/images/original/1fc51763-cfcc-4337-beb0-7852b160982b.jpg","Фото")</f>
      </c>
    </row>
    <row r="8873">
      <c r="A8873" s="7">
        <f>HYPERLINK("http://www.lingerieopt.ru/item/5981-pushistoe-boa/","5981")</f>
      </c>
      <c r="B8873" s="8" t="s">
        <v>8472</v>
      </c>
      <c r="C8873" s="9">
        <v>584</v>
      </c>
      <c r="D8873" s="0">
        <v>0</v>
      </c>
      <c r="E8873" s="10">
        <f>HYPERLINK("http://www.lingerieopt.ru/images/original/1fc51763-cfcc-4337-beb0-7852b160982b.jpg","Фото")</f>
      </c>
    </row>
    <row r="8874">
      <c r="A8874" s="7">
        <f>HYPERLINK("http://www.lingerieopt.ru/item/5981-pushistoe-boa/","5981")</f>
      </c>
      <c r="B8874" s="8" t="s">
        <v>8473</v>
      </c>
      <c r="C8874" s="9">
        <v>584</v>
      </c>
      <c r="D8874" s="0">
        <v>30</v>
      </c>
      <c r="E8874" s="10">
        <f>HYPERLINK("http://www.lingerieopt.ru/images/original/1fc51763-cfcc-4337-beb0-7852b160982b.jpg","Фото")</f>
      </c>
    </row>
    <row r="8875">
      <c r="A8875" s="7">
        <f>HYPERLINK("http://www.lingerieopt.ru/item/6118-struyaschiisya-halatik-s-kruzhevnjmi-vstavkami/","6118")</f>
      </c>
      <c r="B8875" s="8" t="s">
        <v>8474</v>
      </c>
      <c r="C8875" s="9">
        <v>3831</v>
      </c>
      <c r="D8875" s="0">
        <v>30</v>
      </c>
      <c r="E8875" s="10">
        <f>HYPERLINK("http://www.lingerieopt.ru/images/original/316bce87-b3e2-4749-ba19-224a063cd70f.jpg","Фото")</f>
      </c>
    </row>
    <row r="8876">
      <c r="A8876" s="7">
        <f>HYPERLINK("http://www.lingerieopt.ru/item/6118-struyaschiisya-halatik-s-kruzhevnjmi-vstavkami/","6118")</f>
      </c>
      <c r="B8876" s="8" t="s">
        <v>8475</v>
      </c>
      <c r="C8876" s="9">
        <v>3831</v>
      </c>
      <c r="D8876" s="0">
        <v>30</v>
      </c>
      <c r="E8876" s="10">
        <f>HYPERLINK("http://www.lingerieopt.ru/images/original/316bce87-b3e2-4749-ba19-224a063cd70f.jpg","Фото")</f>
      </c>
    </row>
    <row r="8877">
      <c r="A8877" s="7">
        <f>HYPERLINK("http://www.lingerieopt.ru/item/6129-legkii-kruzhevnoi-halatik/","6129")</f>
      </c>
      <c r="B8877" s="8" t="s">
        <v>8476</v>
      </c>
      <c r="C8877" s="9">
        <v>3911</v>
      </c>
      <c r="D8877" s="0">
        <v>6</v>
      </c>
      <c r="E8877" s="10">
        <f>HYPERLINK("http://www.lingerieopt.ru/images/original/f2423056-4261-44c0-8fa8-cfe31632fb21.jpg","Фото")</f>
      </c>
    </row>
    <row r="8878">
      <c r="A8878" s="7">
        <f>HYPERLINK("http://www.lingerieopt.ru/item/6129-legkii-kruzhevnoi-halatik/","6129")</f>
      </c>
      <c r="B8878" s="8" t="s">
        <v>8477</v>
      </c>
      <c r="C8878" s="9">
        <v>3911</v>
      </c>
      <c r="D8878" s="0">
        <v>6</v>
      </c>
      <c r="E8878" s="10">
        <f>HYPERLINK("http://www.lingerieopt.ru/images/original/f2423056-4261-44c0-8fa8-cfe31632fb21.jpg","Фото")</f>
      </c>
    </row>
    <row r="8879">
      <c r="A8879" s="7">
        <f>HYPERLINK("http://www.lingerieopt.ru/item/6130-struyaschiisya-halatik-s-atlasnjm-poyaskom/","6130")</f>
      </c>
      <c r="B8879" s="8" t="s">
        <v>8478</v>
      </c>
      <c r="C8879" s="9">
        <v>3511</v>
      </c>
      <c r="D8879" s="0">
        <v>30</v>
      </c>
      <c r="E8879" s="10">
        <f>HYPERLINK("http://www.lingerieopt.ru/images/original/0cd66fe7-b9fc-425d-b78e-38f0a388f9f8.jpg","Фото")</f>
      </c>
    </row>
    <row r="8880">
      <c r="A8880" s="7">
        <f>HYPERLINK("http://www.lingerieopt.ru/item/6130-struyaschiisya-halatik-s-atlasnjm-poyaskom/","6130")</f>
      </c>
      <c r="B8880" s="8" t="s">
        <v>8479</v>
      </c>
      <c r="C8880" s="9">
        <v>3511</v>
      </c>
      <c r="D8880" s="0">
        <v>31</v>
      </c>
      <c r="E8880" s="10">
        <f>HYPERLINK("http://www.lingerieopt.ru/images/original/0cd66fe7-b9fc-425d-b78e-38f0a388f9f8.jpg","Фото")</f>
      </c>
    </row>
    <row r="8881">
      <c r="A8881" s="7">
        <f>HYPERLINK("http://www.lingerieopt.ru/item/6145-legkii-halatik-iz-kruzheva/","6145")</f>
      </c>
      <c r="B8881" s="8" t="s">
        <v>8480</v>
      </c>
      <c r="C8881" s="9">
        <v>3752</v>
      </c>
      <c r="D8881" s="0">
        <v>6</v>
      </c>
      <c r="E8881" s="10">
        <f>HYPERLINK("http://www.lingerieopt.ru/images/original/b3f8a25d-1a83-40a3-9e4e-ebbcb1fc2913.jpg","Фото")</f>
      </c>
    </row>
    <row r="8882">
      <c r="A8882" s="7">
        <f>HYPERLINK("http://www.lingerieopt.ru/item/6145-legkii-halatik-iz-kruzheva/","6145")</f>
      </c>
      <c r="B8882" s="8" t="s">
        <v>8481</v>
      </c>
      <c r="C8882" s="9">
        <v>3752</v>
      </c>
      <c r="D8882" s="0">
        <v>6</v>
      </c>
      <c r="E8882" s="10">
        <f>HYPERLINK("http://www.lingerieopt.ru/images/original/b3f8a25d-1a83-40a3-9e4e-ebbcb1fc2913.jpg","Фото")</f>
      </c>
    </row>
    <row r="8883">
      <c r="A8883" s="7">
        <f>HYPERLINK("http://www.lingerieopt.ru/item/6163-chernji-halat-s-uzorom-v-vide-yarkih-roz/","6163")</f>
      </c>
      <c r="B8883" s="8" t="s">
        <v>8482</v>
      </c>
      <c r="C8883" s="9">
        <v>3208</v>
      </c>
      <c r="D8883" s="0">
        <v>6</v>
      </c>
      <c r="E8883" s="10">
        <f>HYPERLINK("http://www.lingerieopt.ru/images/original/edfe52c8-4353-4f63-b06b-c16c6bc96a2f.jpg","Фото")</f>
      </c>
    </row>
    <row r="8884">
      <c r="A8884" s="7">
        <f>HYPERLINK("http://www.lingerieopt.ru/item/6399-roskoshnji-komplekt-calixte-premium/","6399")</f>
      </c>
      <c r="B8884" s="8" t="s">
        <v>1736</v>
      </c>
      <c r="C8884" s="9">
        <v>3653</v>
      </c>
      <c r="D8884" s="0">
        <v>5</v>
      </c>
      <c r="E8884" s="10">
        <f>HYPERLINK("http://www.lingerieopt.ru/images/original/01559b75-5179-4087-bcc0-50771b67b341.jpg","Фото")</f>
      </c>
    </row>
    <row r="8885">
      <c r="A8885" s="7">
        <f>HYPERLINK("http://www.lingerieopt.ru/item/6592-kruzhevnoi-komplekt-magnolia-iz-3-predmetov/","6592")</f>
      </c>
      <c r="B8885" s="8" t="s">
        <v>4166</v>
      </c>
      <c r="C8885" s="9">
        <v>784</v>
      </c>
      <c r="D8885" s="0">
        <v>6</v>
      </c>
      <c r="E8885" s="10">
        <f>HYPERLINK("http://www.lingerieopt.ru/images/original/e28716f0-e9bc-413e-b553-6a806bdacc9f.jpg","Фото")</f>
      </c>
    </row>
    <row r="8886">
      <c r="A8886" s="7">
        <f>HYPERLINK("http://www.lingerieopt.ru/item/6592-kruzhevnoi-komplekt-magnolia-iz-3-predmetov/","6592")</f>
      </c>
      <c r="B8886" s="8" t="s">
        <v>4165</v>
      </c>
      <c r="C8886" s="9">
        <v>784</v>
      </c>
      <c r="D8886" s="0">
        <v>3</v>
      </c>
      <c r="E8886" s="10">
        <f>HYPERLINK("http://www.lingerieopt.ru/images/original/e28716f0-e9bc-413e-b553-6a806bdacc9f.jpg","Фото")</f>
      </c>
    </row>
    <row r="8887">
      <c r="A8887" s="7">
        <f>HYPERLINK("http://www.lingerieopt.ru/item/6592-kruzhevnoi-komplekt-magnolia-iz-3-predmetov/","6592")</f>
      </c>
      <c r="B8887" s="8" t="s">
        <v>4167</v>
      </c>
      <c r="C8887" s="9">
        <v>784</v>
      </c>
      <c r="D8887" s="0">
        <v>6</v>
      </c>
      <c r="E8887" s="10">
        <f>HYPERLINK("http://www.lingerieopt.ru/images/original/e28716f0-e9bc-413e-b553-6a806bdacc9f.jpg","Фото")</f>
      </c>
    </row>
    <row r="8888">
      <c r="A8888" s="7">
        <f>HYPERLINK("http://www.lingerieopt.ru/item/6890-maska-satinia-s-kruzhevnoi-vstavkoi-po-centru/","6890")</f>
      </c>
      <c r="B8888" s="8" t="s">
        <v>8483</v>
      </c>
      <c r="C8888" s="9">
        <v>521</v>
      </c>
      <c r="D8888" s="0">
        <v>0</v>
      </c>
      <c r="E8888" s="10">
        <f>HYPERLINK("http://www.lingerieopt.ru/images/original/193d1311-1f65-4112-af57-12ca30bc3969.jpg","Фото")</f>
      </c>
    </row>
    <row r="8889">
      <c r="A8889" s="7">
        <f>HYPERLINK("http://www.lingerieopt.ru/item/6890-maska-satinia-s-kruzhevnoi-vstavkoi-po-centru/","6890")</f>
      </c>
      <c r="B8889" s="8" t="s">
        <v>8484</v>
      </c>
      <c r="C8889" s="9">
        <v>521</v>
      </c>
      <c r="D8889" s="0">
        <v>0</v>
      </c>
      <c r="E8889" s="10">
        <f>HYPERLINK("http://www.lingerieopt.ru/images/original/193d1311-1f65-4112-af57-12ca30bc3969.jpg","Фото")</f>
      </c>
    </row>
    <row r="8890">
      <c r="A8890" s="7">
        <f>HYPERLINK("http://www.lingerieopt.ru/item/6890-maska-satinia-s-kruzhevnoi-vstavkoi-po-centru/","6890")</f>
      </c>
      <c r="B8890" s="8" t="s">
        <v>8485</v>
      </c>
      <c r="C8890" s="9">
        <v>521</v>
      </c>
      <c r="D8890" s="0">
        <v>7</v>
      </c>
      <c r="E8890" s="10">
        <f>HYPERLINK("http://www.lingerieopt.ru/images/original/193d1311-1f65-4112-af57-12ca30bc3969.jpg","Фото")</f>
      </c>
    </row>
    <row r="8891">
      <c r="A8891" s="7">
        <f>HYPERLINK("http://www.lingerieopt.ru/item/6916-halatik-satinia-s-kruzhevnjmi-vstavkami-na-rukavah/","6916")</f>
      </c>
      <c r="B8891" s="8" t="s">
        <v>8486</v>
      </c>
      <c r="C8891" s="9">
        <v>2583</v>
      </c>
      <c r="D8891" s="0">
        <v>0</v>
      </c>
      <c r="E8891" s="10">
        <f>HYPERLINK("http://www.lingerieopt.ru/images/original/b1a81862-4cf4-40ee-a440-a6bca328167b.jpg","Фото")</f>
      </c>
    </row>
    <row r="8892">
      <c r="A8892" s="7">
        <f>HYPERLINK("http://www.lingerieopt.ru/item/6916-halatik-satinia-s-kruzhevnjmi-vstavkami-na-rukavah/","6916")</f>
      </c>
      <c r="B8892" s="8" t="s">
        <v>8487</v>
      </c>
      <c r="C8892" s="9">
        <v>2583</v>
      </c>
      <c r="D8892" s="0">
        <v>0</v>
      </c>
      <c r="E8892" s="10">
        <f>HYPERLINK("http://www.lingerieopt.ru/images/original/b1a81862-4cf4-40ee-a440-a6bca328167b.jpg","Фото")</f>
      </c>
    </row>
    <row r="8893">
      <c r="A8893" s="7">
        <f>HYPERLINK("http://www.lingerieopt.ru/item/6916-halatik-satinia-s-kruzhevnjmi-vstavkami-na-rukavah/","6916")</f>
      </c>
      <c r="B8893" s="8" t="s">
        <v>8488</v>
      </c>
      <c r="C8893" s="9">
        <v>2583</v>
      </c>
      <c r="D8893" s="0">
        <v>0</v>
      </c>
      <c r="E8893" s="10">
        <f>HYPERLINK("http://www.lingerieopt.ru/images/original/b1a81862-4cf4-40ee-a440-a6bca328167b.jpg","Фото")</f>
      </c>
    </row>
    <row r="8894">
      <c r="A8894" s="7">
        <f>HYPERLINK("http://www.lingerieopt.ru/item/6916-halatik-satinia-s-kruzhevnjmi-vstavkami-na-rukavah/","6916")</f>
      </c>
      <c r="B8894" s="8" t="s">
        <v>8489</v>
      </c>
      <c r="C8894" s="9">
        <v>2583</v>
      </c>
      <c r="D8894" s="0">
        <v>0</v>
      </c>
      <c r="E8894" s="10">
        <f>HYPERLINK("http://www.lingerieopt.ru/images/original/b1a81862-4cf4-40ee-a440-a6bca328167b.jpg","Фото")</f>
      </c>
    </row>
    <row r="8895">
      <c r="A8895" s="7">
        <f>HYPERLINK("http://www.lingerieopt.ru/item/6916-halatik-satinia-s-kruzhevnjmi-vstavkami-na-rukavah/","6916")</f>
      </c>
      <c r="B8895" s="8" t="s">
        <v>8490</v>
      </c>
      <c r="C8895" s="9">
        <v>2583</v>
      </c>
      <c r="D8895" s="0">
        <v>0</v>
      </c>
      <c r="E8895" s="10">
        <f>HYPERLINK("http://www.lingerieopt.ru/images/original/b1a81862-4cf4-40ee-a440-a6bca328167b.jpg","Фото")</f>
      </c>
    </row>
    <row r="8896">
      <c r="A8896" s="7">
        <f>HYPERLINK("http://www.lingerieopt.ru/item/6916-halatik-satinia-s-kruzhevnjmi-vstavkami-na-rukavah/","6916")</f>
      </c>
      <c r="B8896" s="8" t="s">
        <v>8491</v>
      </c>
      <c r="C8896" s="9">
        <v>2583</v>
      </c>
      <c r="D8896" s="0">
        <v>0</v>
      </c>
      <c r="E8896" s="10">
        <f>HYPERLINK("http://www.lingerieopt.ru/images/original/b1a81862-4cf4-40ee-a440-a6bca328167b.jpg","Фото")</f>
      </c>
    </row>
    <row r="8897">
      <c r="A8897" s="7">
        <f>HYPERLINK("http://www.lingerieopt.ru/item/6916-halatik-satinia-s-kruzhevnjmi-vstavkami-na-rukavah/","6916")</f>
      </c>
      <c r="B8897" s="8" t="s">
        <v>8492</v>
      </c>
      <c r="C8897" s="9">
        <v>2583</v>
      </c>
      <c r="D8897" s="0">
        <v>3</v>
      </c>
      <c r="E8897" s="10">
        <f>HYPERLINK("http://www.lingerieopt.ru/images/original/b1a81862-4cf4-40ee-a440-a6bca328167b.jpg","Фото")</f>
      </c>
    </row>
    <row r="8898">
      <c r="A8898" s="7">
        <f>HYPERLINK("http://www.lingerieopt.ru/item/6916-halatik-satinia-s-kruzhevnjmi-vstavkami-na-rukavah/","6916")</f>
      </c>
      <c r="B8898" s="8" t="s">
        <v>8493</v>
      </c>
      <c r="C8898" s="9">
        <v>2583</v>
      </c>
      <c r="D8898" s="0">
        <v>0</v>
      </c>
      <c r="E8898" s="10">
        <f>HYPERLINK("http://www.lingerieopt.ru/images/original/b1a81862-4cf4-40ee-a440-a6bca328167b.jpg","Фото")</f>
      </c>
    </row>
    <row r="8899">
      <c r="A8899" s="7">
        <f>HYPERLINK("http://www.lingerieopt.ru/item/7198-komplekt-iz-krop-topa-i-mini-yubki/","7198")</f>
      </c>
      <c r="B8899" s="8" t="s">
        <v>8494</v>
      </c>
      <c r="C8899" s="9">
        <v>1446</v>
      </c>
      <c r="D8899" s="0">
        <v>30</v>
      </c>
      <c r="E8899" s="10">
        <f>HYPERLINK("http://www.lingerieopt.ru/images/original/d24611f9-9a76-4e63-84b0-41f5058721e1.jpg","Фото")</f>
      </c>
    </row>
    <row r="8900">
      <c r="A8900" s="7">
        <f>HYPERLINK("http://www.lingerieopt.ru/item/7201-gladkie-top-bando-i-mini-yubka/","7201")</f>
      </c>
      <c r="B8900" s="8" t="s">
        <v>8495</v>
      </c>
      <c r="C8900" s="9">
        <v>1205</v>
      </c>
      <c r="D8900" s="0">
        <v>30</v>
      </c>
      <c r="E8900" s="10">
        <f>HYPERLINK("http://www.lingerieopt.ru/images/original/23304104-30de-4a4a-a37c-fe5f74bdd84d.jpg","Фото")</f>
      </c>
    </row>
    <row r="8901">
      <c r="A8901" s="7">
        <f>HYPERLINK("http://www.lingerieopt.ru/item/7202-kruzhevnje-top-bando-i-mini-yubka/","7202")</f>
      </c>
      <c r="B8901" s="8" t="s">
        <v>8496</v>
      </c>
      <c r="C8901" s="9">
        <v>1446</v>
      </c>
      <c r="D8901" s="0">
        <v>30</v>
      </c>
      <c r="E8901" s="10">
        <f>HYPERLINK("http://www.lingerieopt.ru/images/original/cd1175c9-ce34-488a-a301-8d4a175cbf05.jpg","Фото")</f>
      </c>
    </row>
    <row r="8902">
      <c r="A8902" s="7">
        <f>HYPERLINK("http://www.lingerieopt.ru/item/7203-leopardovje-top-bando-i-mini-yubka/","7203")</f>
      </c>
      <c r="B8902" s="8" t="s">
        <v>8497</v>
      </c>
      <c r="C8902" s="9">
        <v>1446</v>
      </c>
      <c r="D8902" s="0">
        <v>30</v>
      </c>
      <c r="E8902" s="10">
        <f>HYPERLINK("http://www.lingerieopt.ru/images/original/5734927d-178c-48b8-a2ea-e4afbea6feba.jpg","Фото")</f>
      </c>
    </row>
    <row r="8903">
      <c r="A8903" s="7">
        <f>HYPERLINK("http://www.lingerieopt.ru/item/7315-kruzhevnje-chernje-manzhetj-desiderio/","7315")</f>
      </c>
      <c r="B8903" s="8" t="s">
        <v>8498</v>
      </c>
      <c r="C8903" s="9">
        <v>1187</v>
      </c>
      <c r="D8903" s="0">
        <v>5</v>
      </c>
      <c r="E8903" s="10">
        <f>HYPERLINK("http://www.lingerieopt.ru/images/original/002a4ae4-ba8c-4e27-9222-88317414ec02.jpg","Фото")</f>
      </c>
    </row>
    <row r="8904">
      <c r="A8904" s="7">
        <f>HYPERLINK("http://www.lingerieopt.ru/item/7387-effektnji-komplekt-tomiko-s-verevkami-dlya-svyazjvaniya/","7387")</f>
      </c>
      <c r="B8904" s="8" t="s">
        <v>1921</v>
      </c>
      <c r="C8904" s="9">
        <v>3511</v>
      </c>
      <c r="D8904" s="0">
        <v>5</v>
      </c>
      <c r="E8904" s="10">
        <f>HYPERLINK("http://www.lingerieopt.ru/images/original/eacea2ce-7ef7-4c2d-ba48-e5fb330e36a2.jpg","Фото")</f>
      </c>
    </row>
    <row r="8905">
      <c r="A8905" s="7">
        <f>HYPERLINK("http://www.lingerieopt.ru/item/7387-effektnji-komplekt-tomiko-s-verevkami-dlya-svyazjvaniya/","7387")</f>
      </c>
      <c r="B8905" s="8" t="s">
        <v>1922</v>
      </c>
      <c r="C8905" s="9">
        <v>3511</v>
      </c>
      <c r="D8905" s="0">
        <v>2</v>
      </c>
      <c r="E8905" s="10">
        <f>HYPERLINK("http://www.lingerieopt.ru/images/original/eacea2ce-7ef7-4c2d-ba48-e5fb330e36a2.jpg","Фото")</f>
      </c>
    </row>
    <row r="8906">
      <c r="A8906" s="7">
        <f>HYPERLINK("http://www.lingerieopt.ru/item/7940-uvelichivayuschie-grud-na-odin-razmer-vkladki-dlya-bikini-bikini-boosters/","7940")</f>
      </c>
      <c r="B8906" s="8" t="s">
        <v>965</v>
      </c>
      <c r="C8906" s="9">
        <v>598</v>
      </c>
      <c r="D8906" s="0">
        <v>6</v>
      </c>
      <c r="E8906" s="10">
        <f>HYPERLINK("http://www.lingerieopt.ru/images/original/371d3872-050a-44cb-98b1-2d5d297c1b3a.jpg","Фото")</f>
      </c>
    </row>
    <row r="8907">
      <c r="A8907" s="7">
        <f>HYPERLINK("http://www.lingerieopt.ru/item/7945-ultra-legkie-silikonovje-vkladki-push-ap-instant-celebrity-silicone-enhancers/","7945")</f>
      </c>
      <c r="B8907" s="8" t="s">
        <v>966</v>
      </c>
      <c r="C8907" s="9">
        <v>888</v>
      </c>
      <c r="D8907" s="0">
        <v>3</v>
      </c>
      <c r="E8907" s="10">
        <f>HYPERLINK("http://www.lingerieopt.ru/images/original/843ac25f-2331-4f35-8546-23471d1b6194.jpg","Фото")</f>
      </c>
    </row>
    <row r="8908">
      <c r="A8908" s="7">
        <f>HYPERLINK("http://www.lingerieopt.ru/item/7946-nabor-rasshiritelei-byustgaltera-shirinoi-na-1-kryuchok-bra-extender/","7946")</f>
      </c>
      <c r="B8908" s="8" t="s">
        <v>967</v>
      </c>
      <c r="C8908" s="9">
        <v>384</v>
      </c>
      <c r="D8908" s="0">
        <v>30</v>
      </c>
      <c r="E8908" s="10">
        <f>HYPERLINK("http://www.lingerieopt.ru/images/original/cf70b637-d481-42d7-85fe-6835b48c1ce2.jpg","Фото")</f>
      </c>
    </row>
    <row r="8909">
      <c r="A8909" s="7">
        <f>HYPERLINK("http://www.lingerieopt.ru/item/7949-silikonovje-podushechki-dlya-bretelei-lifov-bra-strap-comfy-cushions/","7949")</f>
      </c>
      <c r="B8909" s="8" t="s">
        <v>968</v>
      </c>
      <c r="C8909" s="9">
        <v>427</v>
      </c>
      <c r="D8909" s="0">
        <v>30</v>
      </c>
      <c r="E8909" s="10">
        <f>HYPERLINK("http://www.lingerieopt.ru/images/original/6e4f8576-a901-4f3f-bf05-15c43f84f53e.jpg","Фото")</f>
      </c>
    </row>
    <row r="8910">
      <c r="A8910" s="7">
        <f>HYPERLINK("http://www.lingerieopt.ru/item/7953-prozrachnje-breteli-udliniteli-dlya-sozdaniya-lifa-s-nizkoi-spinoi-the-down-low-bra-strap-converter/","7953")</f>
      </c>
      <c r="B8910" s="8" t="s">
        <v>971</v>
      </c>
      <c r="C8910" s="9">
        <v>333</v>
      </c>
      <c r="D8910" s="0">
        <v>30</v>
      </c>
      <c r="E8910" s="10">
        <f>HYPERLINK("http://www.lingerieopt.ru/images/original/360e4db2-45af-45e5-9260-805235ec1880.jpg","Фото")</f>
      </c>
    </row>
    <row r="8911">
      <c r="A8911" s="7">
        <f>HYPERLINK("http://www.lingerieopt.ru/item/7953-prozrachnje-breteli-udliniteli-dlya-sozdaniya-lifa-s-nizkoi-spinoi-the-down-low-bra-strap-converter/","7953")</f>
      </c>
      <c r="B8911" s="8" t="s">
        <v>969</v>
      </c>
      <c r="C8911" s="9">
        <v>333</v>
      </c>
      <c r="D8911" s="0">
        <v>31</v>
      </c>
      <c r="E8911" s="10">
        <f>HYPERLINK("http://www.lingerieopt.ru/images/original/360e4db2-45af-45e5-9260-805235ec1880.jpg","Фото")</f>
      </c>
    </row>
    <row r="8912">
      <c r="A8912" s="7">
        <f>HYPERLINK("http://www.lingerieopt.ru/item/7953-prozrachnje-breteli-udliniteli-dlya-sozdaniya-lifa-s-nizkoi-spinoi-the-down-low-bra-strap-converter/","7953")</f>
      </c>
      <c r="B8912" s="8" t="s">
        <v>970</v>
      </c>
      <c r="C8912" s="9">
        <v>333</v>
      </c>
      <c r="D8912" s="0">
        <v>7</v>
      </c>
      <c r="E8912" s="10">
        <f>HYPERLINK("http://www.lingerieopt.ru/images/original/360e4db2-45af-45e5-9260-805235ec1880.jpg","Фото")</f>
      </c>
    </row>
    <row r="8913">
      <c r="A8913" s="7">
        <f>HYPERLINK("http://www.lingerieopt.ru/item/8278-silikonovje-podushechki-dlya-push-ap-effekta-push-up-pads/","8278")</f>
      </c>
      <c r="B8913" s="8" t="s">
        <v>972</v>
      </c>
      <c r="C8913" s="9">
        <v>898</v>
      </c>
      <c r="D8913" s="0">
        <v>5</v>
      </c>
      <c r="E8913" s="10">
        <f>HYPERLINK("http://www.lingerieopt.ru/images/original/5bdfaf81-7fba-4cbd-9ec6-8a959331ede9.jpg","Фото")</f>
      </c>
    </row>
    <row r="8914">
      <c r="A8914" s="7">
        <f>HYPERLINK("http://www.lingerieopt.ru/item/8278-silikonovje-podushechki-dlya-push-ap-effekta-push-up-pads/","8278")</f>
      </c>
      <c r="B8914" s="8" t="s">
        <v>973</v>
      </c>
      <c r="C8914" s="9">
        <v>898</v>
      </c>
      <c r="D8914" s="0">
        <v>0</v>
      </c>
      <c r="E8914" s="10">
        <f>HYPERLINK("http://www.lingerieopt.ru/images/original/5bdfaf81-7fba-4cbd-9ec6-8a959331ede9.jpg","Фото")</f>
      </c>
    </row>
    <row r="8915">
      <c r="A8915" s="7">
        <f>HYPERLINK("http://www.lingerieopt.ru/item/8423-meshochek-dlya-berezhnoi-stirki-nizhnego-belya-v-stiralnoi-mashine/","8423")</f>
      </c>
      <c r="B8915" s="8" t="s">
        <v>8499</v>
      </c>
      <c r="C8915" s="9">
        <v>156</v>
      </c>
      <c r="D8915" s="0">
        <v>8</v>
      </c>
      <c r="E8915" s="10">
        <f>HYPERLINK("http://www.lingerieopt.ru/images/original/5787a548-4e13-430d-a16b-1100ecbcf1a5.jpg","Фото")</f>
      </c>
    </row>
    <row r="8916">
      <c r="A8916" s="7">
        <f>HYPERLINK("http://www.lingerieopt.ru/item/8461-top-s-dlinnjmi-rukavami-i-pazhami-dlya-chulok/","8461")</f>
      </c>
      <c r="B8916" s="8" t="s">
        <v>8500</v>
      </c>
      <c r="C8916" s="9">
        <v>904</v>
      </c>
      <c r="D8916" s="0">
        <v>36</v>
      </c>
      <c r="E8916" s="10">
        <f>HYPERLINK("http://www.lingerieopt.ru/images/original/4982ffe6-d178-4c67-baf8-61e07df1dbb8.jpg","Фото")</f>
      </c>
    </row>
    <row r="8917">
      <c r="A8917" s="7">
        <f>HYPERLINK("http://www.lingerieopt.ru/item/8670-pikantnji-komplekt-veronna-udlinennji-top-i-trusiki/","8670")</f>
      </c>
      <c r="B8917" s="8" t="s">
        <v>8501</v>
      </c>
      <c r="C8917" s="9">
        <v>1675</v>
      </c>
      <c r="D8917" s="0">
        <v>6</v>
      </c>
      <c r="E8917" s="10">
        <f>HYPERLINK("http://www.lingerieopt.ru/images/original/09405e77-4017-464f-a2ff-6ebafaba169f.jpg","Фото")</f>
      </c>
    </row>
    <row r="8918">
      <c r="A8918" s="7">
        <f>HYPERLINK("http://www.lingerieopt.ru/item/8670-pikantnji-komplekt-veronna-udlinennji-top-i-trusiki/","8670")</f>
      </c>
      <c r="B8918" s="8" t="s">
        <v>8502</v>
      </c>
      <c r="C8918" s="9">
        <v>1675</v>
      </c>
      <c r="D8918" s="0">
        <v>0</v>
      </c>
      <c r="E8918" s="10">
        <f>HYPERLINK("http://www.lingerieopt.ru/images/original/09405e77-4017-464f-a2ff-6ebafaba169f.jpg","Фото")</f>
      </c>
    </row>
    <row r="8919">
      <c r="A8919" s="7">
        <f>HYPERLINK("http://www.lingerieopt.ru/item/8803-seraya-pizhamka-s-kruzhevom/","8803")</f>
      </c>
      <c r="B8919" s="8" t="s">
        <v>8503</v>
      </c>
      <c r="C8919" s="9">
        <v>1400</v>
      </c>
      <c r="D8919" s="0">
        <v>2</v>
      </c>
      <c r="E8919" s="10">
        <f>HYPERLINK("http://www.lingerieopt.ru/images/original/5cde7240-2c83-4155-9c94-3b618108da4a.jpg","Фото")</f>
      </c>
    </row>
    <row r="8920">
      <c r="A8920" s="7">
        <f>HYPERLINK("http://www.lingerieopt.ru/item/8803-seraya-pizhamka-s-kruzhevom/","8803")</f>
      </c>
      <c r="B8920" s="8" t="s">
        <v>8504</v>
      </c>
      <c r="C8920" s="9">
        <v>1400</v>
      </c>
      <c r="D8920" s="0">
        <v>1</v>
      </c>
      <c r="E8920" s="10">
        <f>HYPERLINK("http://www.lingerieopt.ru/images/original/5cde7240-2c83-4155-9c94-3b618108da4a.jpg","Фото")</f>
      </c>
    </row>
    <row r="8921">
      <c r="A8921" s="7">
        <f>HYPERLINK("http://www.lingerieopt.ru/item/8803-seraya-pizhamka-s-kruzhevom/","8803")</f>
      </c>
      <c r="B8921" s="8" t="s">
        <v>8505</v>
      </c>
      <c r="C8921" s="9">
        <v>1400</v>
      </c>
      <c r="D8921" s="0">
        <v>1</v>
      </c>
      <c r="E8921" s="10">
        <f>HYPERLINK("http://www.lingerieopt.ru/images/original/5cde7240-2c83-4155-9c94-3b618108da4a.jpg","Фото")</f>
      </c>
    </row>
    <row r="8922">
      <c r="A8922" s="7">
        <f>HYPERLINK("http://www.lingerieopt.ru/item/8832-belaya-maska-na-glaza-etheria-s-kruzhevami-po-krayu/","8832")</f>
      </c>
      <c r="B8922" s="8" t="s">
        <v>8386</v>
      </c>
      <c r="C8922" s="9">
        <v>572</v>
      </c>
      <c r="D8922" s="0">
        <v>6</v>
      </c>
      <c r="E8922" s="10">
        <f>HYPERLINK("http://www.lingerieopt.ru/images/original/f2372060-93c2-4d22-ad0f-fe325d34e08f.jpg","Фото")</f>
      </c>
    </row>
    <row r="8923">
      <c r="A8923" s="7">
        <f>HYPERLINK("http://www.lingerieopt.ru/item/9016-belji-prozrachnji-halat-s-kruzhevnoi-otorochkoi/","9016")</f>
      </c>
      <c r="B8923" s="8" t="s">
        <v>8506</v>
      </c>
      <c r="C8923" s="9">
        <v>2075</v>
      </c>
      <c r="D8923" s="0">
        <v>3</v>
      </c>
      <c r="E8923" s="10">
        <f>HYPERLINK("http://www.lingerieopt.ru/images/original/7e8412e8-d1c3-45ff-9a2d-0d9bbb64229e.jpg","Фото")</f>
      </c>
    </row>
    <row r="8924">
      <c r="A8924" s="7">
        <f>HYPERLINK("http://www.lingerieopt.ru/item/9016-belji-prozrachnji-halat-s-kruzhevnoi-otorochkoi/","9016")</f>
      </c>
      <c r="B8924" s="8" t="s">
        <v>8507</v>
      </c>
      <c r="C8924" s="9">
        <v>2075</v>
      </c>
      <c r="D8924" s="0">
        <v>8</v>
      </c>
      <c r="E8924" s="10">
        <f>HYPERLINK("http://www.lingerieopt.ru/images/original/7e8412e8-d1c3-45ff-9a2d-0d9bbb64229e.jpg","Фото")</f>
      </c>
    </row>
    <row r="8925">
      <c r="A8925" s="7">
        <f>HYPERLINK("http://www.lingerieopt.ru/item/9017-poluprozrachnji-halatik-s-kruzhevnoi-otorochkoi-i-poyasom/","9017")</f>
      </c>
      <c r="B8925" s="8" t="s">
        <v>8508</v>
      </c>
      <c r="C8925" s="9">
        <v>1894</v>
      </c>
      <c r="D8925" s="0">
        <v>2</v>
      </c>
      <c r="E8925" s="10">
        <f>HYPERLINK("http://www.lingerieopt.ru/images/original/4097e445-c77f-4e08-b70d-652895ff6524.jpg","Фото")</f>
      </c>
    </row>
    <row r="8926">
      <c r="A8926" s="7">
        <f>HYPERLINK("http://www.lingerieopt.ru/item/9017-poluprozrachnji-halatik-s-kruzhevnoi-otorochkoi-i-poyasom/","9017")</f>
      </c>
      <c r="B8926" s="8" t="s">
        <v>8509</v>
      </c>
      <c r="C8926" s="9">
        <v>1894</v>
      </c>
      <c r="D8926" s="0">
        <v>4</v>
      </c>
      <c r="E8926" s="10">
        <f>HYPERLINK("http://www.lingerieopt.ru/images/original/4097e445-c77f-4e08-b70d-652895ff6524.jpg","Фото")</f>
      </c>
    </row>
    <row r="8927">
      <c r="A8927" s="7">
        <f>HYPERLINK("http://www.lingerieopt.ru/item/9019-ocharovatelnji-halat-s-poyasom-i-kruzhevnoi-otorochkoi/","9019")</f>
      </c>
      <c r="B8927" s="8" t="s">
        <v>8510</v>
      </c>
      <c r="C8927" s="9">
        <v>2075</v>
      </c>
      <c r="D8927" s="0">
        <v>2</v>
      </c>
      <c r="E8927" s="10">
        <f>HYPERLINK("http://www.lingerieopt.ru/images/original/bff90dcb-e7b2-4848-82c0-8a6f50401903.jpg","Фото")</f>
      </c>
    </row>
    <row r="8928">
      <c r="A8928" s="7">
        <f>HYPERLINK("http://www.lingerieopt.ru/item/9019-ocharovatelnji-halat-s-poyasom-i-kruzhevnoi-otorochkoi/","9019")</f>
      </c>
      <c r="B8928" s="8" t="s">
        <v>8511</v>
      </c>
      <c r="C8928" s="9">
        <v>2075</v>
      </c>
      <c r="D8928" s="0">
        <v>0</v>
      </c>
      <c r="E8928" s="10">
        <f>HYPERLINK("http://www.lingerieopt.ru/images/original/bff90dcb-e7b2-4848-82c0-8a6f50401903.jpg","Фото")</f>
      </c>
    </row>
    <row r="8929">
      <c r="A8929" s="7">
        <f>HYPERLINK("http://www.lingerieopt.ru/item/9020-ocharovatelnji-halat-s-razrezami-i-poyasom/","9020")</f>
      </c>
      <c r="B8929" s="8" t="s">
        <v>8512</v>
      </c>
      <c r="C8929" s="9">
        <v>2947</v>
      </c>
      <c r="D8929" s="0">
        <v>0</v>
      </c>
      <c r="E8929" s="10">
        <f>HYPERLINK("http://www.lingerieopt.ru/images/original/79f1c026-8990-4e9f-bdf0-d15b73bd693b.jpg","Фото")</f>
      </c>
    </row>
    <row r="8930">
      <c r="A8930" s="7">
        <f>HYPERLINK("http://www.lingerieopt.ru/item/9020-ocharovatelnji-halat-s-razrezami-i-poyasom/","9020")</f>
      </c>
      <c r="B8930" s="8" t="s">
        <v>8513</v>
      </c>
      <c r="C8930" s="9">
        <v>2947</v>
      </c>
      <c r="D8930" s="0">
        <v>4</v>
      </c>
      <c r="E8930" s="10">
        <f>HYPERLINK("http://www.lingerieopt.ru/images/original/79f1c026-8990-4e9f-bdf0-d15b73bd693b.jpg","Фото")</f>
      </c>
    </row>
    <row r="8931">
      <c r="A8931" s="7">
        <f>HYPERLINK("http://www.lingerieopt.ru/item/9021-originalnji-prozrachnji-halatik-s-otkrjtjmi-plechami/","9021")</f>
      </c>
      <c r="B8931" s="8" t="s">
        <v>8514</v>
      </c>
      <c r="C8931" s="9">
        <v>1492</v>
      </c>
      <c r="D8931" s="0">
        <v>2</v>
      </c>
      <c r="E8931" s="10">
        <f>HYPERLINK("http://www.lingerieopt.ru/images/original/20afe2b3-1410-4f3f-9656-770145be1c97.jpg","Фото")</f>
      </c>
    </row>
    <row r="8932">
      <c r="A8932" s="7">
        <f>HYPERLINK("http://www.lingerieopt.ru/item/9021-originalnji-prozrachnji-halatik-s-otkrjtjmi-plechami/","9021")</f>
      </c>
      <c r="B8932" s="8" t="s">
        <v>8515</v>
      </c>
      <c r="C8932" s="9">
        <v>1492</v>
      </c>
      <c r="D8932" s="0">
        <v>5</v>
      </c>
      <c r="E8932" s="10">
        <f>HYPERLINK("http://www.lingerieopt.ru/images/original/20afe2b3-1410-4f3f-9656-770145be1c97.jpg","Фото")</f>
      </c>
    </row>
    <row r="8933">
      <c r="A8933" s="7">
        <f>HYPERLINK("http://www.lingerieopt.ru/item/9041-originalnji-halatik-iz-setki-s-kruzhevnoi-otdelkoi/","9041")</f>
      </c>
      <c r="B8933" s="8" t="s">
        <v>8516</v>
      </c>
      <c r="C8933" s="9">
        <v>1465</v>
      </c>
      <c r="D8933" s="0">
        <v>2</v>
      </c>
      <c r="E8933" s="10">
        <f>HYPERLINK("http://www.lingerieopt.ru/images/original/f783836d-5a00-4ad6-9cd5-306484cd68a9.jpg","Фото")</f>
      </c>
    </row>
    <row r="8934">
      <c r="A8934" s="7">
        <f>HYPERLINK("http://www.lingerieopt.ru/item/9041-originalnji-halatik-iz-setki-s-kruzhevnoi-otdelkoi/","9041")</f>
      </c>
      <c r="B8934" s="8" t="s">
        <v>8517</v>
      </c>
      <c r="C8934" s="9">
        <v>1465</v>
      </c>
      <c r="D8934" s="0">
        <v>2</v>
      </c>
      <c r="E8934" s="10">
        <f>HYPERLINK("http://www.lingerieopt.ru/images/original/f783836d-5a00-4ad6-9cd5-306484cd68a9.jpg","Фото")</f>
      </c>
    </row>
    <row r="8935">
      <c r="A8935" s="7">
        <f>HYPERLINK("http://www.lingerieopt.ru/item/9269-maska-s-ushkami-queen-of-hearts-allure/","9269")</f>
      </c>
      <c r="B8935" s="8" t="s">
        <v>8406</v>
      </c>
      <c r="C8935" s="9">
        <v>1523</v>
      </c>
      <c r="D8935" s="0">
        <v>0</v>
      </c>
      <c r="E8935" s="10">
        <f>HYPERLINK("http://www.lingerieopt.ru/images/original/91357736-6b1c-442b-8aae-98ac872f048d.jpg","Фото")</f>
      </c>
    </row>
    <row r="8936">
      <c r="A8936" s="7">
        <f>HYPERLINK("http://www.lingerieopt.ru/item/9269-maska-s-ushkami-queen-of-hearts-allure/","9269")</f>
      </c>
      <c r="B8936" s="8" t="s">
        <v>8405</v>
      </c>
      <c r="C8936" s="9">
        <v>1523</v>
      </c>
      <c r="D8936" s="0">
        <v>2</v>
      </c>
      <c r="E8936" s="10">
        <f>HYPERLINK("http://www.lingerieopt.ru/images/original/91357736-6b1c-442b-8aae-98ac872f048d.jpg","Фото")</f>
      </c>
    </row>
    <row r="8937">
      <c r="A8937" s="7">
        <f>HYPERLINK("http://www.lingerieopt.ru/item/9269-maska-s-ushkami-queen-of-hearts-allure/","9269")</f>
      </c>
      <c r="B8937" s="8" t="s">
        <v>8407</v>
      </c>
      <c r="C8937" s="9">
        <v>1523</v>
      </c>
      <c r="D8937" s="0">
        <v>0</v>
      </c>
      <c r="E8937" s="10">
        <f>HYPERLINK("http://www.lingerieopt.ru/images/original/91357736-6b1c-442b-8aae-98ac872f048d.jpg","Фото")</f>
      </c>
    </row>
    <row r="8938">
      <c r="A8938" s="7">
        <f>HYPERLINK("http://www.lingerieopt.ru/item/9270-bolshaya-kepka-iz-kozhi/","9270")</f>
      </c>
      <c r="B8938" s="8" t="s">
        <v>8518</v>
      </c>
      <c r="C8938" s="9">
        <v>744</v>
      </c>
      <c r="D8938" s="0">
        <v>11</v>
      </c>
      <c r="E8938" s="10">
        <f>HYPERLINK("http://www.lingerieopt.ru/images/original/44a8a3de-ed7b-4f0b-b8e0-8f984a05c133.jpg","Фото")</f>
      </c>
    </row>
    <row r="8939">
      <c r="A8939" s="7">
        <f>HYPERLINK("http://www.lingerieopt.ru/item/9275-originalnji-halatik-iz-setki-s-otkrjtjmi-plechami/","9275")</f>
      </c>
      <c r="B8939" s="8" t="s">
        <v>8519</v>
      </c>
      <c r="C8939" s="9">
        <v>1443</v>
      </c>
      <c r="D8939" s="0">
        <v>10</v>
      </c>
      <c r="E8939" s="10">
        <f>HYPERLINK("http://www.lingerieopt.ru/images/original/257c2b48-e064-4d0e-840b-d268fa74c470.jpg","Фото")</f>
      </c>
    </row>
    <row r="8940">
      <c r="A8940" s="7">
        <f>HYPERLINK("http://www.lingerieopt.ru/item/9275-originalnji-halatik-iz-setki-s-otkrjtjmi-plechami/","9275")</f>
      </c>
      <c r="B8940" s="8" t="s">
        <v>8520</v>
      </c>
      <c r="C8940" s="9">
        <v>1443</v>
      </c>
      <c r="D8940" s="0">
        <v>2</v>
      </c>
      <c r="E8940" s="10">
        <f>HYPERLINK("http://www.lingerieopt.ru/images/original/257c2b48-e064-4d0e-840b-d268fa74c470.jpg","Фото")</f>
      </c>
    </row>
    <row r="8941">
      <c r="A8941" s="7">
        <f>HYPERLINK("http://www.lingerieopt.ru/item/9535-nezhnji-komplekt-dlya-sna-marcia-plus-size-s-kruzhevnoi-otorochkoi/","9535")</f>
      </c>
      <c r="B8941" s="8" t="s">
        <v>2285</v>
      </c>
      <c r="C8941" s="9">
        <v>1313</v>
      </c>
      <c r="D8941" s="0">
        <v>3</v>
      </c>
      <c r="E8941" s="10">
        <f>HYPERLINK("http://www.lingerieopt.ru/images/original/abdbc058-1557-47ea-ac70-d07f232def65.jpg","Фото")</f>
      </c>
    </row>
    <row r="8942">
      <c r="A8942" s="7">
        <f>HYPERLINK("http://www.lingerieopt.ru/item/9535-nezhnji-komplekt-dlya-sna-marcia-plus-size-s-kruzhevnoi-otorochkoi/","9535")</f>
      </c>
      <c r="B8942" s="8" t="s">
        <v>2284</v>
      </c>
      <c r="C8942" s="9">
        <v>1313</v>
      </c>
      <c r="D8942" s="0">
        <v>4</v>
      </c>
      <c r="E8942" s="10">
        <f>HYPERLINK("http://www.lingerieopt.ru/images/original/abdbc058-1557-47ea-ac70-d07f232def65.jpg","Фото")</f>
      </c>
    </row>
    <row r="8943">
      <c r="A8943" s="7">
        <f>HYPERLINK("http://www.lingerieopt.ru/item/9536-nezhnji-komplekt-dlya-sna-marcia-s-kruzhevami-po-krayu/","9536")</f>
      </c>
      <c r="B8943" s="8" t="s">
        <v>8521</v>
      </c>
      <c r="C8943" s="9">
        <v>1313</v>
      </c>
      <c r="D8943" s="0">
        <v>5</v>
      </c>
      <c r="E8943" s="10">
        <f>HYPERLINK("http://www.lingerieopt.ru/images/original/8711e04e-ad71-481e-8d50-b7d57f82e8c9.jpg","Фото")</f>
      </c>
    </row>
    <row r="8944">
      <c r="A8944" s="7">
        <f>HYPERLINK("http://www.lingerieopt.ru/item/9536-nezhnji-komplekt-dlya-sna-marcia-s-kruzhevami-po-krayu/","9536")</f>
      </c>
      <c r="B8944" s="8" t="s">
        <v>8522</v>
      </c>
      <c r="C8944" s="9">
        <v>1313</v>
      </c>
      <c r="D8944" s="0">
        <v>3</v>
      </c>
      <c r="E8944" s="10">
        <f>HYPERLINK("http://www.lingerieopt.ru/images/original/8711e04e-ad71-481e-8d50-b7d57f82e8c9.jpg","Фото")</f>
      </c>
    </row>
    <row r="8945">
      <c r="A8945" s="7">
        <f>HYPERLINK("http://www.lingerieopt.ru/item/9536-nezhnji-komplekt-dlya-sna-marcia-s-kruzhevami-po-krayu/","9536")</f>
      </c>
      <c r="B8945" s="8" t="s">
        <v>8523</v>
      </c>
      <c r="C8945" s="9">
        <v>1313</v>
      </c>
      <c r="D8945" s="0">
        <v>8</v>
      </c>
      <c r="E8945" s="10">
        <f>HYPERLINK("http://www.lingerieopt.ru/images/original/8711e04e-ad71-481e-8d50-b7d57f82e8c9.jpg","Фото")</f>
      </c>
    </row>
    <row r="8946">
      <c r="A8946" s="7">
        <f>HYPERLINK("http://www.lingerieopt.ru/item/9536-nezhnji-komplekt-dlya-sna-marcia-s-kruzhevami-po-krayu/","9536")</f>
      </c>
      <c r="B8946" s="8" t="s">
        <v>8524</v>
      </c>
      <c r="C8946" s="9">
        <v>1313</v>
      </c>
      <c r="D8946" s="0">
        <v>4</v>
      </c>
      <c r="E8946" s="10">
        <f>HYPERLINK("http://www.lingerieopt.ru/images/original/8711e04e-ad71-481e-8d50-b7d57f82e8c9.jpg","Фото")</f>
      </c>
    </row>
    <row r="8947">
      <c r="A8947" s="7">
        <f>HYPERLINK("http://www.lingerieopt.ru/item/9537-nochnoi-komplekt-petra-plus-size-maechka-i-shortj/","9537")</f>
      </c>
      <c r="B8947" s="8" t="s">
        <v>8525</v>
      </c>
      <c r="C8947" s="9">
        <v>1578</v>
      </c>
      <c r="D8947" s="0">
        <v>2</v>
      </c>
      <c r="E8947" s="10">
        <f>HYPERLINK("http://www.lingerieopt.ru/images/original/f7d278ee-1f54-479c-83e8-8b88ca23cb14.jpg","Фото")</f>
      </c>
    </row>
    <row r="8948">
      <c r="A8948" s="7">
        <f>HYPERLINK("http://www.lingerieopt.ru/item/9537-nochnoi-komplekt-petra-plus-size-maechka-i-shortj/","9537")</f>
      </c>
      <c r="B8948" s="8" t="s">
        <v>8526</v>
      </c>
      <c r="C8948" s="9">
        <v>1578</v>
      </c>
      <c r="D8948" s="0">
        <v>3</v>
      </c>
      <c r="E8948" s="10">
        <f>HYPERLINK("http://www.lingerieopt.ru/images/original/f7d278ee-1f54-479c-83e8-8b88ca23cb14.jpg","Фото")</f>
      </c>
    </row>
    <row r="8949">
      <c r="A8949" s="7">
        <f>HYPERLINK("http://www.lingerieopt.ru/item/9538-yarkii-komplekt-belya-dlya-sna-petra/","9538")</f>
      </c>
      <c r="B8949" s="8" t="s">
        <v>2286</v>
      </c>
      <c r="C8949" s="9">
        <v>1578</v>
      </c>
      <c r="D8949" s="0">
        <v>5</v>
      </c>
      <c r="E8949" s="10">
        <f>HYPERLINK("http://www.lingerieopt.ru/images/original/ce315815-6b2a-4ab6-b788-82c115a7bb71.jpg","Фото")</f>
      </c>
    </row>
    <row r="8950">
      <c r="A8950" s="7">
        <f>HYPERLINK("http://www.lingerieopt.ru/item/9538-yarkii-komplekt-belya-dlya-sna-petra/","9538")</f>
      </c>
      <c r="B8950" s="8" t="s">
        <v>2288</v>
      </c>
      <c r="C8950" s="9">
        <v>1578</v>
      </c>
      <c r="D8950" s="0">
        <v>10</v>
      </c>
      <c r="E8950" s="10">
        <f>HYPERLINK("http://www.lingerieopt.ru/images/original/ce315815-6b2a-4ab6-b788-82c115a7bb71.jpg","Фото")</f>
      </c>
    </row>
    <row r="8951">
      <c r="A8951" s="7">
        <f>HYPERLINK("http://www.lingerieopt.ru/item/9538-yarkii-komplekt-belya-dlya-sna-petra/","9538")</f>
      </c>
      <c r="B8951" s="8" t="s">
        <v>2287</v>
      </c>
      <c r="C8951" s="9">
        <v>1578</v>
      </c>
      <c r="D8951" s="0">
        <v>12</v>
      </c>
      <c r="E8951" s="10">
        <f>HYPERLINK("http://www.lingerieopt.ru/images/original/ce315815-6b2a-4ab6-b788-82c115a7bb71.jpg","Фото")</f>
      </c>
    </row>
    <row r="8952">
      <c r="A8952" s="7">
        <f>HYPERLINK("http://www.lingerieopt.ru/item/9538-yarkii-komplekt-belya-dlya-sna-petra/","9538")</f>
      </c>
      <c r="B8952" s="8" t="s">
        <v>2289</v>
      </c>
      <c r="C8952" s="9">
        <v>1578</v>
      </c>
      <c r="D8952" s="0">
        <v>10</v>
      </c>
      <c r="E8952" s="10">
        <f>HYPERLINK("http://www.lingerieopt.ru/images/original/ce315815-6b2a-4ab6-b788-82c115a7bb71.jpg","Фото")</f>
      </c>
    </row>
    <row r="8953">
      <c r="A8953" s="7">
        <f>HYPERLINK("http://www.lingerieopt.ru/item/10103-igrivji-komplekt-mellissa-top-i-shortj-s-kruzhevom/","10103")</f>
      </c>
      <c r="B8953" s="8" t="s">
        <v>8527</v>
      </c>
      <c r="C8953" s="9">
        <v>2266</v>
      </c>
      <c r="D8953" s="0">
        <v>6</v>
      </c>
      <c r="E8953" s="10">
        <f>HYPERLINK("http://www.lingerieopt.ru/images/original/14c25ebb-5749-4eb8-84fc-289b46f8387e.jpg","Фото")</f>
      </c>
    </row>
    <row r="8954">
      <c r="A8954" s="7">
        <f>HYPERLINK("http://www.lingerieopt.ru/item/10103-igrivji-komplekt-mellissa-top-i-shortj-s-kruzhevom/","10103")</f>
      </c>
      <c r="B8954" s="8" t="s">
        <v>8528</v>
      </c>
      <c r="C8954" s="9">
        <v>2266</v>
      </c>
      <c r="D8954" s="0">
        <v>3</v>
      </c>
      <c r="E8954" s="10">
        <f>HYPERLINK("http://www.lingerieopt.ru/images/original/14c25ebb-5749-4eb8-84fc-289b46f8387e.jpg","Фото")</f>
      </c>
    </row>
    <row r="8955">
      <c r="A8955" s="7">
        <f>HYPERLINK("http://www.lingerieopt.ru/item/10103-igrivji-komplekt-mellissa-top-i-shortj-s-kruzhevom/","10103")</f>
      </c>
      <c r="B8955" s="8" t="s">
        <v>8529</v>
      </c>
      <c r="C8955" s="9">
        <v>2266</v>
      </c>
      <c r="D8955" s="0">
        <v>6</v>
      </c>
      <c r="E8955" s="10">
        <f>HYPERLINK("http://www.lingerieopt.ru/images/original/14c25ebb-5749-4eb8-84fc-289b46f8387e.jpg","Фото")</f>
      </c>
    </row>
    <row r="8956">
      <c r="A8956" s="7">
        <f>HYPERLINK("http://www.lingerieopt.ru/item/10103-igrivji-komplekt-mellissa-top-i-shortj-s-kruzhevom/","10103")</f>
      </c>
      <c r="B8956" s="8" t="s">
        <v>8530</v>
      </c>
      <c r="C8956" s="9">
        <v>2266</v>
      </c>
      <c r="D8956" s="0">
        <v>6</v>
      </c>
      <c r="E8956" s="10">
        <f>HYPERLINK("http://www.lingerieopt.ru/images/original/14c25ebb-5749-4eb8-84fc-289b46f8387e.jpg","Фото")</f>
      </c>
    </row>
    <row r="8957">
      <c r="A8957" s="7">
        <f>HYPERLINK("http://www.lingerieopt.ru/item/10103-igrivji-komplekt-mellissa-top-i-shortj-s-kruzhevom/","10103")</f>
      </c>
      <c r="B8957" s="8" t="s">
        <v>8531</v>
      </c>
      <c r="C8957" s="9">
        <v>2266</v>
      </c>
      <c r="D8957" s="0">
        <v>4</v>
      </c>
      <c r="E8957" s="10">
        <f>HYPERLINK("http://www.lingerieopt.ru/images/original/14c25ebb-5749-4eb8-84fc-289b46f8387e.jpg","Фото")</f>
      </c>
    </row>
    <row r="8958">
      <c r="A8958" s="7">
        <f>HYPERLINK("http://www.lingerieopt.ru/item/10103-igrivji-komplekt-mellissa-top-i-shortj-s-kruzhevom/","10103")</f>
      </c>
      <c r="B8958" s="8" t="s">
        <v>8532</v>
      </c>
      <c r="C8958" s="9">
        <v>2266</v>
      </c>
      <c r="D8958" s="0">
        <v>6</v>
      </c>
      <c r="E8958" s="10">
        <f>HYPERLINK("http://www.lingerieopt.ru/images/original/14c25ebb-5749-4eb8-84fc-289b46f8387e.jpg","Фото")</f>
      </c>
    </row>
    <row r="8959">
      <c r="A8959" s="7">
        <f>HYPERLINK("http://www.lingerieopt.ru/item/10106-nezhnji-komplekt-federica-bluzka-i-trusiki/","10106")</f>
      </c>
      <c r="B8959" s="8" t="s">
        <v>8533</v>
      </c>
      <c r="C8959" s="9">
        <v>2185</v>
      </c>
      <c r="D8959" s="0">
        <v>3</v>
      </c>
      <c r="E8959" s="10">
        <f>HYPERLINK("http://www.lingerieopt.ru/images/original/0ccdf670-a603-40f4-94f0-1214486d8f4c.jpg","Фото")</f>
      </c>
    </row>
    <row r="8960">
      <c r="A8960" s="7">
        <f>HYPERLINK("http://www.lingerieopt.ru/item/10106-nezhnji-komplekt-federica-bluzka-i-trusiki/","10106")</f>
      </c>
      <c r="B8960" s="8" t="s">
        <v>8534</v>
      </c>
      <c r="C8960" s="9">
        <v>2185</v>
      </c>
      <c r="D8960" s="0">
        <v>4</v>
      </c>
      <c r="E8960" s="10">
        <f>HYPERLINK("http://www.lingerieopt.ru/images/original/0ccdf670-a603-40f4-94f0-1214486d8f4c.jpg","Фото")</f>
      </c>
    </row>
    <row r="8961">
      <c r="A8961" s="7">
        <f>HYPERLINK("http://www.lingerieopt.ru/item/10161-igrivji-komplekt-raquel-top-i-shortj/","10161")</f>
      </c>
      <c r="B8961" s="8" t="s">
        <v>8535</v>
      </c>
      <c r="C8961" s="9">
        <v>1760</v>
      </c>
      <c r="D8961" s="0">
        <v>4</v>
      </c>
      <c r="E8961" s="10">
        <f>HYPERLINK("http://www.lingerieopt.ru/images/original/c0840d30-5c6a-4733-ac60-7766211bfc01.jpg","Фото")</f>
      </c>
    </row>
    <row r="8962">
      <c r="A8962" s="7">
        <f>HYPERLINK("http://www.lingerieopt.ru/item/10161-igrivji-komplekt-raquel-top-i-shortj/","10161")</f>
      </c>
      <c r="B8962" s="8" t="s">
        <v>8536</v>
      </c>
      <c r="C8962" s="9">
        <v>1760</v>
      </c>
      <c r="D8962" s="0">
        <v>3</v>
      </c>
      <c r="E8962" s="10">
        <f>HYPERLINK("http://www.lingerieopt.ru/images/original/c0840d30-5c6a-4733-ac60-7766211bfc01.jpg","Фото")</f>
      </c>
    </row>
    <row r="8963">
      <c r="A8963" s="7">
        <f>HYPERLINK("http://www.lingerieopt.ru/item/10161-igrivji-komplekt-raquel-top-i-shortj/","10161")</f>
      </c>
      <c r="B8963" s="8" t="s">
        <v>8537</v>
      </c>
      <c r="C8963" s="9">
        <v>1760</v>
      </c>
      <c r="D8963" s="0">
        <v>3</v>
      </c>
      <c r="E8963" s="10">
        <f>HYPERLINK("http://www.lingerieopt.ru/images/original/c0840d30-5c6a-4733-ac60-7766211bfc01.jpg","Фото")</f>
      </c>
    </row>
    <row r="8964">
      <c r="A8964" s="7">
        <f>HYPERLINK("http://www.lingerieopt.ru/item/10161-igrivji-komplekt-raquel-top-i-shortj/","10161")</f>
      </c>
      <c r="B8964" s="8" t="s">
        <v>8538</v>
      </c>
      <c r="C8964" s="9">
        <v>1760</v>
      </c>
      <c r="D8964" s="0">
        <v>2</v>
      </c>
      <c r="E8964" s="10">
        <f>HYPERLINK("http://www.lingerieopt.ru/images/original/c0840d30-5c6a-4733-ac60-7766211bfc01.jpg","Фото")</f>
      </c>
    </row>
    <row r="8965">
      <c r="A8965" s="7">
        <f>HYPERLINK("http://www.lingerieopt.ru/item/10214-manzhetj-s-bahromoi-queen-of-hearts-arabesque/","10214")</f>
      </c>
      <c r="B8965" s="8" t="s">
        <v>3777</v>
      </c>
      <c r="C8965" s="9">
        <v>1193</v>
      </c>
      <c r="D8965" s="0">
        <v>3</v>
      </c>
      <c r="E8965" s="10">
        <f>HYPERLINK("http://www.lingerieopt.ru/images/original/95ec2328-fdcf-4abe-a296-ed3e84897407.jpg","Фото")</f>
      </c>
    </row>
    <row r="8966">
      <c r="A8966" s="7">
        <f>HYPERLINK("http://www.lingerieopt.ru/item/10214-manzhetj-s-bahromoi-queen-of-hearts-arabesque/","10214")</f>
      </c>
      <c r="B8966" s="8" t="s">
        <v>3778</v>
      </c>
      <c r="C8966" s="9">
        <v>1193</v>
      </c>
      <c r="D8966" s="0">
        <v>3</v>
      </c>
      <c r="E8966" s="10">
        <f>HYPERLINK("http://www.lingerieopt.ru/images/original/95ec2328-fdcf-4abe-a296-ed3e84897407.jpg","Фото")</f>
      </c>
    </row>
    <row r="8967">
      <c r="A8967" s="7">
        <f>HYPERLINK("http://www.lingerieopt.ru/item/10214-manzhetj-s-bahromoi-queen-of-hearts-arabesque/","10214")</f>
      </c>
      <c r="B8967" s="8" t="s">
        <v>3779</v>
      </c>
      <c r="C8967" s="9">
        <v>1193</v>
      </c>
      <c r="D8967" s="0">
        <v>0</v>
      </c>
      <c r="E8967" s="10">
        <f>HYPERLINK("http://www.lingerieopt.ru/images/original/95ec2328-fdcf-4abe-a296-ed3e84897407.jpg","Фото")</f>
      </c>
    </row>
    <row r="8968">
      <c r="A8968" s="7">
        <f>HYPERLINK("http://www.lingerieopt.ru/item/10267-komplekt-erna-s-otkrjtoi-grudyu/","10267")</f>
      </c>
      <c r="B8968" s="8" t="s">
        <v>3668</v>
      </c>
      <c r="C8968" s="9">
        <v>3659</v>
      </c>
      <c r="D8968" s="0">
        <v>3</v>
      </c>
      <c r="E8968" s="10">
        <f>HYPERLINK("http://www.lingerieopt.ru/images/original/afe9aab3-ef6d-443e-9dd8-76eb28841b5e.jpg","Фото")</f>
      </c>
    </row>
    <row r="8969">
      <c r="A8969" s="7">
        <f>HYPERLINK("http://www.lingerieopt.ru/item/10267-komplekt-erna-s-otkrjtoi-grudyu/","10267")</f>
      </c>
      <c r="B8969" s="8" t="s">
        <v>3669</v>
      </c>
      <c r="C8969" s="9">
        <v>3659</v>
      </c>
      <c r="D8969" s="0">
        <v>3</v>
      </c>
      <c r="E8969" s="10">
        <f>HYPERLINK("http://www.lingerieopt.ru/images/original/afe9aab3-ef6d-443e-9dd8-76eb28841b5e.jpg","Фото")</f>
      </c>
    </row>
    <row r="8970">
      <c r="A8970" s="7">
        <f>HYPERLINK("http://www.lingerieopt.ru/item/10270-plate-kerstin-s-otkrjtoi-grudyu-i-vjrezom-v-forme-serdca-szadi/","10270")</f>
      </c>
      <c r="B8970" s="8" t="s">
        <v>3671</v>
      </c>
      <c r="C8970" s="9">
        <v>3873</v>
      </c>
      <c r="D8970" s="0">
        <v>2</v>
      </c>
      <c r="E8970" s="10">
        <f>HYPERLINK("http://www.lingerieopt.ru/images/original/f49a0fef-e6e2-4773-b98b-d68f4f9471c8.jpg","Фото")</f>
      </c>
    </row>
    <row r="8971">
      <c r="A8971" s="7">
        <f>HYPERLINK("http://www.lingerieopt.ru/item/10270-plate-kerstin-s-otkrjtoi-grudyu-i-vjrezom-v-forme-serdca-szadi/","10270")</f>
      </c>
      <c r="B8971" s="8" t="s">
        <v>3670</v>
      </c>
      <c r="C8971" s="9">
        <v>3873</v>
      </c>
      <c r="D8971" s="0">
        <v>4</v>
      </c>
      <c r="E8971" s="10">
        <f>HYPERLINK("http://www.lingerieopt.ru/images/original/f49a0fef-e6e2-4773-b98b-d68f4f9471c8.jpg","Фото")</f>
      </c>
    </row>
    <row r="8972">
      <c r="A8972" s="7">
        <f>HYPERLINK("http://www.lingerieopt.ru/item/10271-plate-laureen-s-otkrjtoi-grudyu-i-vjrezom-v-forme-serdca-szadi/","10271")</f>
      </c>
      <c r="B8972" s="8" t="s">
        <v>3672</v>
      </c>
      <c r="C8972" s="9">
        <v>3659</v>
      </c>
      <c r="D8972" s="0">
        <v>5</v>
      </c>
      <c r="E8972" s="10">
        <f>HYPERLINK("http://www.lingerieopt.ru/images/original/1ff8fec4-0b3c-4ffe-b43c-d15d9e0421e6.jpg","Фото")</f>
      </c>
    </row>
    <row r="8973">
      <c r="A8973" s="7">
        <f>HYPERLINK("http://www.lingerieopt.ru/item/10271-plate-laureen-s-otkrjtoi-grudyu-i-vjrezom-v-forme-serdca-szadi/","10271")</f>
      </c>
      <c r="B8973" s="8" t="s">
        <v>3673</v>
      </c>
      <c r="C8973" s="9">
        <v>3659</v>
      </c>
      <c r="D8973" s="0">
        <v>5</v>
      </c>
      <c r="E8973" s="10">
        <f>HYPERLINK("http://www.lingerieopt.ru/images/original/1ff8fec4-0b3c-4ffe-b43c-d15d9e0421e6.jpg","Фото")</f>
      </c>
    </row>
    <row r="8974">
      <c r="A8974" s="7">
        <f>HYPERLINK("http://www.lingerieopt.ru/item/10473-nabor-pikantnjh-aksessuarov-velma/","10473")</f>
      </c>
      <c r="B8974" s="8" t="s">
        <v>8539</v>
      </c>
      <c r="C8974" s="9">
        <v>1164</v>
      </c>
      <c r="D8974" s="0">
        <v>6</v>
      </c>
      <c r="E8974" s="10">
        <f>HYPERLINK("http://www.lingerieopt.ru/images/original/465f2cc4-55a7-4dde-9798-88668acb02db.jpg","Фото")</f>
      </c>
    </row>
    <row r="8975">
      <c r="A8975" s="7">
        <f>HYPERLINK("http://www.lingerieopt.ru/item/10473-nabor-pikantnjh-aksessuarov-velma/","10473")</f>
      </c>
      <c r="B8975" s="8" t="s">
        <v>8540</v>
      </c>
      <c r="C8975" s="9">
        <v>1164</v>
      </c>
      <c r="D8975" s="0">
        <v>5</v>
      </c>
      <c r="E8975" s="10">
        <f>HYPERLINK("http://www.lingerieopt.ru/images/original/465f2cc4-55a7-4dde-9798-88668acb02db.jpg","Фото")</f>
      </c>
    </row>
    <row r="8976">
      <c r="A8976" s="7">
        <f>HYPERLINK("http://www.lingerieopt.ru/item/10474-nabor-pikantnjh-aksessuarov-velma-plus-size/","10474")</f>
      </c>
      <c r="B8976" s="8" t="s">
        <v>4177</v>
      </c>
      <c r="C8976" s="9">
        <v>1164</v>
      </c>
      <c r="D8976" s="0">
        <v>1</v>
      </c>
      <c r="E8976" s="10">
        <f>HYPERLINK("http://www.lingerieopt.ru/images/original/b24ff55d-1d13-4ec4-9b0e-a2b85f47d33a.jpg","Фото")</f>
      </c>
    </row>
    <row r="8977">
      <c r="A8977" s="7">
        <f>HYPERLINK("http://www.lingerieopt.ru/item/10497-soblaznitelnji-komplekt-dlya-sna-shannon/","10497")</f>
      </c>
      <c r="B8977" s="8" t="s">
        <v>8541</v>
      </c>
      <c r="C8977" s="9">
        <v>2036</v>
      </c>
      <c r="D8977" s="0">
        <v>5</v>
      </c>
      <c r="E8977" s="10">
        <f>HYPERLINK("http://www.lingerieopt.ru/images/original/ad4c1603-5a3c-46e3-95cb-ab35ebf09f83.jpg","Фото")</f>
      </c>
    </row>
    <row r="8978">
      <c r="A8978" s="7">
        <f>HYPERLINK("http://www.lingerieopt.ru/item/10497-soblaznitelnji-komplekt-dlya-sna-shannon/","10497")</f>
      </c>
      <c r="B8978" s="8" t="s">
        <v>8542</v>
      </c>
      <c r="C8978" s="9">
        <v>2036</v>
      </c>
      <c r="D8978" s="0">
        <v>10</v>
      </c>
      <c r="E8978" s="10">
        <f>HYPERLINK("http://www.lingerieopt.ru/images/original/ad4c1603-5a3c-46e3-95cb-ab35ebf09f83.jpg","Фото")</f>
      </c>
    </row>
    <row r="8979">
      <c r="A8979" s="7">
        <f>HYPERLINK("http://www.lingerieopt.ru/item/10498-soblaznitelnji-komplekt-dlya-sna-sheryl/","10498")</f>
      </c>
      <c r="B8979" s="8" t="s">
        <v>8543</v>
      </c>
      <c r="C8979" s="9">
        <v>2036</v>
      </c>
      <c r="D8979" s="0">
        <v>3</v>
      </c>
      <c r="E8979" s="10">
        <f>HYPERLINK("http://www.lingerieopt.ru/images/original/ae58b478-8db4-4be1-b9b6-89feac9e7596.jpg","Фото")</f>
      </c>
    </row>
    <row r="8980">
      <c r="A8980" s="7">
        <f>HYPERLINK("http://www.lingerieopt.ru/item/10498-soblaznitelnji-komplekt-dlya-sna-sheryl/","10498")</f>
      </c>
      <c r="B8980" s="8" t="s">
        <v>8544</v>
      </c>
      <c r="C8980" s="9">
        <v>2036</v>
      </c>
      <c r="D8980" s="0">
        <v>3</v>
      </c>
      <c r="E8980" s="10">
        <f>HYPERLINK("http://www.lingerieopt.ru/images/original/ae58b478-8db4-4be1-b9b6-89feac9e7596.jpg","Фото")</f>
      </c>
    </row>
    <row r="8981">
      <c r="A8981" s="7">
        <f>HYPERLINK("http://www.lingerieopt.ru/item/10504-komplekt-dlya-sna-s-kruzhevom-marceline/","10504")</f>
      </c>
      <c r="B8981" s="8" t="s">
        <v>8545</v>
      </c>
      <c r="C8981" s="9">
        <v>1603</v>
      </c>
      <c r="D8981" s="0">
        <v>5</v>
      </c>
      <c r="E8981" s="10">
        <f>HYPERLINK("http://www.lingerieopt.ru/images/original/de47c96b-b143-4d45-a9b4-be3d2c9376b5.jpg","Фото")</f>
      </c>
    </row>
    <row r="8982">
      <c r="A8982" s="7">
        <f>HYPERLINK("http://www.lingerieopt.ru/item/10504-komplekt-dlya-sna-s-kruzhevom-marceline/","10504")</f>
      </c>
      <c r="B8982" s="8" t="s">
        <v>8546</v>
      </c>
      <c r="C8982" s="9">
        <v>1603</v>
      </c>
      <c r="D8982" s="0">
        <v>8</v>
      </c>
      <c r="E8982" s="10">
        <f>HYPERLINK("http://www.lingerieopt.ru/images/original/de47c96b-b143-4d45-a9b4-be3d2c9376b5.jpg","Фото")</f>
      </c>
    </row>
    <row r="8983">
      <c r="A8983" s="7">
        <f>HYPERLINK("http://www.lingerieopt.ru/item/10505-nezhnji-komplekt-dlya-sna-miracle/","10505")</f>
      </c>
      <c r="B8983" s="8" t="s">
        <v>8547</v>
      </c>
      <c r="C8983" s="9">
        <v>2012</v>
      </c>
      <c r="D8983" s="0">
        <v>3</v>
      </c>
      <c r="E8983" s="10">
        <f>HYPERLINK("http://www.lingerieopt.ru/images/original/ef2b8f93-ad0f-4900-9b0c-28566866ed3e.jpg","Фото")</f>
      </c>
    </row>
    <row r="8984">
      <c r="A8984" s="7">
        <f>HYPERLINK("http://www.lingerieopt.ru/item/10505-nezhnji-komplekt-dlya-sna-miracle/","10505")</f>
      </c>
      <c r="B8984" s="8" t="s">
        <v>8548</v>
      </c>
      <c r="C8984" s="9">
        <v>2012</v>
      </c>
      <c r="D8984" s="0">
        <v>1</v>
      </c>
      <c r="E8984" s="10">
        <f>HYPERLINK("http://www.lingerieopt.ru/images/original/ef2b8f93-ad0f-4900-9b0c-28566866ed3e.jpg","Фото")</f>
      </c>
    </row>
    <row r="8985">
      <c r="A8985" s="7">
        <f>HYPERLINK("http://www.lingerieopt.ru/item/10506-korotenkaya-pizhamka-nessie/","10506")</f>
      </c>
      <c r="B8985" s="8" t="s">
        <v>8549</v>
      </c>
      <c r="C8985" s="9">
        <v>1732</v>
      </c>
      <c r="D8985" s="0">
        <v>2</v>
      </c>
      <c r="E8985" s="10">
        <f>HYPERLINK("http://www.lingerieopt.ru/images/original/bac4f8f2-2dde-4cb6-9382-3d8dee517a6f.jpg","Фото")</f>
      </c>
    </row>
    <row r="8986">
      <c r="A8986" s="7">
        <f>HYPERLINK("http://www.lingerieopt.ru/item/10506-korotenkaya-pizhamka-nessie/","10506")</f>
      </c>
      <c r="B8986" s="8" t="s">
        <v>8550</v>
      </c>
      <c r="C8986" s="9">
        <v>1732</v>
      </c>
      <c r="D8986" s="0">
        <v>0</v>
      </c>
      <c r="E8986" s="10">
        <f>HYPERLINK("http://www.lingerieopt.ru/images/original/bac4f8f2-2dde-4cb6-9382-3d8dee517a6f.jpg","Фото")</f>
      </c>
    </row>
    <row r="8987">
      <c r="A8987" s="7">
        <f>HYPERLINK("http://www.lingerieopt.ru/item/10573-nezhnji-i-priyatnji-k-telu-komplekt-belya-marcy/","10573")</f>
      </c>
      <c r="B8987" s="8" t="s">
        <v>8551</v>
      </c>
      <c r="C8987" s="9">
        <v>1603</v>
      </c>
      <c r="D8987" s="0">
        <v>10</v>
      </c>
      <c r="E8987" s="10">
        <f>HYPERLINK("http://www.lingerieopt.ru/images/original/0691287b-1357-4872-a30f-98314cfaa677.jpg","Фото")</f>
      </c>
    </row>
    <row r="8988">
      <c r="A8988" s="7">
        <f>HYPERLINK("http://www.lingerieopt.ru/item/10573-nezhnji-i-priyatnji-k-telu-komplekt-belya-marcy/","10573")</f>
      </c>
      <c r="B8988" s="8" t="s">
        <v>8552</v>
      </c>
      <c r="C8988" s="9">
        <v>1603</v>
      </c>
      <c r="D8988" s="0">
        <v>6</v>
      </c>
      <c r="E8988" s="10">
        <f>HYPERLINK("http://www.lingerieopt.ru/images/original/0691287b-1357-4872-a30f-98314cfaa677.jpg","Фото")</f>
      </c>
    </row>
    <row r="8989">
      <c r="A8989" s="7">
        <f>HYPERLINK("http://www.lingerieopt.ru/item/10573-nezhnji-i-priyatnji-k-telu-komplekt-belya-marcy/","10573")</f>
      </c>
      <c r="B8989" s="8" t="s">
        <v>8553</v>
      </c>
      <c r="C8989" s="9">
        <v>1603</v>
      </c>
      <c r="D8989" s="0">
        <v>0</v>
      </c>
      <c r="E8989" s="10">
        <f>HYPERLINK("http://www.lingerieopt.ru/images/original/0691287b-1357-4872-a30f-98314cfaa677.jpg","Фото")</f>
      </c>
    </row>
    <row r="8990">
      <c r="A8990" s="7">
        <f>HYPERLINK("http://www.lingerieopt.ru/item/10573-nezhnji-i-priyatnji-k-telu-komplekt-belya-marcy/","10573")</f>
      </c>
      <c r="B8990" s="8" t="s">
        <v>8554</v>
      </c>
      <c r="C8990" s="9">
        <v>1603</v>
      </c>
      <c r="D8990" s="0">
        <v>4</v>
      </c>
      <c r="E8990" s="10">
        <f>HYPERLINK("http://www.lingerieopt.ru/images/original/0691287b-1357-4872-a30f-98314cfaa677.jpg","Фото")</f>
      </c>
    </row>
    <row r="8991">
      <c r="A8991" s="7">
        <f>HYPERLINK("http://www.lingerieopt.ru/item/10718-satinovje-podvyazki-na-nogi-dlya-zaschitj-ot-natiraniya/","10718")</f>
      </c>
      <c r="B8991" s="8" t="s">
        <v>8555</v>
      </c>
      <c r="C8991" s="9">
        <v>419</v>
      </c>
      <c r="D8991" s="0">
        <v>77</v>
      </c>
      <c r="E8991" s="10">
        <f>HYPERLINK("http://www.lingerieopt.ru/images/original/14c87d26-584a-4044-8208-dfba10db29fc.jpg","Фото")</f>
      </c>
    </row>
    <row r="8992">
      <c r="A8992" s="7">
        <f>HYPERLINK("http://www.lingerieopt.ru/item/10718-satinovje-podvyazki-na-nogi-dlya-zaschitj-ot-natiraniya/","10718")</f>
      </c>
      <c r="B8992" s="8" t="s">
        <v>8556</v>
      </c>
      <c r="C8992" s="9">
        <v>419</v>
      </c>
      <c r="D8992" s="0">
        <v>48</v>
      </c>
      <c r="E8992" s="10">
        <f>HYPERLINK("http://www.lingerieopt.ru/images/original/14c87d26-584a-4044-8208-dfba10db29fc.jpg","Фото")</f>
      </c>
    </row>
    <row r="8993">
      <c r="A8993" s="7">
        <f>HYPERLINK("http://www.lingerieopt.ru/item/10718-satinovje-podvyazki-na-nogi-dlya-zaschitj-ot-natiraniya/","10718")</f>
      </c>
      <c r="B8993" s="8" t="s">
        <v>8557</v>
      </c>
      <c r="C8993" s="9">
        <v>419</v>
      </c>
      <c r="D8993" s="0">
        <v>69</v>
      </c>
      <c r="E8993" s="10">
        <f>HYPERLINK("http://www.lingerieopt.ru/images/original/14c87d26-584a-4044-8208-dfba10db29fc.jpg","Фото")</f>
      </c>
    </row>
    <row r="8994">
      <c r="A8994" s="7">
        <f>HYPERLINK("http://www.lingerieopt.ru/item/10718-satinovje-podvyazki-na-nogi-dlya-zaschitj-ot-natiraniya/","10718")</f>
      </c>
      <c r="B8994" s="8" t="s">
        <v>8558</v>
      </c>
      <c r="C8994" s="9">
        <v>419</v>
      </c>
      <c r="D8994" s="0">
        <v>45</v>
      </c>
      <c r="E8994" s="10">
        <f>HYPERLINK("http://www.lingerieopt.ru/images/original/14c87d26-584a-4044-8208-dfba10db29fc.jpg","Фото")</f>
      </c>
    </row>
    <row r="8995">
      <c r="A8995" s="7">
        <f>HYPERLINK("http://www.lingerieopt.ru/item/10776-nochnoi-komplekt-desiree-top-i-shortiki/","10776")</f>
      </c>
      <c r="B8995" s="8" t="s">
        <v>8559</v>
      </c>
      <c r="C8995" s="9">
        <v>1760</v>
      </c>
      <c r="D8995" s="0">
        <v>3</v>
      </c>
      <c r="E8995" s="10">
        <f>HYPERLINK("http://www.lingerieopt.ru/images/original/fbeaac7a-5270-4e50-acdd-5c40a1b3f891.jpg","Фото")</f>
      </c>
    </row>
    <row r="8996">
      <c r="A8996" s="7">
        <f>HYPERLINK("http://www.lingerieopt.ru/item/10776-nochnoi-komplekt-desiree-top-i-shortiki/","10776")</f>
      </c>
      <c r="B8996" s="8" t="s">
        <v>8560</v>
      </c>
      <c r="C8996" s="9">
        <v>1760</v>
      </c>
      <c r="D8996" s="0">
        <v>0</v>
      </c>
      <c r="E8996" s="10">
        <f>HYPERLINK("http://www.lingerieopt.ru/images/original/fbeaac7a-5270-4e50-acdd-5c40a1b3f891.jpg","Фото")</f>
      </c>
    </row>
    <row r="8997">
      <c r="A8997" s="7">
        <f>HYPERLINK("http://www.lingerieopt.ru/item/10956-maska-setka-na-glaza-erika/","10956")</f>
      </c>
      <c r="B8997" s="8" t="s">
        <v>8561</v>
      </c>
      <c r="C8997" s="9">
        <v>605</v>
      </c>
      <c r="D8997" s="0">
        <v>24</v>
      </c>
      <c r="E8997" s="10">
        <f>HYPERLINK("http://www.lingerieopt.ru/images/original/cb5ff812-f4b2-40db-9d80-760628b1658e.jpg","Фото")</f>
      </c>
    </row>
    <row r="8998">
      <c r="A8998" s="7">
        <f>HYPERLINK("http://www.lingerieopt.ru/item/10965-podtyazhki-dlya-belya-i-chulok-suspender-belt-for-underwear-and-stockings/","10965")</f>
      </c>
      <c r="B8998" s="8" t="s">
        <v>3701</v>
      </c>
      <c r="C8998" s="9">
        <v>2225</v>
      </c>
      <c r="D8998" s="0">
        <v>2</v>
      </c>
      <c r="E8998" s="10">
        <f>HYPERLINK("http://www.lingerieopt.ru/images/original/a05eb972-40ca-4553-a595-df83c4d0aa78.jpg","Фото")</f>
      </c>
    </row>
    <row r="8999">
      <c r="A8999" s="7">
        <f>HYPERLINK("http://www.lingerieopt.ru/item/11162-komplekt-dlya-sna-marceline-plus-size-s-kruzhevom/","11162")</f>
      </c>
      <c r="B8999" s="8" t="s">
        <v>8562</v>
      </c>
      <c r="C8999" s="9">
        <v>1603</v>
      </c>
      <c r="D8999" s="0">
        <v>4</v>
      </c>
      <c r="E8999" s="10">
        <f>HYPERLINK("http://www.lingerieopt.ru/images/original/ed3a7d2c-3c2a-481b-8a90-65ca0f70aee2.jpg","Фото")</f>
      </c>
    </row>
    <row r="9000">
      <c r="A9000" s="7">
        <f>HYPERLINK("http://www.lingerieopt.ru/item/11364-kruzhevnje-podvyazki-na-bedro-dlya-zaschitj-ot-natiranii/","11364")</f>
      </c>
      <c r="B9000" s="8" t="s">
        <v>8563</v>
      </c>
      <c r="C9000" s="9">
        <v>419</v>
      </c>
      <c r="D9000" s="0">
        <v>99</v>
      </c>
      <c r="E9000" s="10">
        <f>HYPERLINK("http://www.lingerieopt.ru/images/original/3335e80c-45bc-4276-afaf-3dda92899cd0.jpg","Фото")</f>
      </c>
    </row>
    <row r="9001">
      <c r="A9001" s="7">
        <f>HYPERLINK("http://www.lingerieopt.ru/item/11364-kruzhevnje-podvyazki-na-bedro-dlya-zaschitj-ot-natiranii/","11364")</f>
      </c>
      <c r="B9001" s="8" t="s">
        <v>8564</v>
      </c>
      <c r="C9001" s="9">
        <v>419</v>
      </c>
      <c r="D9001" s="0">
        <v>88</v>
      </c>
      <c r="E9001" s="10">
        <f>HYPERLINK("http://www.lingerieopt.ru/images/original/3335e80c-45bc-4276-afaf-3dda92899cd0.jpg","Фото")</f>
      </c>
    </row>
    <row r="9002">
      <c r="A9002" s="7">
        <f>HYPERLINK("http://www.lingerieopt.ru/item/11365-satinovje-podvyazki-na-bedra-dlya-zaschitj-ot-natiraniya/","11365")</f>
      </c>
      <c r="B9002" s="8" t="s">
        <v>8565</v>
      </c>
      <c r="C9002" s="9">
        <v>419</v>
      </c>
      <c r="D9002" s="0">
        <v>92</v>
      </c>
      <c r="E9002" s="10">
        <f>HYPERLINK("http://www.lingerieopt.ru/images/original/d2ec9b1f-4add-4192-b6b6-4d74e98ac4fd.jpg","Фото")</f>
      </c>
    </row>
    <row r="9003">
      <c r="A9003" s="7">
        <f>HYPERLINK("http://www.lingerieopt.ru/item/11365-satinovje-podvyazki-na-bedra-dlya-zaschitj-ot-natiraniya/","11365")</f>
      </c>
      <c r="B9003" s="8" t="s">
        <v>8566</v>
      </c>
      <c r="C9003" s="9">
        <v>419</v>
      </c>
      <c r="D9003" s="0">
        <v>99</v>
      </c>
      <c r="E9003" s="10">
        <f>HYPERLINK("http://www.lingerieopt.ru/images/original/d2ec9b1f-4add-4192-b6b6-4d74e98ac4fd.jpg","Фото")</f>
      </c>
    </row>
    <row r="9004">
      <c r="A9004" s="3"/>
      <c r="B9004" s="4" t="s">
        <v>8567</v>
      </c>
      <c r="C9004" s="3"/>
      <c r="D9004" s="3"/>
      <c r="E9004" s="3"/>
    </row>
    <row r="9005">
      <c r="A9005" s="5"/>
      <c r="B9005" s="6" t="s">
        <v>8568</v>
      </c>
      <c r="C9005" s="5"/>
      <c r="D9005" s="5"/>
      <c r="E9005" s="5"/>
    </row>
    <row r="9006">
      <c r="A9006" s="7">
        <f>HYPERLINK("http://www.lingerieopt.ru/item/4400-muzhskaya-borcovka-s-v-obraznjm-vjrezom/","4400")</f>
      </c>
      <c r="B9006" s="8" t="s">
        <v>8569</v>
      </c>
      <c r="C9006" s="9">
        <v>647</v>
      </c>
      <c r="D9006" s="0">
        <v>0</v>
      </c>
      <c r="E9006" s="10">
        <f>HYPERLINK("http://www.lingerieopt.ru/images/original/32b990e2-c29c-4f53-9e50-6b615edd1a5f.jpg","Фото")</f>
      </c>
    </row>
    <row r="9007">
      <c r="A9007" s="7">
        <f>HYPERLINK("http://www.lingerieopt.ru/item/4400-muzhskaya-borcovka-s-v-obraznjm-vjrezom/","4400")</f>
      </c>
      <c r="B9007" s="8" t="s">
        <v>8570</v>
      </c>
      <c r="C9007" s="9">
        <v>647</v>
      </c>
      <c r="D9007" s="0">
        <v>30</v>
      </c>
      <c r="E9007" s="10">
        <f>HYPERLINK("http://www.lingerieopt.ru/images/original/32b990e2-c29c-4f53-9e50-6b615edd1a5f.jpg","Фото")</f>
      </c>
    </row>
    <row r="9008">
      <c r="A9008" s="7">
        <f>HYPERLINK("http://www.lingerieopt.ru/item/4400-muzhskaya-borcovka-s-v-obraznjm-vjrezom/","4400")</f>
      </c>
      <c r="B9008" s="8" t="s">
        <v>8571</v>
      </c>
      <c r="C9008" s="9">
        <v>647</v>
      </c>
      <c r="D9008" s="0">
        <v>0</v>
      </c>
      <c r="E9008" s="10">
        <f>HYPERLINK("http://www.lingerieopt.ru/images/original/32b990e2-c29c-4f53-9e50-6b615edd1a5f.jpg","Фото")</f>
      </c>
    </row>
    <row r="9009">
      <c r="A9009" s="7">
        <f>HYPERLINK("http://www.lingerieopt.ru/item/4400-muzhskaya-borcovka-s-v-obraznjm-vjrezom/","4400")</f>
      </c>
      <c r="B9009" s="8" t="s">
        <v>8572</v>
      </c>
      <c r="C9009" s="9">
        <v>647</v>
      </c>
      <c r="D9009" s="0">
        <v>6</v>
      </c>
      <c r="E9009" s="10">
        <f>HYPERLINK("http://www.lingerieopt.ru/images/original/32b990e2-c29c-4f53-9e50-6b615edd1a5f.jpg","Фото")</f>
      </c>
    </row>
    <row r="9010">
      <c r="A9010" s="7">
        <f>HYPERLINK("http://www.lingerieopt.ru/item/4401-klassicheskaya-futbolka-s-v-obraznjm-vjrezom-iz-setki/","4401")</f>
      </c>
      <c r="B9010" s="8" t="s">
        <v>8573</v>
      </c>
      <c r="C9010" s="9">
        <v>834</v>
      </c>
      <c r="D9010" s="0">
        <v>6</v>
      </c>
      <c r="E9010" s="10">
        <f>HYPERLINK("http://www.lingerieopt.ru/images/original/de286b45-4c8f-42d5-9144-9bcd9dee389f.jpg","Фото")</f>
      </c>
    </row>
    <row r="9011">
      <c r="A9011" s="7">
        <f>HYPERLINK("http://www.lingerieopt.ru/item/4401-klassicheskaya-futbolka-s-v-obraznjm-vjrezom-iz-setki/","4401")</f>
      </c>
      <c r="B9011" s="8" t="s">
        <v>8574</v>
      </c>
      <c r="C9011" s="9">
        <v>834</v>
      </c>
      <c r="D9011" s="0">
        <v>6</v>
      </c>
      <c r="E9011" s="10">
        <f>HYPERLINK("http://www.lingerieopt.ru/images/original/de286b45-4c8f-42d5-9144-9bcd9dee389f.jpg","Фото")</f>
      </c>
    </row>
    <row r="9012">
      <c r="A9012" s="7">
        <f>HYPERLINK("http://www.lingerieopt.ru/item/4401-klassicheskaya-futbolka-s-v-obraznjm-vjrezom-iz-setki/","4401")</f>
      </c>
      <c r="B9012" s="8" t="s">
        <v>8575</v>
      </c>
      <c r="C9012" s="9">
        <v>834</v>
      </c>
      <c r="D9012" s="0">
        <v>6</v>
      </c>
      <c r="E9012" s="10">
        <f>HYPERLINK("http://www.lingerieopt.ru/images/original/de286b45-4c8f-42d5-9144-9bcd9dee389f.jpg","Фото")</f>
      </c>
    </row>
    <row r="9013">
      <c r="A9013" s="7">
        <f>HYPERLINK("http://www.lingerieopt.ru/item/4401-klassicheskaya-futbolka-s-v-obraznjm-vjrezom-iz-setki/","4401")</f>
      </c>
      <c r="B9013" s="8" t="s">
        <v>8576</v>
      </c>
      <c r="C9013" s="9">
        <v>834</v>
      </c>
      <c r="D9013" s="0">
        <v>6</v>
      </c>
      <c r="E9013" s="10">
        <f>HYPERLINK("http://www.lingerieopt.ru/images/original/de286b45-4c8f-42d5-9144-9bcd9dee389f.jpg","Фото")</f>
      </c>
    </row>
    <row r="9014">
      <c r="A9014" s="7">
        <f>HYPERLINK("http://www.lingerieopt.ru/item/4401-klassicheskaya-futbolka-s-v-obraznjm-vjrezom-iz-setki/","4401")</f>
      </c>
      <c r="B9014" s="8" t="s">
        <v>8577</v>
      </c>
      <c r="C9014" s="9">
        <v>834</v>
      </c>
      <c r="D9014" s="0">
        <v>30</v>
      </c>
      <c r="E9014" s="10">
        <f>HYPERLINK("http://www.lingerieopt.ru/images/original/de286b45-4c8f-42d5-9144-9bcd9dee389f.jpg","Фото")</f>
      </c>
    </row>
    <row r="9015">
      <c r="A9015" s="7">
        <f>HYPERLINK("http://www.lingerieopt.ru/item/4401-klassicheskaya-futbolka-s-v-obraznjm-vjrezom-iz-setki/","4401")</f>
      </c>
      <c r="B9015" s="8" t="s">
        <v>8578</v>
      </c>
      <c r="C9015" s="9">
        <v>834</v>
      </c>
      <c r="D9015" s="0">
        <v>30</v>
      </c>
      <c r="E9015" s="10">
        <f>HYPERLINK("http://www.lingerieopt.ru/images/original/de286b45-4c8f-42d5-9144-9bcd9dee389f.jpg","Фото")</f>
      </c>
    </row>
    <row r="9016">
      <c r="A9016" s="7">
        <f>HYPERLINK("http://www.lingerieopt.ru/item/4404-muzhskaya-maika-borcovka-v-setku/","4404")</f>
      </c>
      <c r="B9016" s="8" t="s">
        <v>8579</v>
      </c>
      <c r="C9016" s="9">
        <v>876</v>
      </c>
      <c r="D9016" s="0">
        <v>6</v>
      </c>
      <c r="E9016" s="10">
        <f>HYPERLINK("http://www.lingerieopt.ru/images/original/8712f22e-c30d-4332-a6cc-8d78b99b53f5.jpg","Фото")</f>
      </c>
    </row>
    <row r="9017">
      <c r="A9017" s="7">
        <f>HYPERLINK("http://www.lingerieopt.ru/item/4404-muzhskaya-maika-borcovka-v-setku/","4404")</f>
      </c>
      <c r="B9017" s="8" t="s">
        <v>8580</v>
      </c>
      <c r="C9017" s="9">
        <v>876</v>
      </c>
      <c r="D9017" s="0">
        <v>6</v>
      </c>
      <c r="E9017" s="10">
        <f>HYPERLINK("http://www.lingerieopt.ru/images/original/8712f22e-c30d-4332-a6cc-8d78b99b53f5.jpg","Фото")</f>
      </c>
    </row>
    <row r="9018">
      <c r="A9018" s="7">
        <f>HYPERLINK("http://www.lingerieopt.ru/item/4404-muzhskaya-maika-borcovka-v-setku/","4404")</f>
      </c>
      <c r="B9018" s="8" t="s">
        <v>8581</v>
      </c>
      <c r="C9018" s="9">
        <v>876</v>
      </c>
      <c r="D9018" s="0">
        <v>6</v>
      </c>
      <c r="E9018" s="10">
        <f>HYPERLINK("http://www.lingerieopt.ru/images/original/8712f22e-c30d-4332-a6cc-8d78b99b53f5.jpg","Фото")</f>
      </c>
    </row>
    <row r="9019">
      <c r="A9019" s="7">
        <f>HYPERLINK("http://www.lingerieopt.ru/item/4404-muzhskaya-maika-borcovka-v-setku/","4404")</f>
      </c>
      <c r="B9019" s="8" t="s">
        <v>8582</v>
      </c>
      <c r="C9019" s="9">
        <v>876</v>
      </c>
      <c r="D9019" s="0">
        <v>6</v>
      </c>
      <c r="E9019" s="10">
        <f>HYPERLINK("http://www.lingerieopt.ru/images/original/8712f22e-c30d-4332-a6cc-8d78b99b53f5.jpg","Фото")</f>
      </c>
    </row>
    <row r="9020">
      <c r="A9020" s="7">
        <f>HYPERLINK("http://www.lingerieopt.ru/item/4404-muzhskaya-maika-borcovka-v-setku/","4404")</f>
      </c>
      <c r="B9020" s="8" t="s">
        <v>8583</v>
      </c>
      <c r="C9020" s="9">
        <v>876</v>
      </c>
      <c r="D9020" s="0">
        <v>6</v>
      </c>
      <c r="E9020" s="10">
        <f>HYPERLINK("http://www.lingerieopt.ru/images/original/8712f22e-c30d-4332-a6cc-8d78b99b53f5.jpg","Фото")</f>
      </c>
    </row>
    <row r="9021">
      <c r="A9021" s="7">
        <f>HYPERLINK("http://www.lingerieopt.ru/item/4404-muzhskaya-maika-borcovka-v-setku/","4404")</f>
      </c>
      <c r="B9021" s="8" t="s">
        <v>8584</v>
      </c>
      <c r="C9021" s="9">
        <v>876</v>
      </c>
      <c r="D9021" s="0">
        <v>1</v>
      </c>
      <c r="E9021" s="10">
        <f>HYPERLINK("http://www.lingerieopt.ru/images/original/8712f22e-c30d-4332-a6cc-8d78b99b53f5.jpg","Фото")</f>
      </c>
    </row>
    <row r="9022">
      <c r="A9022" s="7">
        <f>HYPERLINK("http://www.lingerieopt.ru/item/8951-fioletovaya-oblegayuschaya-futbolka-s-risunkom-yacheikami/","8951")</f>
      </c>
      <c r="B9022" s="8" t="s">
        <v>8585</v>
      </c>
      <c r="C9022" s="9">
        <v>756</v>
      </c>
      <c r="D9022" s="0">
        <v>1</v>
      </c>
      <c r="E9022" s="10">
        <f>HYPERLINK("http://www.lingerieopt.ru/images/original/1e5e2db0-1cca-4c2b-84cf-566c26e13a2a.jpg","Фото")</f>
      </c>
    </row>
    <row r="9023">
      <c r="A9023" s="7">
        <f>HYPERLINK("http://www.lingerieopt.ru/item/8951-fioletovaya-oblegayuschaya-futbolka-s-risunkom-yacheikami/","8951")</f>
      </c>
      <c r="B9023" s="8" t="s">
        <v>8586</v>
      </c>
      <c r="C9023" s="9">
        <v>756</v>
      </c>
      <c r="D9023" s="0">
        <v>1</v>
      </c>
      <c r="E9023" s="10">
        <f>HYPERLINK("http://www.lingerieopt.ru/images/original/1e5e2db0-1cca-4c2b-84cf-566c26e13a2a.jpg","Фото")</f>
      </c>
    </row>
    <row r="9024">
      <c r="A9024" s="7">
        <f>HYPERLINK("http://www.lingerieopt.ru/item/8951-fioletovaya-oblegayuschaya-futbolka-s-risunkom-yacheikami/","8951")</f>
      </c>
      <c r="B9024" s="8" t="s">
        <v>8587</v>
      </c>
      <c r="C9024" s="9">
        <v>756</v>
      </c>
      <c r="D9024" s="0">
        <v>1</v>
      </c>
      <c r="E9024" s="10">
        <f>HYPERLINK("http://www.lingerieopt.ru/images/original/1e5e2db0-1cca-4c2b-84cf-566c26e13a2a.jpg","Фото")</f>
      </c>
    </row>
    <row r="9025">
      <c r="A9025" s="7">
        <f>HYPERLINK("http://www.lingerieopt.ru/item/8952-seraya-muzhskaya-futbolka-v-oblipku/","8952")</f>
      </c>
      <c r="B9025" s="8" t="s">
        <v>8588</v>
      </c>
      <c r="C9025" s="9">
        <v>756</v>
      </c>
      <c r="D9025" s="0">
        <v>1</v>
      </c>
      <c r="E9025" s="10">
        <f>HYPERLINK("http://www.lingerieopt.ru/images/original/cf5a0c98-6f6a-4469-9b1d-89b0310eb8ce.jpg","Фото")</f>
      </c>
    </row>
    <row r="9026">
      <c r="A9026" s="7">
        <f>HYPERLINK("http://www.lingerieopt.ru/item/8952-seraya-muzhskaya-futbolka-v-oblipku/","8952")</f>
      </c>
      <c r="B9026" s="8" t="s">
        <v>8589</v>
      </c>
      <c r="C9026" s="9">
        <v>756</v>
      </c>
      <c r="D9026" s="0">
        <v>3</v>
      </c>
      <c r="E9026" s="10">
        <f>HYPERLINK("http://www.lingerieopt.ru/images/original/cf5a0c98-6f6a-4469-9b1d-89b0310eb8ce.jpg","Фото")</f>
      </c>
    </row>
    <row r="9027">
      <c r="A9027" s="7">
        <f>HYPERLINK("http://www.lingerieopt.ru/item/8952-seraya-muzhskaya-futbolka-v-oblipku/","8952")</f>
      </c>
      <c r="B9027" s="8" t="s">
        <v>8590</v>
      </c>
      <c r="C9027" s="9">
        <v>756</v>
      </c>
      <c r="D9027" s="0">
        <v>1</v>
      </c>
      <c r="E9027" s="10">
        <f>HYPERLINK("http://www.lingerieopt.ru/images/original/cf5a0c98-6f6a-4469-9b1d-89b0310eb8ce.jpg","Фото")</f>
      </c>
    </row>
    <row r="9028">
      <c r="A9028" s="7">
        <f>HYPERLINK("http://www.lingerieopt.ru/item/9479-eroticheskoe-muzhskoe-bodi-bryan/","9479")</f>
      </c>
      <c r="B9028" s="8" t="s">
        <v>8591</v>
      </c>
      <c r="C9028" s="9">
        <v>898</v>
      </c>
      <c r="D9028" s="0">
        <v>6</v>
      </c>
      <c r="E9028" s="10">
        <f>HYPERLINK("http://www.lingerieopt.ru/images/original/2f039c07-ab9a-43ba-bfc1-9f9fc3e0ee61.jpg","Фото")</f>
      </c>
    </row>
    <row r="9029">
      <c r="A9029" s="7">
        <f>HYPERLINK("http://www.lingerieopt.ru/item/9479-eroticheskoe-muzhskoe-bodi-bryan/","9479")</f>
      </c>
      <c r="B9029" s="8" t="s">
        <v>8592</v>
      </c>
      <c r="C9029" s="9">
        <v>898</v>
      </c>
      <c r="D9029" s="0">
        <v>6</v>
      </c>
      <c r="E9029" s="10">
        <f>HYPERLINK("http://www.lingerieopt.ru/images/original/2f039c07-ab9a-43ba-bfc1-9f9fc3e0ee61.jpg","Фото")</f>
      </c>
    </row>
    <row r="9030">
      <c r="A9030" s="7">
        <f>HYPERLINK("http://www.lingerieopt.ru/item/9479-eroticheskoe-muzhskoe-bodi-bryan/","9479")</f>
      </c>
      <c r="B9030" s="8" t="s">
        <v>8593</v>
      </c>
      <c r="C9030" s="9">
        <v>898</v>
      </c>
      <c r="D9030" s="0">
        <v>3</v>
      </c>
      <c r="E9030" s="10">
        <f>HYPERLINK("http://www.lingerieopt.ru/images/original/2f039c07-ab9a-43ba-bfc1-9f9fc3e0ee61.jpg","Фото")</f>
      </c>
    </row>
    <row r="9031">
      <c r="A9031" s="7">
        <f>HYPERLINK("http://www.lingerieopt.ru/item/9479-eroticheskoe-muzhskoe-bodi-bryan/","9479")</f>
      </c>
      <c r="B9031" s="8" t="s">
        <v>8594</v>
      </c>
      <c r="C9031" s="9">
        <v>898</v>
      </c>
      <c r="D9031" s="0">
        <v>3</v>
      </c>
      <c r="E9031" s="10">
        <f>HYPERLINK("http://www.lingerieopt.ru/images/original/2f039c07-ab9a-43ba-bfc1-9f9fc3e0ee61.jpg","Фото")</f>
      </c>
    </row>
    <row r="9032">
      <c r="A9032" s="7">
        <f>HYPERLINK("http://www.lingerieopt.ru/item/9480-muzhskoe-bodi-derrick-iz-tkani-s-wet-effektom/","9480")</f>
      </c>
      <c r="B9032" s="8" t="s">
        <v>8595</v>
      </c>
      <c r="C9032" s="9">
        <v>839</v>
      </c>
      <c r="D9032" s="0">
        <v>5</v>
      </c>
      <c r="E9032" s="10">
        <f>HYPERLINK("http://www.lingerieopt.ru/images/original/f153174c-e135-4a56-bf87-b921502c0c57.jpg","Фото")</f>
      </c>
    </row>
    <row r="9033">
      <c r="A9033" s="7">
        <f>HYPERLINK("http://www.lingerieopt.ru/item/9480-muzhskoe-bodi-derrick-iz-tkani-s-wet-effektom/","9480")</f>
      </c>
      <c r="B9033" s="8" t="s">
        <v>8596</v>
      </c>
      <c r="C9033" s="9">
        <v>839</v>
      </c>
      <c r="D9033" s="0">
        <v>1</v>
      </c>
      <c r="E9033" s="10">
        <f>HYPERLINK("http://www.lingerieopt.ru/images/original/f153174c-e135-4a56-bf87-b921502c0c57.jpg","Фото")</f>
      </c>
    </row>
    <row r="9034">
      <c r="A9034" s="7">
        <f>HYPERLINK("http://www.lingerieopt.ru/item/9480-muzhskoe-bodi-derrick-iz-tkani-s-wet-effektom/","9480")</f>
      </c>
      <c r="B9034" s="8" t="s">
        <v>8597</v>
      </c>
      <c r="C9034" s="9">
        <v>839</v>
      </c>
      <c r="D9034" s="0">
        <v>4</v>
      </c>
      <c r="E9034" s="10">
        <f>HYPERLINK("http://www.lingerieopt.ru/images/original/f153174c-e135-4a56-bf87-b921502c0c57.jpg","Фото")</f>
      </c>
    </row>
    <row r="9035">
      <c r="A9035" s="7">
        <f>HYPERLINK("http://www.lingerieopt.ru/item/9480-muzhskoe-bodi-derrick-iz-tkani-s-wet-effektom/","9480")</f>
      </c>
      <c r="B9035" s="8" t="s">
        <v>8598</v>
      </c>
      <c r="C9035" s="9">
        <v>839</v>
      </c>
      <c r="D9035" s="0">
        <v>5</v>
      </c>
      <c r="E9035" s="10">
        <f>HYPERLINK("http://www.lingerieopt.ru/images/original/f153174c-e135-4a56-bf87-b921502c0c57.jpg","Фото")</f>
      </c>
    </row>
    <row r="9036">
      <c r="A9036" s="7">
        <f>HYPERLINK("http://www.lingerieopt.ru/item/9680-cherno-beloe-bodi-oficianta/","9680")</f>
      </c>
      <c r="B9036" s="8" t="s">
        <v>8599</v>
      </c>
      <c r="C9036" s="9">
        <v>672</v>
      </c>
      <c r="D9036" s="0">
        <v>5</v>
      </c>
      <c r="E9036" s="10">
        <f>HYPERLINK("http://www.lingerieopt.ru/images/original/62e8e52e-3686-4b05-857b-469e2bf3ad45.jpg","Фото")</f>
      </c>
    </row>
    <row r="9037">
      <c r="A9037" s="7">
        <f>HYPERLINK("http://www.lingerieopt.ru/item/9680-cherno-beloe-bodi-oficianta/","9680")</f>
      </c>
      <c r="B9037" s="8" t="s">
        <v>8600</v>
      </c>
      <c r="C9037" s="9">
        <v>672</v>
      </c>
      <c r="D9037" s="0">
        <v>5</v>
      </c>
      <c r="E9037" s="10">
        <f>HYPERLINK("http://www.lingerieopt.ru/images/original/62e8e52e-3686-4b05-857b-469e2bf3ad45.jpg","Фото")</f>
      </c>
    </row>
    <row r="9038">
      <c r="A9038" s="7">
        <f>HYPERLINK("http://www.lingerieopt.ru/item/9680-cherno-beloe-bodi-oficianta/","9680")</f>
      </c>
      <c r="B9038" s="8" t="s">
        <v>8601</v>
      </c>
      <c r="C9038" s="9">
        <v>672</v>
      </c>
      <c r="D9038" s="0">
        <v>5</v>
      </c>
      <c r="E9038" s="10">
        <f>HYPERLINK("http://www.lingerieopt.ru/images/original/62e8e52e-3686-4b05-857b-469e2bf3ad45.jpg","Фото")</f>
      </c>
    </row>
    <row r="9039">
      <c r="A9039" s="7">
        <f>HYPERLINK("http://www.lingerieopt.ru/item/9685-oblegayuschee-muzhskoe-bodi-s-otkrjtjmi-yagodicami/","9685")</f>
      </c>
      <c r="B9039" s="8" t="s">
        <v>8602</v>
      </c>
      <c r="C9039" s="9">
        <v>1104</v>
      </c>
      <c r="D9039" s="0">
        <v>5</v>
      </c>
      <c r="E9039" s="10">
        <f>HYPERLINK("http://www.lingerieopt.ru/images/original/4079943f-94f3-415e-b9bf-d06e679e21f1.jpg","Фото")</f>
      </c>
    </row>
    <row r="9040">
      <c r="A9040" s="7">
        <f>HYPERLINK("http://www.lingerieopt.ru/item/9685-oblegayuschee-muzhskoe-bodi-s-otkrjtjmi-yagodicami/","9685")</f>
      </c>
      <c r="B9040" s="8" t="s">
        <v>8603</v>
      </c>
      <c r="C9040" s="9">
        <v>1104</v>
      </c>
      <c r="D9040" s="0">
        <v>5</v>
      </c>
      <c r="E9040" s="10">
        <f>HYPERLINK("http://www.lingerieopt.ru/images/original/4079943f-94f3-415e-b9bf-d06e679e21f1.jpg","Фото")</f>
      </c>
    </row>
    <row r="9041">
      <c r="A9041" s="7">
        <f>HYPERLINK("http://www.lingerieopt.ru/item/9685-oblegayuschee-muzhskoe-bodi-s-otkrjtjmi-yagodicami/","9685")</f>
      </c>
      <c r="B9041" s="8" t="s">
        <v>8604</v>
      </c>
      <c r="C9041" s="9">
        <v>1104</v>
      </c>
      <c r="D9041" s="0">
        <v>5</v>
      </c>
      <c r="E9041" s="10">
        <f>HYPERLINK("http://www.lingerieopt.ru/images/original/4079943f-94f3-415e-b9bf-d06e679e21f1.jpg","Фото")</f>
      </c>
    </row>
    <row r="9042">
      <c r="A9042" s="7">
        <f>HYPERLINK("http://www.lingerieopt.ru/item/9686-muzhskoe-bodi-s-otkrjtjmi-yagodicami/","9686")</f>
      </c>
      <c r="B9042" s="8" t="s">
        <v>8605</v>
      </c>
      <c r="C9042" s="9">
        <v>984</v>
      </c>
      <c r="D9042" s="0">
        <v>5</v>
      </c>
      <c r="E9042" s="10">
        <f>HYPERLINK("http://www.lingerieopt.ru/images/original/761aee6a-6802-4c44-a57b-cf036c42ecc9.jpg","Фото")</f>
      </c>
    </row>
    <row r="9043">
      <c r="A9043" s="7">
        <f>HYPERLINK("http://www.lingerieopt.ru/item/9686-muzhskoe-bodi-s-otkrjtjmi-yagodicami/","9686")</f>
      </c>
      <c r="B9043" s="8" t="s">
        <v>8606</v>
      </c>
      <c r="C9043" s="9">
        <v>984</v>
      </c>
      <c r="D9043" s="0">
        <v>4</v>
      </c>
      <c r="E9043" s="10">
        <f>HYPERLINK("http://www.lingerieopt.ru/images/original/761aee6a-6802-4c44-a57b-cf036c42ecc9.jpg","Фото")</f>
      </c>
    </row>
    <row r="9044">
      <c r="A9044" s="7">
        <f>HYPERLINK("http://www.lingerieopt.ru/item/9686-muzhskoe-bodi-s-otkrjtjmi-yagodicami/","9686")</f>
      </c>
      <c r="B9044" s="8" t="s">
        <v>8607</v>
      </c>
      <c r="C9044" s="9">
        <v>984</v>
      </c>
      <c r="D9044" s="0">
        <v>5</v>
      </c>
      <c r="E9044" s="10">
        <f>HYPERLINK("http://www.lingerieopt.ru/images/original/761aee6a-6802-4c44-a57b-cf036c42ecc9.jpg","Фото")</f>
      </c>
    </row>
    <row r="9045">
      <c r="A9045" s="7">
        <f>HYPERLINK("http://www.lingerieopt.ru/item/10302-hlopkovaya-muzhskaya-maika/","10302")</f>
      </c>
      <c r="B9045" s="8" t="s">
        <v>8608</v>
      </c>
      <c r="C9045" s="9">
        <v>648</v>
      </c>
      <c r="D9045" s="0">
        <v>1</v>
      </c>
      <c r="E9045" s="10">
        <f>HYPERLINK("http://www.lingerieopt.ru/images/original/1d99cffd-8771-45a8-9f17-f0e4ccde552a.jpg","Фото")</f>
      </c>
    </row>
    <row r="9046">
      <c r="A9046" s="7">
        <f>HYPERLINK("http://www.lingerieopt.ru/item/10302-hlopkovaya-muzhskaya-maika/","10302")</f>
      </c>
      <c r="B9046" s="8" t="s">
        <v>8609</v>
      </c>
      <c r="C9046" s="9">
        <v>648</v>
      </c>
      <c r="D9046" s="0">
        <v>1</v>
      </c>
      <c r="E9046" s="10">
        <f>HYPERLINK("http://www.lingerieopt.ru/images/original/1d99cffd-8771-45a8-9f17-f0e4ccde552a.jpg","Фото")</f>
      </c>
    </row>
    <row r="9047">
      <c r="A9047" s="7">
        <f>HYPERLINK("http://www.lingerieopt.ru/item/10302-hlopkovaya-muzhskaya-maika/","10302")</f>
      </c>
      <c r="B9047" s="8" t="s">
        <v>8610</v>
      </c>
      <c r="C9047" s="9">
        <v>648</v>
      </c>
      <c r="D9047" s="0">
        <v>3</v>
      </c>
      <c r="E9047" s="10">
        <f>HYPERLINK("http://www.lingerieopt.ru/images/original/1d99cffd-8771-45a8-9f17-f0e4ccde552a.jpg","Фото")</f>
      </c>
    </row>
    <row r="9048">
      <c r="A9048" s="7">
        <f>HYPERLINK("http://www.lingerieopt.ru/item/10302-hlopkovaya-muzhskaya-maika/","10302")</f>
      </c>
      <c r="B9048" s="8" t="s">
        <v>8611</v>
      </c>
      <c r="C9048" s="9">
        <v>648</v>
      </c>
      <c r="D9048" s="0">
        <v>1</v>
      </c>
      <c r="E9048" s="10">
        <f>HYPERLINK("http://www.lingerieopt.ru/images/original/1d99cffd-8771-45a8-9f17-f0e4ccde552a.jpg","Фото")</f>
      </c>
    </row>
    <row r="9049">
      <c r="A9049" s="7">
        <f>HYPERLINK("http://www.lingerieopt.ru/item/10302-hlopkovaya-muzhskaya-maika/","10302")</f>
      </c>
      <c r="B9049" s="8" t="s">
        <v>8612</v>
      </c>
      <c r="C9049" s="9">
        <v>648</v>
      </c>
      <c r="D9049" s="0">
        <v>1</v>
      </c>
      <c r="E9049" s="10">
        <f>HYPERLINK("http://www.lingerieopt.ru/images/original/1d99cffd-8771-45a8-9f17-f0e4ccde552a.jpg","Фото")</f>
      </c>
    </row>
    <row r="9050">
      <c r="A9050" s="7">
        <f>HYPERLINK("http://www.lingerieopt.ru/item/10302-hlopkovaya-muzhskaya-maika/","10302")</f>
      </c>
      <c r="B9050" s="8" t="s">
        <v>8613</v>
      </c>
      <c r="C9050" s="9">
        <v>648</v>
      </c>
      <c r="D9050" s="0">
        <v>3</v>
      </c>
      <c r="E9050" s="10">
        <f>HYPERLINK("http://www.lingerieopt.ru/images/original/1d99cffd-8771-45a8-9f17-f0e4ccde552a.jpg","Фото")</f>
      </c>
    </row>
    <row r="9051">
      <c r="A9051" s="7">
        <f>HYPERLINK("http://www.lingerieopt.ru/item/10302-hlopkovaya-muzhskaya-maika/","10302")</f>
      </c>
      <c r="B9051" s="8" t="s">
        <v>8614</v>
      </c>
      <c r="C9051" s="9">
        <v>648</v>
      </c>
      <c r="D9051" s="0">
        <v>2</v>
      </c>
      <c r="E9051" s="10">
        <f>HYPERLINK("http://www.lingerieopt.ru/images/original/1d99cffd-8771-45a8-9f17-f0e4ccde552a.jpg","Фото")</f>
      </c>
    </row>
    <row r="9052">
      <c r="A9052" s="7">
        <f>HYPERLINK("http://www.lingerieopt.ru/item/10302-hlopkovaya-muzhskaya-maika/","10302")</f>
      </c>
      <c r="B9052" s="8" t="s">
        <v>8615</v>
      </c>
      <c r="C9052" s="9">
        <v>648</v>
      </c>
      <c r="D9052" s="0">
        <v>3</v>
      </c>
      <c r="E9052" s="10">
        <f>HYPERLINK("http://www.lingerieopt.ru/images/original/1d99cffd-8771-45a8-9f17-f0e4ccde552a.jpg","Фото")</f>
      </c>
    </row>
    <row r="9053">
      <c r="A9053" s="7">
        <f>HYPERLINK("http://www.lingerieopt.ru/item/10302-hlopkovaya-muzhskaya-maika/","10302")</f>
      </c>
      <c r="B9053" s="8" t="s">
        <v>8616</v>
      </c>
      <c r="C9053" s="9">
        <v>648</v>
      </c>
      <c r="D9053" s="0">
        <v>3</v>
      </c>
      <c r="E9053" s="10">
        <f>HYPERLINK("http://www.lingerieopt.ru/images/original/1d99cffd-8771-45a8-9f17-f0e4ccde552a.jpg","Фото")</f>
      </c>
    </row>
    <row r="9054">
      <c r="A9054" s="7">
        <f>HYPERLINK("http://www.lingerieopt.ru/item/10302-hlopkovaya-muzhskaya-maika/","10302")</f>
      </c>
      <c r="B9054" s="8" t="s">
        <v>8617</v>
      </c>
      <c r="C9054" s="9">
        <v>648</v>
      </c>
      <c r="D9054" s="0">
        <v>3</v>
      </c>
      <c r="E9054" s="10">
        <f>HYPERLINK("http://www.lingerieopt.ru/images/original/1d99cffd-8771-45a8-9f17-f0e4ccde552a.jpg","Фото")</f>
      </c>
    </row>
    <row r="9055">
      <c r="A9055" s="7">
        <f>HYPERLINK("http://www.lingerieopt.ru/item/10643-muzhskoe-bodi-gonzalo/","10643")</f>
      </c>
      <c r="B9055" s="8" t="s">
        <v>8618</v>
      </c>
      <c r="C9055" s="9">
        <v>936</v>
      </c>
      <c r="D9055" s="0">
        <v>3</v>
      </c>
      <c r="E9055" s="10">
        <f>HYPERLINK("http://www.lingerieopt.ru/images/original/414c306a-e360-4570-ba2f-d3bdf42c17f8.jpg","Фото")</f>
      </c>
    </row>
    <row r="9056">
      <c r="A9056" s="7">
        <f>HYPERLINK("http://www.lingerieopt.ru/item/10643-muzhskoe-bodi-gonzalo/","10643")</f>
      </c>
      <c r="B9056" s="8" t="s">
        <v>8619</v>
      </c>
      <c r="C9056" s="9">
        <v>936</v>
      </c>
      <c r="D9056" s="0">
        <v>0</v>
      </c>
      <c r="E9056" s="10">
        <f>HYPERLINK("http://www.lingerieopt.ru/images/original/414c306a-e360-4570-ba2f-d3bdf42c17f8.jpg","Фото")</f>
      </c>
    </row>
    <row r="9057">
      <c r="A9057" s="7">
        <f>HYPERLINK("http://www.lingerieopt.ru/item/10643-muzhskoe-bodi-gonzalo/","10643")</f>
      </c>
      <c r="B9057" s="8" t="s">
        <v>8620</v>
      </c>
      <c r="C9057" s="9">
        <v>936</v>
      </c>
      <c r="D9057" s="0">
        <v>0</v>
      </c>
      <c r="E9057" s="10">
        <f>HYPERLINK("http://www.lingerieopt.ru/images/original/414c306a-e360-4570-ba2f-d3bdf42c17f8.jpg","Фото")</f>
      </c>
    </row>
    <row r="9058">
      <c r="A9058" s="7">
        <f>HYPERLINK("http://www.lingerieopt.ru/item/10643-muzhskoe-bodi-gonzalo/","10643")</f>
      </c>
      <c r="B9058" s="8" t="s">
        <v>8621</v>
      </c>
      <c r="C9058" s="9">
        <v>936</v>
      </c>
      <c r="D9058" s="0">
        <v>3</v>
      </c>
      <c r="E9058" s="10">
        <f>HYPERLINK("http://www.lingerieopt.ru/images/original/414c306a-e360-4570-ba2f-d3bdf42c17f8.jpg","Фото")</f>
      </c>
    </row>
    <row r="9059">
      <c r="A9059" s="7">
        <f>HYPERLINK("http://www.lingerieopt.ru/item/10643-muzhskoe-bodi-gonzalo/","10643")</f>
      </c>
      <c r="B9059" s="8" t="s">
        <v>8622</v>
      </c>
      <c r="C9059" s="9">
        <v>936</v>
      </c>
      <c r="D9059" s="0">
        <v>0</v>
      </c>
      <c r="E9059" s="10">
        <f>HYPERLINK("http://www.lingerieopt.ru/images/original/414c306a-e360-4570-ba2f-d3bdf42c17f8.jpg","Фото")</f>
      </c>
    </row>
    <row r="9060">
      <c r="A9060" s="7">
        <f>HYPERLINK("http://www.lingerieopt.ru/item/10643-muzhskoe-bodi-gonzalo/","10643")</f>
      </c>
      <c r="B9060" s="8" t="s">
        <v>8623</v>
      </c>
      <c r="C9060" s="9">
        <v>936</v>
      </c>
      <c r="D9060" s="0">
        <v>1</v>
      </c>
      <c r="E9060" s="10">
        <f>HYPERLINK("http://www.lingerieopt.ru/images/original/414c306a-e360-4570-ba2f-d3bdf42c17f8.jpg","Фото")</f>
      </c>
    </row>
    <row r="9061">
      <c r="A9061" s="7">
        <f>HYPERLINK("http://www.lingerieopt.ru/item/10644-soblaznitelnoe-muzhskoe-bodi-sergio/","10644")</f>
      </c>
      <c r="B9061" s="8" t="s">
        <v>8624</v>
      </c>
      <c r="C9061" s="9">
        <v>852</v>
      </c>
      <c r="D9061" s="0">
        <v>1</v>
      </c>
      <c r="E9061" s="10">
        <f>HYPERLINK("http://www.lingerieopt.ru/images/original/58ae0e6b-bf12-4c9f-a40c-df270fe2e938.jpg","Фото")</f>
      </c>
    </row>
    <row r="9062">
      <c r="A9062" s="7">
        <f>HYPERLINK("http://www.lingerieopt.ru/item/10644-soblaznitelnoe-muzhskoe-bodi-sergio/","10644")</f>
      </c>
      <c r="B9062" s="8" t="s">
        <v>8625</v>
      </c>
      <c r="C9062" s="9">
        <v>852</v>
      </c>
      <c r="D9062" s="0">
        <v>3</v>
      </c>
      <c r="E9062" s="10">
        <f>HYPERLINK("http://www.lingerieopt.ru/images/original/58ae0e6b-bf12-4c9f-a40c-df270fe2e938.jpg","Фото")</f>
      </c>
    </row>
    <row r="9063">
      <c r="A9063" s="7">
        <f>HYPERLINK("http://www.lingerieopt.ru/item/10644-soblaznitelnoe-muzhskoe-bodi-sergio/","10644")</f>
      </c>
      <c r="B9063" s="8" t="s">
        <v>8626</v>
      </c>
      <c r="C9063" s="9">
        <v>852</v>
      </c>
      <c r="D9063" s="0">
        <v>2</v>
      </c>
      <c r="E9063" s="10">
        <f>HYPERLINK("http://www.lingerieopt.ru/images/original/58ae0e6b-bf12-4c9f-a40c-df270fe2e938.jpg","Фото")</f>
      </c>
    </row>
    <row r="9064">
      <c r="A9064" s="7">
        <f>HYPERLINK("http://www.lingerieopt.ru/item/10644-soblaznitelnoe-muzhskoe-bodi-sergio/","10644")</f>
      </c>
      <c r="B9064" s="8" t="s">
        <v>8627</v>
      </c>
      <c r="C9064" s="9">
        <v>852</v>
      </c>
      <c r="D9064" s="0">
        <v>4</v>
      </c>
      <c r="E9064" s="10">
        <f>HYPERLINK("http://www.lingerieopt.ru/images/original/58ae0e6b-bf12-4c9f-a40c-df270fe2e938.jpg","Фото")</f>
      </c>
    </row>
    <row r="9065">
      <c r="A9065" s="7">
        <f>HYPERLINK("http://www.lingerieopt.ru/item/10644-soblaznitelnoe-muzhskoe-bodi-sergio/","10644")</f>
      </c>
      <c r="B9065" s="8" t="s">
        <v>8628</v>
      </c>
      <c r="C9065" s="9">
        <v>852</v>
      </c>
      <c r="D9065" s="0">
        <v>1</v>
      </c>
      <c r="E9065" s="10">
        <f>HYPERLINK("http://www.lingerieopt.ru/images/original/58ae0e6b-bf12-4c9f-a40c-df270fe2e938.jpg","Фото")</f>
      </c>
    </row>
    <row r="9066">
      <c r="A9066" s="7">
        <f>HYPERLINK("http://www.lingerieopt.ru/item/10644-soblaznitelnoe-muzhskoe-bodi-sergio/","10644")</f>
      </c>
      <c r="B9066" s="8" t="s">
        <v>8629</v>
      </c>
      <c r="C9066" s="9">
        <v>852</v>
      </c>
      <c r="D9066" s="0">
        <v>3</v>
      </c>
      <c r="E9066" s="10">
        <f>HYPERLINK("http://www.lingerieopt.ru/images/original/58ae0e6b-bf12-4c9f-a40c-df270fe2e938.jpg","Фото")</f>
      </c>
    </row>
    <row r="9067">
      <c r="A9067" s="7">
        <f>HYPERLINK("http://www.lingerieopt.ru/item/10645-originalnaya-muzhskaya-portupeya-podtyazhki/","10645")</f>
      </c>
      <c r="B9067" s="8" t="s">
        <v>8630</v>
      </c>
      <c r="C9067" s="9">
        <v>1164</v>
      </c>
      <c r="D9067" s="0">
        <v>7</v>
      </c>
      <c r="E9067" s="10">
        <f>HYPERLINK("http://www.lingerieopt.ru/images/original/02eca02f-4cc4-4aa7-ad8d-f3a55b4ab318.jpg","Фото")</f>
      </c>
    </row>
    <row r="9068">
      <c r="A9068" s="7">
        <f>HYPERLINK("http://www.lingerieopt.ru/item/10645-originalnaya-muzhskaya-portupeya-podtyazhki/","10645")</f>
      </c>
      <c r="B9068" s="8" t="s">
        <v>8631</v>
      </c>
      <c r="C9068" s="9">
        <v>1164</v>
      </c>
      <c r="D9068" s="0">
        <v>7</v>
      </c>
      <c r="E9068" s="10">
        <f>HYPERLINK("http://www.lingerieopt.ru/images/original/02eca02f-4cc4-4aa7-ad8d-f3a55b4ab318.jpg","Фото")</f>
      </c>
    </row>
    <row r="9069">
      <c r="A9069" s="7">
        <f>HYPERLINK("http://www.lingerieopt.ru/item/10645-originalnaya-muzhskaya-portupeya-podtyazhki/","10645")</f>
      </c>
      <c r="B9069" s="8" t="s">
        <v>8632</v>
      </c>
      <c r="C9069" s="9">
        <v>1164</v>
      </c>
      <c r="D9069" s="0">
        <v>3</v>
      </c>
      <c r="E9069" s="10">
        <f>HYPERLINK("http://www.lingerieopt.ru/images/original/02eca02f-4cc4-4aa7-ad8d-f3a55b4ab318.jpg","Фото")</f>
      </c>
    </row>
    <row r="9070">
      <c r="A9070" s="7">
        <f>HYPERLINK("http://www.lingerieopt.ru/item/10646-portupeya-na-odno-plecho/","10646")</f>
      </c>
      <c r="B9070" s="8" t="s">
        <v>8633</v>
      </c>
      <c r="C9070" s="9">
        <v>1591</v>
      </c>
      <c r="D9070" s="0">
        <v>3</v>
      </c>
      <c r="E9070" s="10">
        <f>HYPERLINK("http://www.lingerieopt.ru/images/original/125be6ea-ba49-4315-9683-aed9199b498d.jpg","Фото")</f>
      </c>
    </row>
    <row r="9071">
      <c r="A9071" s="7">
        <f>HYPERLINK("http://www.lingerieopt.ru/item/10646-portupeya-na-odno-plecho/","10646")</f>
      </c>
      <c r="B9071" s="8" t="s">
        <v>8634</v>
      </c>
      <c r="C9071" s="9">
        <v>1591</v>
      </c>
      <c r="D9071" s="0">
        <v>7</v>
      </c>
      <c r="E9071" s="10">
        <f>HYPERLINK("http://www.lingerieopt.ru/images/original/125be6ea-ba49-4315-9683-aed9199b498d.jpg","Фото")</f>
      </c>
    </row>
    <row r="9072">
      <c r="A9072" s="7">
        <f>HYPERLINK("http://www.lingerieopt.ru/item/10646-portupeya-na-odno-plecho/","10646")</f>
      </c>
      <c r="B9072" s="8" t="s">
        <v>8635</v>
      </c>
      <c r="C9072" s="9">
        <v>1591</v>
      </c>
      <c r="D9072" s="0">
        <v>7</v>
      </c>
      <c r="E9072" s="10">
        <f>HYPERLINK("http://www.lingerieopt.ru/images/original/125be6ea-ba49-4315-9683-aed9199b498d.jpg","Фото")</f>
      </c>
    </row>
    <row r="9073">
      <c r="A9073" s="7">
        <f>HYPERLINK("http://www.lingerieopt.ru/item/10647-muzhskaya-krestoobraznaya-portupeya/","10647")</f>
      </c>
      <c r="B9073" s="8" t="s">
        <v>8636</v>
      </c>
      <c r="C9073" s="9">
        <v>828</v>
      </c>
      <c r="D9073" s="0">
        <v>10</v>
      </c>
      <c r="E9073" s="10">
        <f>HYPERLINK("http://www.lingerieopt.ru/images/original/9fe84992-a744-4d39-a201-0273a63f69aa.jpg","Фото")</f>
      </c>
    </row>
    <row r="9074">
      <c r="A9074" s="7">
        <f>HYPERLINK("http://www.lingerieopt.ru/item/10647-muzhskaya-krestoobraznaya-portupeya/","10647")</f>
      </c>
      <c r="B9074" s="8" t="s">
        <v>8637</v>
      </c>
      <c r="C9074" s="9">
        <v>828</v>
      </c>
      <c r="D9074" s="0">
        <v>10</v>
      </c>
      <c r="E9074" s="10">
        <f>HYPERLINK("http://www.lingerieopt.ru/images/original/9fe84992-a744-4d39-a201-0273a63f69aa.jpg","Фото")</f>
      </c>
    </row>
    <row r="9075">
      <c r="A9075" s="7">
        <f>HYPERLINK("http://www.lingerieopt.ru/item/10647-muzhskaya-krestoobraznaya-portupeya/","10647")</f>
      </c>
      <c r="B9075" s="8" t="s">
        <v>8638</v>
      </c>
      <c r="C9075" s="9">
        <v>828</v>
      </c>
      <c r="D9075" s="0">
        <v>3</v>
      </c>
      <c r="E9075" s="10">
        <f>HYPERLINK("http://www.lingerieopt.ru/images/original/9fe84992-a744-4d39-a201-0273a63f69aa.jpg","Фото")</f>
      </c>
    </row>
    <row r="9076">
      <c r="A9076" s="7">
        <f>HYPERLINK("http://www.lingerieopt.ru/item/10730-muzhskaya-obtyagivayuschaya-futbolka-v-melkii-rubchik/","10730")</f>
      </c>
      <c r="B9076" s="8" t="s">
        <v>8639</v>
      </c>
      <c r="C9076" s="9">
        <v>1062</v>
      </c>
      <c r="D9076" s="0">
        <v>3</v>
      </c>
      <c r="E9076" s="10">
        <f>HYPERLINK("http://www.lingerieopt.ru/images/original/763fbf00-a96c-4b7d-baf1-41bee4eb6fd5.jpg","Фото")</f>
      </c>
    </row>
    <row r="9077">
      <c r="A9077" s="7">
        <f>HYPERLINK("http://www.lingerieopt.ru/item/10730-muzhskaya-obtyagivayuschaya-futbolka-v-melkii-rubchik/","10730")</f>
      </c>
      <c r="B9077" s="8" t="s">
        <v>8640</v>
      </c>
      <c r="C9077" s="9">
        <v>1062</v>
      </c>
      <c r="D9077" s="0">
        <v>2</v>
      </c>
      <c r="E9077" s="10">
        <f>HYPERLINK("http://www.lingerieopt.ru/images/original/763fbf00-a96c-4b7d-baf1-41bee4eb6fd5.jpg","Фото")</f>
      </c>
    </row>
    <row r="9078">
      <c r="A9078" s="7">
        <f>HYPERLINK("http://www.lingerieopt.ru/item/10730-muzhskaya-obtyagivayuschaya-futbolka-v-melkii-rubchik/","10730")</f>
      </c>
      <c r="B9078" s="8" t="s">
        <v>8641</v>
      </c>
      <c r="C9078" s="9">
        <v>1062</v>
      </c>
      <c r="D9078" s="0">
        <v>1</v>
      </c>
      <c r="E9078" s="10">
        <f>HYPERLINK("http://www.lingerieopt.ru/images/original/763fbf00-a96c-4b7d-baf1-41bee4eb6fd5.jpg","Фото")</f>
      </c>
    </row>
    <row r="9079">
      <c r="A9079" s="7">
        <f>HYPERLINK("http://www.lingerieopt.ru/item/10730-muzhskaya-obtyagivayuschaya-futbolka-v-melkii-rubchik/","10730")</f>
      </c>
      <c r="B9079" s="8" t="s">
        <v>8642</v>
      </c>
      <c r="C9079" s="9">
        <v>1062</v>
      </c>
      <c r="D9079" s="0">
        <v>3</v>
      </c>
      <c r="E9079" s="10">
        <f>HYPERLINK("http://www.lingerieopt.ru/images/original/763fbf00-a96c-4b7d-baf1-41bee4eb6fd5.jpg","Фото")</f>
      </c>
    </row>
    <row r="9080">
      <c r="A9080" s="7">
        <f>HYPERLINK("http://www.lingerieopt.ru/item/10730-muzhskaya-obtyagivayuschaya-futbolka-v-melkii-rubchik/","10730")</f>
      </c>
      <c r="B9080" s="8" t="s">
        <v>8643</v>
      </c>
      <c r="C9080" s="9">
        <v>1062</v>
      </c>
      <c r="D9080" s="0">
        <v>1</v>
      </c>
      <c r="E9080" s="10">
        <f>HYPERLINK("http://www.lingerieopt.ru/images/original/763fbf00-a96c-4b7d-baf1-41bee4eb6fd5.jpg","Фото")</f>
      </c>
    </row>
    <row r="9081">
      <c r="A9081" s="7">
        <f>HYPERLINK("http://www.lingerieopt.ru/item/10730-muzhskaya-obtyagivayuschaya-futbolka-v-melkii-rubchik/","10730")</f>
      </c>
      <c r="B9081" s="8" t="s">
        <v>8644</v>
      </c>
      <c r="C9081" s="9">
        <v>1062</v>
      </c>
      <c r="D9081" s="0">
        <v>1</v>
      </c>
      <c r="E9081" s="10">
        <f>HYPERLINK("http://www.lingerieopt.ru/images/original/763fbf00-a96c-4b7d-baf1-41bee4eb6fd5.jpg","Фото")</f>
      </c>
    </row>
    <row r="9082">
      <c r="A9082" s="7">
        <f>HYPERLINK("http://www.lingerieopt.ru/item/10730-muzhskaya-obtyagivayuschaya-futbolka-v-melkii-rubchik/","10730")</f>
      </c>
      <c r="B9082" s="8" t="s">
        <v>8645</v>
      </c>
      <c r="C9082" s="9">
        <v>1062</v>
      </c>
      <c r="D9082" s="0">
        <v>1</v>
      </c>
      <c r="E9082" s="10">
        <f>HYPERLINK("http://www.lingerieopt.ru/images/original/763fbf00-a96c-4b7d-baf1-41bee4eb6fd5.jpg","Фото")</f>
      </c>
    </row>
    <row r="9083">
      <c r="A9083" s="7">
        <f>HYPERLINK("http://www.lingerieopt.ru/item/10730-muzhskaya-obtyagivayuschaya-futbolka-v-melkii-rubchik/","10730")</f>
      </c>
      <c r="B9083" s="8" t="s">
        <v>8646</v>
      </c>
      <c r="C9083" s="9">
        <v>1062</v>
      </c>
      <c r="D9083" s="0">
        <v>3</v>
      </c>
      <c r="E9083" s="10">
        <f>HYPERLINK("http://www.lingerieopt.ru/images/original/763fbf00-a96c-4b7d-baf1-41bee4eb6fd5.jpg","Фото")</f>
      </c>
    </row>
    <row r="9084">
      <c r="A9084" s="7">
        <f>HYPERLINK("http://www.lingerieopt.ru/item/10730-muzhskaya-obtyagivayuschaya-futbolka-v-melkii-rubchik/","10730")</f>
      </c>
      <c r="B9084" s="8" t="s">
        <v>8647</v>
      </c>
      <c r="C9084" s="9">
        <v>1062</v>
      </c>
      <c r="D9084" s="0">
        <v>1</v>
      </c>
      <c r="E9084" s="10">
        <f>HYPERLINK("http://www.lingerieopt.ru/images/original/763fbf00-a96c-4b7d-baf1-41bee4eb6fd5.jpg","Фото")</f>
      </c>
    </row>
    <row r="9085">
      <c r="A9085" s="7">
        <f>HYPERLINK("http://www.lingerieopt.ru/item/10730-muzhskaya-obtyagivayuschaya-futbolka-v-melkii-rubchik/","10730")</f>
      </c>
      <c r="B9085" s="8" t="s">
        <v>8648</v>
      </c>
      <c r="C9085" s="9">
        <v>1062</v>
      </c>
      <c r="D9085" s="0">
        <v>3</v>
      </c>
      <c r="E9085" s="10">
        <f>HYPERLINK("http://www.lingerieopt.ru/images/original/763fbf00-a96c-4b7d-baf1-41bee4eb6fd5.jpg","Фото")</f>
      </c>
    </row>
    <row r="9086">
      <c r="A9086" s="7">
        <f>HYPERLINK("http://www.lingerieopt.ru/item/10734-muzhskaya-maika-s-shirokimi-lyamkami/","10734")</f>
      </c>
      <c r="B9086" s="8" t="s">
        <v>8649</v>
      </c>
      <c r="C9086" s="9">
        <v>820</v>
      </c>
      <c r="D9086" s="0">
        <v>3</v>
      </c>
      <c r="E9086" s="10">
        <f>HYPERLINK("http://www.lingerieopt.ru/images/original/1db7c485-d760-427d-a4ac-cc6779bab0ed.jpg","Фото")</f>
      </c>
    </row>
    <row r="9087">
      <c r="A9087" s="7">
        <f>HYPERLINK("http://www.lingerieopt.ru/item/10734-muzhskaya-maika-s-shirokimi-lyamkami/","10734")</f>
      </c>
      <c r="B9087" s="8" t="s">
        <v>8650</v>
      </c>
      <c r="C9087" s="9">
        <v>820</v>
      </c>
      <c r="D9087" s="0">
        <v>3</v>
      </c>
      <c r="E9087" s="10">
        <f>HYPERLINK("http://www.lingerieopt.ru/images/original/1db7c485-d760-427d-a4ac-cc6779bab0ed.jpg","Фото")</f>
      </c>
    </row>
    <row r="9088">
      <c r="A9088" s="7">
        <f>HYPERLINK("http://www.lingerieopt.ru/item/10734-muzhskaya-maika-s-shirokimi-lyamkami/","10734")</f>
      </c>
      <c r="B9088" s="8" t="s">
        <v>8651</v>
      </c>
      <c r="C9088" s="9">
        <v>820</v>
      </c>
      <c r="D9088" s="0">
        <v>1</v>
      </c>
      <c r="E9088" s="10">
        <f>HYPERLINK("http://www.lingerieopt.ru/images/original/1db7c485-d760-427d-a4ac-cc6779bab0ed.jpg","Фото")</f>
      </c>
    </row>
    <row r="9089">
      <c r="A9089" s="7">
        <f>HYPERLINK("http://www.lingerieopt.ru/item/10734-muzhskaya-maika-s-shirokimi-lyamkami/","10734")</f>
      </c>
      <c r="B9089" s="8" t="s">
        <v>8652</v>
      </c>
      <c r="C9089" s="9">
        <v>820</v>
      </c>
      <c r="D9089" s="0">
        <v>1</v>
      </c>
      <c r="E9089" s="10">
        <f>HYPERLINK("http://www.lingerieopt.ru/images/original/1db7c485-d760-427d-a4ac-cc6779bab0ed.jpg","Фото")</f>
      </c>
    </row>
    <row r="9090">
      <c r="A9090" s="7">
        <f>HYPERLINK("http://www.lingerieopt.ru/item/10734-muzhskaya-maika-s-shirokimi-lyamkami/","10734")</f>
      </c>
      <c r="B9090" s="8" t="s">
        <v>8653</v>
      </c>
      <c r="C9090" s="9">
        <v>820</v>
      </c>
      <c r="D9090" s="0">
        <v>3</v>
      </c>
      <c r="E9090" s="10">
        <f>HYPERLINK("http://www.lingerieopt.ru/images/original/1db7c485-d760-427d-a4ac-cc6779bab0ed.jpg","Фото")</f>
      </c>
    </row>
    <row r="9091">
      <c r="A9091" s="7">
        <f>HYPERLINK("http://www.lingerieopt.ru/item/10735-futbolka-po-figure-iz-modalno-hlopkovoi-tkani/","10735")</f>
      </c>
      <c r="B9091" s="8" t="s">
        <v>8654</v>
      </c>
      <c r="C9091" s="9">
        <v>954</v>
      </c>
      <c r="D9091" s="0">
        <v>1</v>
      </c>
      <c r="E9091" s="10">
        <f>HYPERLINK("http://www.lingerieopt.ru/images/original/5bf7acbb-a403-4f0d-95f8-34c3afd20a1f.jpg","Фото")</f>
      </c>
    </row>
    <row r="9092">
      <c r="A9092" s="7">
        <f>HYPERLINK("http://www.lingerieopt.ru/item/10735-futbolka-po-figure-iz-modalno-hlopkovoi-tkani/","10735")</f>
      </c>
      <c r="B9092" s="8" t="s">
        <v>8655</v>
      </c>
      <c r="C9092" s="9">
        <v>954</v>
      </c>
      <c r="D9092" s="0">
        <v>1</v>
      </c>
      <c r="E9092" s="10">
        <f>HYPERLINK("http://www.lingerieopt.ru/images/original/5bf7acbb-a403-4f0d-95f8-34c3afd20a1f.jpg","Фото")</f>
      </c>
    </row>
    <row r="9093">
      <c r="A9093" s="7">
        <f>HYPERLINK("http://www.lingerieopt.ru/item/10735-futbolka-po-figure-iz-modalno-hlopkovoi-tkani/","10735")</f>
      </c>
      <c r="B9093" s="8" t="s">
        <v>8656</v>
      </c>
      <c r="C9093" s="9">
        <v>954</v>
      </c>
      <c r="D9093" s="0">
        <v>1</v>
      </c>
      <c r="E9093" s="10">
        <f>HYPERLINK("http://www.lingerieopt.ru/images/original/5bf7acbb-a403-4f0d-95f8-34c3afd20a1f.jpg","Фото")</f>
      </c>
    </row>
    <row r="9094">
      <c r="A9094" s="7">
        <f>HYPERLINK("http://www.lingerieopt.ru/item/10735-futbolka-po-figure-iz-modalno-hlopkovoi-tkani/","10735")</f>
      </c>
      <c r="B9094" s="8" t="s">
        <v>8657</v>
      </c>
      <c r="C9094" s="9">
        <v>954</v>
      </c>
      <c r="D9094" s="0">
        <v>3</v>
      </c>
      <c r="E9094" s="10">
        <f>HYPERLINK("http://www.lingerieopt.ru/images/original/5bf7acbb-a403-4f0d-95f8-34c3afd20a1f.jpg","Фото")</f>
      </c>
    </row>
    <row r="9095">
      <c r="A9095" s="7">
        <f>HYPERLINK("http://www.lingerieopt.ru/item/10735-futbolka-po-figure-iz-modalno-hlopkovoi-tkani/","10735")</f>
      </c>
      <c r="B9095" s="8" t="s">
        <v>8658</v>
      </c>
      <c r="C9095" s="9">
        <v>954</v>
      </c>
      <c r="D9095" s="0">
        <v>1</v>
      </c>
      <c r="E9095" s="10">
        <f>HYPERLINK("http://www.lingerieopt.ru/images/original/5bf7acbb-a403-4f0d-95f8-34c3afd20a1f.jpg","Фото")</f>
      </c>
    </row>
    <row r="9096">
      <c r="A9096" s="7">
        <f>HYPERLINK("http://www.lingerieopt.ru/item/10747-muzhskaya-poluprozrachnaya-maika/","10747")</f>
      </c>
      <c r="B9096" s="8" t="s">
        <v>8659</v>
      </c>
      <c r="C9096" s="9">
        <v>1036</v>
      </c>
      <c r="D9096" s="0">
        <v>3</v>
      </c>
      <c r="E9096" s="10">
        <f>HYPERLINK("http://www.lingerieopt.ru/images/original/f690e868-cb6c-4e75-9766-5576e212c732.jpg","Фото")</f>
      </c>
    </row>
    <row r="9097">
      <c r="A9097" s="7">
        <f>HYPERLINK("http://www.lingerieopt.ru/item/10747-muzhskaya-poluprozrachnaya-maika/","10747")</f>
      </c>
      <c r="B9097" s="8" t="s">
        <v>8660</v>
      </c>
      <c r="C9097" s="9">
        <v>1036</v>
      </c>
      <c r="D9097" s="0">
        <v>3</v>
      </c>
      <c r="E9097" s="10">
        <f>HYPERLINK("http://www.lingerieopt.ru/images/original/f690e868-cb6c-4e75-9766-5576e212c732.jpg","Фото")</f>
      </c>
    </row>
    <row r="9098">
      <c r="A9098" s="7">
        <f>HYPERLINK("http://www.lingerieopt.ru/item/10747-muzhskaya-poluprozrachnaya-maika/","10747")</f>
      </c>
      <c r="B9098" s="8" t="s">
        <v>8661</v>
      </c>
      <c r="C9098" s="9">
        <v>1036</v>
      </c>
      <c r="D9098" s="0">
        <v>3</v>
      </c>
      <c r="E9098" s="10">
        <f>HYPERLINK("http://www.lingerieopt.ru/images/original/f690e868-cb6c-4e75-9766-5576e212c732.jpg","Фото")</f>
      </c>
    </row>
    <row r="9099">
      <c r="A9099" s="7">
        <f>HYPERLINK("http://www.lingerieopt.ru/item/10747-muzhskaya-poluprozrachnaya-maika/","10747")</f>
      </c>
      <c r="B9099" s="8" t="s">
        <v>8662</v>
      </c>
      <c r="C9099" s="9">
        <v>1036</v>
      </c>
      <c r="D9099" s="0">
        <v>3</v>
      </c>
      <c r="E9099" s="10">
        <f>HYPERLINK("http://www.lingerieopt.ru/images/original/f690e868-cb6c-4e75-9766-5576e212c732.jpg","Фото")</f>
      </c>
    </row>
    <row r="9100">
      <c r="A9100" s="7">
        <f>HYPERLINK("http://www.lingerieopt.ru/item/10747-muzhskaya-poluprozrachnaya-maika/","10747")</f>
      </c>
      <c r="B9100" s="8" t="s">
        <v>8663</v>
      </c>
      <c r="C9100" s="9">
        <v>1036</v>
      </c>
      <c r="D9100" s="0">
        <v>3</v>
      </c>
      <c r="E9100" s="10">
        <f>HYPERLINK("http://www.lingerieopt.ru/images/original/f690e868-cb6c-4e75-9766-5576e212c732.jpg","Фото")</f>
      </c>
    </row>
    <row r="9101">
      <c r="A9101" s="7">
        <f>HYPERLINK("http://www.lingerieopt.ru/item/10747-muzhskaya-poluprozrachnaya-maika/","10747")</f>
      </c>
      <c r="B9101" s="8" t="s">
        <v>8664</v>
      </c>
      <c r="C9101" s="9">
        <v>1036</v>
      </c>
      <c r="D9101" s="0">
        <v>3</v>
      </c>
      <c r="E9101" s="10">
        <f>HYPERLINK("http://www.lingerieopt.ru/images/original/f690e868-cb6c-4e75-9766-5576e212c732.jpg","Фото")</f>
      </c>
    </row>
    <row r="9102">
      <c r="A9102" s="7">
        <f>HYPERLINK("http://www.lingerieopt.ru/item/10747-muzhskaya-poluprozrachnaya-maika/","10747")</f>
      </c>
      <c r="B9102" s="8" t="s">
        <v>8665</v>
      </c>
      <c r="C9102" s="9">
        <v>1036</v>
      </c>
      <c r="D9102" s="0">
        <v>3</v>
      </c>
      <c r="E9102" s="10">
        <f>HYPERLINK("http://www.lingerieopt.ru/images/original/f690e868-cb6c-4e75-9766-5576e212c732.jpg","Фото")</f>
      </c>
    </row>
    <row r="9103">
      <c r="A9103" s="7">
        <f>HYPERLINK("http://www.lingerieopt.ru/item/10747-muzhskaya-poluprozrachnaya-maika/","10747")</f>
      </c>
      <c r="B9103" s="8" t="s">
        <v>8666</v>
      </c>
      <c r="C9103" s="9">
        <v>1036</v>
      </c>
      <c r="D9103" s="0">
        <v>3</v>
      </c>
      <c r="E9103" s="10">
        <f>HYPERLINK("http://www.lingerieopt.ru/images/original/f690e868-cb6c-4e75-9766-5576e212c732.jpg","Фото")</f>
      </c>
    </row>
    <row r="9104">
      <c r="A9104" s="7">
        <f>HYPERLINK("http://www.lingerieopt.ru/item/10747-muzhskaya-poluprozrachnaya-maika/","10747")</f>
      </c>
      <c r="B9104" s="8" t="s">
        <v>8667</v>
      </c>
      <c r="C9104" s="9">
        <v>1036</v>
      </c>
      <c r="D9104" s="0">
        <v>3</v>
      </c>
      <c r="E9104" s="10">
        <f>HYPERLINK("http://www.lingerieopt.ru/images/original/f690e868-cb6c-4e75-9766-5576e212c732.jpg","Фото")</f>
      </c>
    </row>
    <row r="9105">
      <c r="A9105" s="7">
        <f>HYPERLINK("http://www.lingerieopt.ru/item/10747-muzhskaya-poluprozrachnaya-maika/","10747")</f>
      </c>
      <c r="B9105" s="8" t="s">
        <v>8668</v>
      </c>
      <c r="C9105" s="9">
        <v>1036</v>
      </c>
      <c r="D9105" s="0">
        <v>1</v>
      </c>
      <c r="E9105" s="10">
        <f>HYPERLINK("http://www.lingerieopt.ru/images/original/f690e868-cb6c-4e75-9766-5576e212c732.jpg","Фото")</f>
      </c>
    </row>
    <row r="9106">
      <c r="A9106" s="7">
        <f>HYPERLINK("http://www.lingerieopt.ru/item/10747-muzhskaya-poluprozrachnaya-maika/","10747")</f>
      </c>
      <c r="B9106" s="8" t="s">
        <v>8669</v>
      </c>
      <c r="C9106" s="9">
        <v>1036</v>
      </c>
      <c r="D9106" s="0">
        <v>3</v>
      </c>
      <c r="E9106" s="10">
        <f>HYPERLINK("http://www.lingerieopt.ru/images/original/f690e868-cb6c-4e75-9766-5576e212c732.jpg","Фото")</f>
      </c>
    </row>
    <row r="9107">
      <c r="A9107" s="7">
        <f>HYPERLINK("http://www.lingerieopt.ru/item/10747-muzhskaya-poluprozrachnaya-maika/","10747")</f>
      </c>
      <c r="B9107" s="8" t="s">
        <v>8670</v>
      </c>
      <c r="C9107" s="9">
        <v>1036</v>
      </c>
      <c r="D9107" s="0">
        <v>1</v>
      </c>
      <c r="E9107" s="10">
        <f>HYPERLINK("http://www.lingerieopt.ru/images/original/f690e868-cb6c-4e75-9766-5576e212c732.jpg","Фото")</f>
      </c>
    </row>
    <row r="9108">
      <c r="A9108" s="7">
        <f>HYPERLINK("http://www.lingerieopt.ru/item/10747-muzhskaya-poluprozrachnaya-maika/","10747")</f>
      </c>
      <c r="B9108" s="8" t="s">
        <v>8671</v>
      </c>
      <c r="C9108" s="9">
        <v>1036</v>
      </c>
      <c r="D9108" s="0">
        <v>3</v>
      </c>
      <c r="E9108" s="10">
        <f>HYPERLINK("http://www.lingerieopt.ru/images/original/f690e868-cb6c-4e75-9766-5576e212c732.jpg","Фото")</f>
      </c>
    </row>
    <row r="9109">
      <c r="A9109" s="7">
        <f>HYPERLINK("http://www.lingerieopt.ru/item/10747-muzhskaya-poluprozrachnaya-maika/","10747")</f>
      </c>
      <c r="B9109" s="8" t="s">
        <v>8672</v>
      </c>
      <c r="C9109" s="9">
        <v>1036</v>
      </c>
      <c r="D9109" s="0">
        <v>1</v>
      </c>
      <c r="E9109" s="10">
        <f>HYPERLINK("http://www.lingerieopt.ru/images/original/f690e868-cb6c-4e75-9766-5576e212c732.jpg","Фото")</f>
      </c>
    </row>
    <row r="9110">
      <c r="A9110" s="7">
        <f>HYPERLINK("http://www.lingerieopt.ru/item/10747-muzhskaya-poluprozrachnaya-maika/","10747")</f>
      </c>
      <c r="B9110" s="8" t="s">
        <v>8673</v>
      </c>
      <c r="C9110" s="9">
        <v>1036</v>
      </c>
      <c r="D9110" s="0">
        <v>3</v>
      </c>
      <c r="E9110" s="10">
        <f>HYPERLINK("http://www.lingerieopt.ru/images/original/f690e868-cb6c-4e75-9766-5576e212c732.jpg","Фото")</f>
      </c>
    </row>
    <row r="9111">
      <c r="A9111" s="7">
        <f>HYPERLINK("http://www.lingerieopt.ru/item/10748-muzhskaya-futbolka-s-v-obraznjm-vjrezom/","10748")</f>
      </c>
      <c r="B9111" s="8" t="s">
        <v>8674</v>
      </c>
      <c r="C9111" s="9">
        <v>954</v>
      </c>
      <c r="D9111" s="0">
        <v>3</v>
      </c>
      <c r="E9111" s="10">
        <f>HYPERLINK("http://www.lingerieopt.ru/images/original/10fdc6b2-dfad-4457-9f45-acc0c06df118.jpg","Фото")</f>
      </c>
    </row>
    <row r="9112">
      <c r="A9112" s="7">
        <f>HYPERLINK("http://www.lingerieopt.ru/item/10748-muzhskaya-futbolka-s-v-obraznjm-vjrezom/","10748")</f>
      </c>
      <c r="B9112" s="8" t="s">
        <v>8675</v>
      </c>
      <c r="C9112" s="9">
        <v>954</v>
      </c>
      <c r="D9112" s="0">
        <v>3</v>
      </c>
      <c r="E9112" s="10">
        <f>HYPERLINK("http://www.lingerieopt.ru/images/original/10fdc6b2-dfad-4457-9f45-acc0c06df118.jpg","Фото")</f>
      </c>
    </row>
    <row r="9113">
      <c r="A9113" s="7">
        <f>HYPERLINK("http://www.lingerieopt.ru/item/10748-muzhskaya-futbolka-s-v-obraznjm-vjrezom/","10748")</f>
      </c>
      <c r="B9113" s="8" t="s">
        <v>8676</v>
      </c>
      <c r="C9113" s="9">
        <v>954</v>
      </c>
      <c r="D9113" s="0">
        <v>3</v>
      </c>
      <c r="E9113" s="10">
        <f>HYPERLINK("http://www.lingerieopt.ru/images/original/10fdc6b2-dfad-4457-9f45-acc0c06df118.jpg","Фото")</f>
      </c>
    </row>
    <row r="9114">
      <c r="A9114" s="7">
        <f>HYPERLINK("http://www.lingerieopt.ru/item/10748-muzhskaya-futbolka-s-v-obraznjm-vjrezom/","10748")</f>
      </c>
      <c r="B9114" s="8" t="s">
        <v>8677</v>
      </c>
      <c r="C9114" s="9">
        <v>954</v>
      </c>
      <c r="D9114" s="0">
        <v>1</v>
      </c>
      <c r="E9114" s="10">
        <f>HYPERLINK("http://www.lingerieopt.ru/images/original/10fdc6b2-dfad-4457-9f45-acc0c06df118.jpg","Фото")</f>
      </c>
    </row>
    <row r="9115">
      <c r="A9115" s="7">
        <f>HYPERLINK("http://www.lingerieopt.ru/item/10748-muzhskaya-futbolka-s-v-obraznjm-vjrezom/","10748")</f>
      </c>
      <c r="B9115" s="8" t="s">
        <v>8678</v>
      </c>
      <c r="C9115" s="9">
        <v>954</v>
      </c>
      <c r="D9115" s="0">
        <v>1</v>
      </c>
      <c r="E9115" s="10">
        <f>HYPERLINK("http://www.lingerieopt.ru/images/original/10fdc6b2-dfad-4457-9f45-acc0c06df118.jpg","Фото")</f>
      </c>
    </row>
    <row r="9116">
      <c r="A9116" s="7">
        <f>HYPERLINK("http://www.lingerieopt.ru/item/10748-muzhskaya-futbolka-s-v-obraznjm-vjrezom/","10748")</f>
      </c>
      <c r="B9116" s="8" t="s">
        <v>8679</v>
      </c>
      <c r="C9116" s="9">
        <v>954</v>
      </c>
      <c r="D9116" s="0">
        <v>3</v>
      </c>
      <c r="E9116" s="10">
        <f>HYPERLINK("http://www.lingerieopt.ru/images/original/10fdc6b2-dfad-4457-9f45-acc0c06df118.jpg","Фото")</f>
      </c>
    </row>
    <row r="9117">
      <c r="A9117" s="7">
        <f>HYPERLINK("http://www.lingerieopt.ru/item/10748-muzhskaya-futbolka-s-v-obraznjm-vjrezom/","10748")</f>
      </c>
      <c r="B9117" s="8" t="s">
        <v>8680</v>
      </c>
      <c r="C9117" s="9">
        <v>954</v>
      </c>
      <c r="D9117" s="0">
        <v>1</v>
      </c>
      <c r="E9117" s="10">
        <f>HYPERLINK("http://www.lingerieopt.ru/images/original/10fdc6b2-dfad-4457-9f45-acc0c06df118.jpg","Фото")</f>
      </c>
    </row>
    <row r="9118">
      <c r="A9118" s="7">
        <f>HYPERLINK("http://www.lingerieopt.ru/item/10748-muzhskaya-futbolka-s-v-obraznjm-vjrezom/","10748")</f>
      </c>
      <c r="B9118" s="8" t="s">
        <v>8681</v>
      </c>
      <c r="C9118" s="9">
        <v>954</v>
      </c>
      <c r="D9118" s="0">
        <v>3</v>
      </c>
      <c r="E9118" s="10">
        <f>HYPERLINK("http://www.lingerieopt.ru/images/original/10fdc6b2-dfad-4457-9f45-acc0c06df118.jpg","Фото")</f>
      </c>
    </row>
    <row r="9119">
      <c r="A9119" s="7">
        <f>HYPERLINK("http://www.lingerieopt.ru/item/10748-muzhskaya-futbolka-s-v-obraznjm-vjrezom/","10748")</f>
      </c>
      <c r="B9119" s="8" t="s">
        <v>8682</v>
      </c>
      <c r="C9119" s="9">
        <v>954</v>
      </c>
      <c r="D9119" s="0">
        <v>3</v>
      </c>
      <c r="E9119" s="10">
        <f>HYPERLINK("http://www.lingerieopt.ru/images/original/10fdc6b2-dfad-4457-9f45-acc0c06df118.jpg","Фото")</f>
      </c>
    </row>
    <row r="9120">
      <c r="A9120" s="7">
        <f>HYPERLINK("http://www.lingerieopt.ru/item/10748-muzhskaya-futbolka-s-v-obraznjm-vjrezom/","10748")</f>
      </c>
      <c r="B9120" s="8" t="s">
        <v>8683</v>
      </c>
      <c r="C9120" s="9">
        <v>954</v>
      </c>
      <c r="D9120" s="0">
        <v>3</v>
      </c>
      <c r="E9120" s="10">
        <f>HYPERLINK("http://www.lingerieopt.ru/images/original/10fdc6b2-dfad-4457-9f45-acc0c06df118.jpg","Фото")</f>
      </c>
    </row>
    <row r="9121">
      <c r="A9121" s="7">
        <f>HYPERLINK("http://www.lingerieopt.ru/item/10748-muzhskaya-futbolka-s-v-obraznjm-vjrezom/","10748")</f>
      </c>
      <c r="B9121" s="8" t="s">
        <v>8684</v>
      </c>
      <c r="C9121" s="9">
        <v>954</v>
      </c>
      <c r="D9121" s="0">
        <v>3</v>
      </c>
      <c r="E9121" s="10">
        <f>HYPERLINK("http://www.lingerieopt.ru/images/original/10fdc6b2-dfad-4457-9f45-acc0c06df118.jpg","Фото")</f>
      </c>
    </row>
    <row r="9122">
      <c r="A9122" s="7">
        <f>HYPERLINK("http://www.lingerieopt.ru/item/10748-muzhskaya-futbolka-s-v-obraznjm-vjrezom/","10748")</f>
      </c>
      <c r="B9122" s="8" t="s">
        <v>8685</v>
      </c>
      <c r="C9122" s="9">
        <v>954</v>
      </c>
      <c r="D9122" s="0">
        <v>3</v>
      </c>
      <c r="E9122" s="10">
        <f>HYPERLINK("http://www.lingerieopt.ru/images/original/10fdc6b2-dfad-4457-9f45-acc0c06df118.jpg","Фото")</f>
      </c>
    </row>
    <row r="9123">
      <c r="A9123" s="7">
        <f>HYPERLINK("http://www.lingerieopt.ru/item/10748-muzhskaya-futbolka-s-v-obraznjm-vjrezom/","10748")</f>
      </c>
      <c r="B9123" s="8" t="s">
        <v>8686</v>
      </c>
      <c r="C9123" s="9">
        <v>954</v>
      </c>
      <c r="D9123" s="0">
        <v>3</v>
      </c>
      <c r="E9123" s="10">
        <f>HYPERLINK("http://www.lingerieopt.ru/images/original/10fdc6b2-dfad-4457-9f45-acc0c06df118.jpg","Фото")</f>
      </c>
    </row>
    <row r="9124">
      <c r="A9124" s="7">
        <f>HYPERLINK("http://www.lingerieopt.ru/item/10748-muzhskaya-futbolka-s-v-obraznjm-vjrezom/","10748")</f>
      </c>
      <c r="B9124" s="8" t="s">
        <v>8687</v>
      </c>
      <c r="C9124" s="9">
        <v>954</v>
      </c>
      <c r="D9124" s="0">
        <v>1</v>
      </c>
      <c r="E9124" s="10">
        <f>HYPERLINK("http://www.lingerieopt.ru/images/original/10fdc6b2-dfad-4457-9f45-acc0c06df118.jpg","Фото")</f>
      </c>
    </row>
    <row r="9125">
      <c r="A9125" s="7">
        <f>HYPERLINK("http://www.lingerieopt.ru/item/10751-futbolka-iz-hlopkovo-modalnoi-tkani/","10751")</f>
      </c>
      <c r="B9125" s="8" t="s">
        <v>8688</v>
      </c>
      <c r="C9125" s="9">
        <v>964</v>
      </c>
      <c r="D9125" s="0">
        <v>1</v>
      </c>
      <c r="E9125" s="10">
        <f>HYPERLINK("http://www.lingerieopt.ru/images/original/0e61b89f-8223-4232-afbf-fd1a4d6d9161.jpg","Фото")</f>
      </c>
    </row>
    <row r="9126">
      <c r="A9126" s="7">
        <f>HYPERLINK("http://www.lingerieopt.ru/item/10751-futbolka-iz-hlopkovo-modalnoi-tkani/","10751")</f>
      </c>
      <c r="B9126" s="8" t="s">
        <v>8689</v>
      </c>
      <c r="C9126" s="9">
        <v>964</v>
      </c>
      <c r="D9126" s="0">
        <v>1</v>
      </c>
      <c r="E9126" s="10">
        <f>HYPERLINK("http://www.lingerieopt.ru/images/original/0e61b89f-8223-4232-afbf-fd1a4d6d9161.jpg","Фото")</f>
      </c>
    </row>
    <row r="9127">
      <c r="A9127" s="7">
        <f>HYPERLINK("http://www.lingerieopt.ru/item/10751-futbolka-iz-hlopkovo-modalnoi-tkani/","10751")</f>
      </c>
      <c r="B9127" s="8" t="s">
        <v>8690</v>
      </c>
      <c r="C9127" s="9">
        <v>964</v>
      </c>
      <c r="D9127" s="0">
        <v>3</v>
      </c>
      <c r="E9127" s="10">
        <f>HYPERLINK("http://www.lingerieopt.ru/images/original/0e61b89f-8223-4232-afbf-fd1a4d6d9161.jpg","Фото")</f>
      </c>
    </row>
    <row r="9128">
      <c r="A9128" s="7">
        <f>HYPERLINK("http://www.lingerieopt.ru/item/10751-futbolka-iz-hlopkovo-modalnoi-tkani/","10751")</f>
      </c>
      <c r="B9128" s="8" t="s">
        <v>8691</v>
      </c>
      <c r="C9128" s="9">
        <v>964</v>
      </c>
      <c r="D9128" s="0">
        <v>1</v>
      </c>
      <c r="E9128" s="10">
        <f>HYPERLINK("http://www.lingerieopt.ru/images/original/0e61b89f-8223-4232-afbf-fd1a4d6d9161.jpg","Фото")</f>
      </c>
    </row>
    <row r="9129">
      <c r="A9129" s="7">
        <f>HYPERLINK("http://www.lingerieopt.ru/item/10751-futbolka-iz-hlopkovo-modalnoi-tkani/","10751")</f>
      </c>
      <c r="B9129" s="8" t="s">
        <v>8692</v>
      </c>
      <c r="C9129" s="9">
        <v>964</v>
      </c>
      <c r="D9129" s="0">
        <v>3</v>
      </c>
      <c r="E9129" s="10">
        <f>HYPERLINK("http://www.lingerieopt.ru/images/original/0e61b89f-8223-4232-afbf-fd1a4d6d9161.jpg","Фото")</f>
      </c>
    </row>
    <row r="9130">
      <c r="A9130" s="7">
        <f>HYPERLINK("http://www.lingerieopt.ru/item/10751-futbolka-iz-hlopkovo-modalnoi-tkani/","10751")</f>
      </c>
      <c r="B9130" s="8" t="s">
        <v>8693</v>
      </c>
      <c r="C9130" s="9">
        <v>964</v>
      </c>
      <c r="D9130" s="0">
        <v>1</v>
      </c>
      <c r="E9130" s="10">
        <f>HYPERLINK("http://www.lingerieopt.ru/images/original/0e61b89f-8223-4232-afbf-fd1a4d6d9161.jpg","Фото")</f>
      </c>
    </row>
    <row r="9131">
      <c r="A9131" s="7">
        <f>HYPERLINK("http://www.lingerieopt.ru/item/10751-futbolka-iz-hlopkovo-modalnoi-tkani/","10751")</f>
      </c>
      <c r="B9131" s="8" t="s">
        <v>8694</v>
      </c>
      <c r="C9131" s="9">
        <v>964</v>
      </c>
      <c r="D9131" s="0">
        <v>3</v>
      </c>
      <c r="E9131" s="10">
        <f>HYPERLINK("http://www.lingerieopt.ru/images/original/0e61b89f-8223-4232-afbf-fd1a4d6d9161.jpg","Фото")</f>
      </c>
    </row>
    <row r="9132">
      <c r="A9132" s="7">
        <f>HYPERLINK("http://www.lingerieopt.ru/item/10751-futbolka-iz-hlopkovo-modalnoi-tkani/","10751")</f>
      </c>
      <c r="B9132" s="8" t="s">
        <v>8695</v>
      </c>
      <c r="C9132" s="9">
        <v>964</v>
      </c>
      <c r="D9132" s="0">
        <v>1</v>
      </c>
      <c r="E9132" s="10">
        <f>HYPERLINK("http://www.lingerieopt.ru/images/original/0e61b89f-8223-4232-afbf-fd1a4d6d9161.jpg","Фото")</f>
      </c>
    </row>
    <row r="9133">
      <c r="A9133" s="7">
        <f>HYPERLINK("http://www.lingerieopt.ru/item/10751-futbolka-iz-hlopkovo-modalnoi-tkani/","10751")</f>
      </c>
      <c r="B9133" s="8" t="s">
        <v>8696</v>
      </c>
      <c r="C9133" s="9">
        <v>964</v>
      </c>
      <c r="D9133" s="0">
        <v>2</v>
      </c>
      <c r="E9133" s="10">
        <f>HYPERLINK("http://www.lingerieopt.ru/images/original/0e61b89f-8223-4232-afbf-fd1a4d6d9161.jpg","Фото")</f>
      </c>
    </row>
    <row r="9134">
      <c r="A9134" s="7">
        <f>HYPERLINK("http://www.lingerieopt.ru/item/10751-futbolka-iz-hlopkovo-modalnoi-tkani/","10751")</f>
      </c>
      <c r="B9134" s="8" t="s">
        <v>8697</v>
      </c>
      <c r="C9134" s="9">
        <v>964</v>
      </c>
      <c r="D9134" s="0">
        <v>1</v>
      </c>
      <c r="E9134" s="10">
        <f>HYPERLINK("http://www.lingerieopt.ru/images/original/0e61b89f-8223-4232-afbf-fd1a4d6d9161.jpg","Фото")</f>
      </c>
    </row>
    <row r="9135">
      <c r="A9135" s="7">
        <f>HYPERLINK("http://www.lingerieopt.ru/item/10758-muzhskaya-obtyagivayuschaya-maika/","10758")</f>
      </c>
      <c r="B9135" s="8" t="s">
        <v>8698</v>
      </c>
      <c r="C9135" s="9">
        <v>846</v>
      </c>
      <c r="D9135" s="0">
        <v>1</v>
      </c>
      <c r="E9135" s="10">
        <f>HYPERLINK("http://www.lingerieopt.ru/images/original/b20b4134-1822-45dd-8d36-82bd6a19b30d.jpg","Фото")</f>
      </c>
    </row>
    <row r="9136">
      <c r="A9136" s="7">
        <f>HYPERLINK("http://www.lingerieopt.ru/item/10758-muzhskaya-obtyagivayuschaya-maika/","10758")</f>
      </c>
      <c r="B9136" s="8" t="s">
        <v>8699</v>
      </c>
      <c r="C9136" s="9">
        <v>846</v>
      </c>
      <c r="D9136" s="0">
        <v>3</v>
      </c>
      <c r="E9136" s="10">
        <f>HYPERLINK("http://www.lingerieopt.ru/images/original/b20b4134-1822-45dd-8d36-82bd6a19b30d.jpg","Фото")</f>
      </c>
    </row>
    <row r="9137">
      <c r="A9137" s="7">
        <f>HYPERLINK("http://www.lingerieopt.ru/item/10758-muzhskaya-obtyagivayuschaya-maika/","10758")</f>
      </c>
      <c r="B9137" s="8" t="s">
        <v>8700</v>
      </c>
      <c r="C9137" s="9">
        <v>846</v>
      </c>
      <c r="D9137" s="0">
        <v>1</v>
      </c>
      <c r="E9137" s="10">
        <f>HYPERLINK("http://www.lingerieopt.ru/images/original/b20b4134-1822-45dd-8d36-82bd6a19b30d.jpg","Фото")</f>
      </c>
    </row>
    <row r="9138">
      <c r="A9138" s="7">
        <f>HYPERLINK("http://www.lingerieopt.ru/item/10758-muzhskaya-obtyagivayuschaya-maika/","10758")</f>
      </c>
      <c r="B9138" s="8" t="s">
        <v>8701</v>
      </c>
      <c r="C9138" s="9">
        <v>846</v>
      </c>
      <c r="D9138" s="0">
        <v>1</v>
      </c>
      <c r="E9138" s="10">
        <f>HYPERLINK("http://www.lingerieopt.ru/images/original/b20b4134-1822-45dd-8d36-82bd6a19b30d.jpg","Фото")</f>
      </c>
    </row>
    <row r="9139">
      <c r="A9139" s="7">
        <f>HYPERLINK("http://www.lingerieopt.ru/item/10758-muzhskaya-obtyagivayuschaya-maika/","10758")</f>
      </c>
      <c r="B9139" s="8" t="s">
        <v>8702</v>
      </c>
      <c r="C9139" s="9">
        <v>846</v>
      </c>
      <c r="D9139" s="0">
        <v>3</v>
      </c>
      <c r="E9139" s="10">
        <f>HYPERLINK("http://www.lingerieopt.ru/images/original/b20b4134-1822-45dd-8d36-82bd6a19b30d.jpg","Фото")</f>
      </c>
    </row>
    <row r="9140">
      <c r="A9140" s="7">
        <f>HYPERLINK("http://www.lingerieopt.ru/item/10758-muzhskaya-obtyagivayuschaya-maika/","10758")</f>
      </c>
      <c r="B9140" s="8" t="s">
        <v>8703</v>
      </c>
      <c r="C9140" s="9">
        <v>846</v>
      </c>
      <c r="D9140" s="0">
        <v>3</v>
      </c>
      <c r="E9140" s="10">
        <f>HYPERLINK("http://www.lingerieopt.ru/images/original/b20b4134-1822-45dd-8d36-82bd6a19b30d.jpg","Фото")</f>
      </c>
    </row>
    <row r="9141">
      <c r="A9141" s="7">
        <f>HYPERLINK("http://www.lingerieopt.ru/item/10758-muzhskaya-obtyagivayuschaya-maika/","10758")</f>
      </c>
      <c r="B9141" s="8" t="s">
        <v>8704</v>
      </c>
      <c r="C9141" s="9">
        <v>846</v>
      </c>
      <c r="D9141" s="0">
        <v>1</v>
      </c>
      <c r="E9141" s="10">
        <f>HYPERLINK("http://www.lingerieopt.ru/images/original/b20b4134-1822-45dd-8d36-82bd6a19b30d.jpg","Фото")</f>
      </c>
    </row>
    <row r="9142">
      <c r="A9142" s="7">
        <f>HYPERLINK("http://www.lingerieopt.ru/item/10758-muzhskaya-obtyagivayuschaya-maika/","10758")</f>
      </c>
      <c r="B9142" s="8" t="s">
        <v>8705</v>
      </c>
      <c r="C9142" s="9">
        <v>846</v>
      </c>
      <c r="D9142" s="0">
        <v>3</v>
      </c>
      <c r="E9142" s="10">
        <f>HYPERLINK("http://www.lingerieopt.ru/images/original/b20b4134-1822-45dd-8d36-82bd6a19b30d.jpg","Фото")</f>
      </c>
    </row>
    <row r="9143">
      <c r="A9143" s="7">
        <f>HYPERLINK("http://www.lingerieopt.ru/item/10758-muzhskaya-obtyagivayuschaya-maika/","10758")</f>
      </c>
      <c r="B9143" s="8" t="s">
        <v>8706</v>
      </c>
      <c r="C9143" s="9">
        <v>846</v>
      </c>
      <c r="D9143" s="0">
        <v>1</v>
      </c>
      <c r="E9143" s="10">
        <f>HYPERLINK("http://www.lingerieopt.ru/images/original/b20b4134-1822-45dd-8d36-82bd6a19b30d.jpg","Фото")</f>
      </c>
    </row>
    <row r="9144">
      <c r="A9144" s="7">
        <f>HYPERLINK("http://www.lingerieopt.ru/item/10758-muzhskaya-obtyagivayuschaya-maika/","10758")</f>
      </c>
      <c r="B9144" s="8" t="s">
        <v>8707</v>
      </c>
      <c r="C9144" s="9">
        <v>846</v>
      </c>
      <c r="D9144" s="0">
        <v>3</v>
      </c>
      <c r="E9144" s="10">
        <f>HYPERLINK("http://www.lingerieopt.ru/images/original/b20b4134-1822-45dd-8d36-82bd6a19b30d.jpg","Фото")</f>
      </c>
    </row>
    <row r="9145">
      <c r="A9145" s="7">
        <f>HYPERLINK("http://www.lingerieopt.ru/item/10770-poluprozrachnaya-maika-iz-hlopka/","10770")</f>
      </c>
      <c r="B9145" s="8" t="s">
        <v>8708</v>
      </c>
      <c r="C9145" s="9">
        <v>990</v>
      </c>
      <c r="D9145" s="0">
        <v>3</v>
      </c>
      <c r="E9145" s="10">
        <f>HYPERLINK("http://www.lingerieopt.ru/images/original/92d82338-a247-4fe1-bdc5-64459b86304d.jpg","Фото")</f>
      </c>
    </row>
    <row r="9146">
      <c r="A9146" s="7">
        <f>HYPERLINK("http://www.lingerieopt.ru/item/10770-poluprozrachnaya-maika-iz-hlopka/","10770")</f>
      </c>
      <c r="B9146" s="8" t="s">
        <v>8709</v>
      </c>
      <c r="C9146" s="9">
        <v>990</v>
      </c>
      <c r="D9146" s="0">
        <v>3</v>
      </c>
      <c r="E9146" s="10">
        <f>HYPERLINK("http://www.lingerieopt.ru/images/original/92d82338-a247-4fe1-bdc5-64459b86304d.jpg","Фото")</f>
      </c>
    </row>
    <row r="9147">
      <c r="A9147" s="7">
        <f>HYPERLINK("http://www.lingerieopt.ru/item/10770-poluprozrachnaya-maika-iz-hlopka/","10770")</f>
      </c>
      <c r="B9147" s="8" t="s">
        <v>8710</v>
      </c>
      <c r="C9147" s="9">
        <v>990</v>
      </c>
      <c r="D9147" s="0">
        <v>3</v>
      </c>
      <c r="E9147" s="10">
        <f>HYPERLINK("http://www.lingerieopt.ru/images/original/92d82338-a247-4fe1-bdc5-64459b86304d.jpg","Фото")</f>
      </c>
    </row>
    <row r="9148">
      <c r="A9148" s="7">
        <f>HYPERLINK("http://www.lingerieopt.ru/item/10770-poluprozrachnaya-maika-iz-hlopka/","10770")</f>
      </c>
      <c r="B9148" s="8" t="s">
        <v>8711</v>
      </c>
      <c r="C9148" s="9">
        <v>990</v>
      </c>
      <c r="D9148" s="0">
        <v>3</v>
      </c>
      <c r="E9148" s="10">
        <f>HYPERLINK("http://www.lingerieopt.ru/images/original/92d82338-a247-4fe1-bdc5-64459b86304d.jpg","Фото")</f>
      </c>
    </row>
    <row r="9149">
      <c r="A9149" s="7">
        <f>HYPERLINK("http://www.lingerieopt.ru/item/10770-poluprozrachnaya-maika-iz-hlopka/","10770")</f>
      </c>
      <c r="B9149" s="8" t="s">
        <v>8712</v>
      </c>
      <c r="C9149" s="9">
        <v>990</v>
      </c>
      <c r="D9149" s="0">
        <v>3</v>
      </c>
      <c r="E9149" s="10">
        <f>HYPERLINK("http://www.lingerieopt.ru/images/original/92d82338-a247-4fe1-bdc5-64459b86304d.jpg","Фото")</f>
      </c>
    </row>
    <row r="9150">
      <c r="A9150" s="7">
        <f>HYPERLINK("http://www.lingerieopt.ru/item/10770-poluprozrachnaya-maika-iz-hlopka/","10770")</f>
      </c>
      <c r="B9150" s="8" t="s">
        <v>8713</v>
      </c>
      <c r="C9150" s="9">
        <v>990</v>
      </c>
      <c r="D9150" s="0">
        <v>3</v>
      </c>
      <c r="E9150" s="10">
        <f>HYPERLINK("http://www.lingerieopt.ru/images/original/92d82338-a247-4fe1-bdc5-64459b86304d.jpg","Фото")</f>
      </c>
    </row>
    <row r="9151">
      <c r="A9151" s="7">
        <f>HYPERLINK("http://www.lingerieopt.ru/item/10770-poluprozrachnaya-maika-iz-hlopka/","10770")</f>
      </c>
      <c r="B9151" s="8" t="s">
        <v>8714</v>
      </c>
      <c r="C9151" s="9">
        <v>990</v>
      </c>
      <c r="D9151" s="0">
        <v>3</v>
      </c>
      <c r="E9151" s="10">
        <f>HYPERLINK("http://www.lingerieopt.ru/images/original/92d82338-a247-4fe1-bdc5-64459b86304d.jpg","Фото")</f>
      </c>
    </row>
    <row r="9152">
      <c r="A9152" s="7">
        <f>HYPERLINK("http://www.lingerieopt.ru/item/10770-poluprozrachnaya-maika-iz-hlopka/","10770")</f>
      </c>
      <c r="B9152" s="8" t="s">
        <v>8715</v>
      </c>
      <c r="C9152" s="9">
        <v>990</v>
      </c>
      <c r="D9152" s="0">
        <v>1</v>
      </c>
      <c r="E9152" s="10">
        <f>HYPERLINK("http://www.lingerieopt.ru/images/original/92d82338-a247-4fe1-bdc5-64459b86304d.jpg","Фото")</f>
      </c>
    </row>
    <row r="9153">
      <c r="A9153" s="7">
        <f>HYPERLINK("http://www.lingerieopt.ru/item/10770-poluprozrachnaya-maika-iz-hlopka/","10770")</f>
      </c>
      <c r="B9153" s="8" t="s">
        <v>8716</v>
      </c>
      <c r="C9153" s="9">
        <v>990</v>
      </c>
      <c r="D9153" s="0">
        <v>1</v>
      </c>
      <c r="E9153" s="10">
        <f>HYPERLINK("http://www.lingerieopt.ru/images/original/92d82338-a247-4fe1-bdc5-64459b86304d.jpg","Фото")</f>
      </c>
    </row>
    <row r="9154">
      <c r="A9154" s="7">
        <f>HYPERLINK("http://www.lingerieopt.ru/item/10770-poluprozrachnaya-maika-iz-hlopka/","10770")</f>
      </c>
      <c r="B9154" s="8" t="s">
        <v>8717</v>
      </c>
      <c r="C9154" s="9">
        <v>990</v>
      </c>
      <c r="D9154" s="0">
        <v>1</v>
      </c>
      <c r="E9154" s="10">
        <f>HYPERLINK("http://www.lingerieopt.ru/images/original/92d82338-a247-4fe1-bdc5-64459b86304d.jpg","Фото")</f>
      </c>
    </row>
    <row r="9155">
      <c r="A9155" s="7">
        <f>HYPERLINK("http://www.lingerieopt.ru/item/10799-stilnaya-muzhskaya-portupeya-na-odno-plecho/","10799")</f>
      </c>
      <c r="B9155" s="8" t="s">
        <v>8718</v>
      </c>
      <c r="C9155" s="9">
        <v>960</v>
      </c>
      <c r="D9155" s="0">
        <v>7</v>
      </c>
      <c r="E9155" s="10">
        <f>HYPERLINK("http://www.lingerieopt.ru/images/original/2fa3a53e-2d0b-4105-a066-4bf8f5e2517c.jpg","Фото")</f>
      </c>
    </row>
    <row r="9156">
      <c r="A9156" s="7">
        <f>HYPERLINK("http://www.lingerieopt.ru/item/10799-stilnaya-muzhskaya-portupeya-na-odno-plecho/","10799")</f>
      </c>
      <c r="B9156" s="8" t="s">
        <v>8719</v>
      </c>
      <c r="C9156" s="9">
        <v>960</v>
      </c>
      <c r="D9156" s="0">
        <v>6</v>
      </c>
      <c r="E9156" s="10">
        <f>HYPERLINK("http://www.lingerieopt.ru/images/original/2fa3a53e-2d0b-4105-a066-4bf8f5e2517c.jpg","Фото")</f>
      </c>
    </row>
    <row r="9157">
      <c r="A9157" s="7">
        <f>HYPERLINK("http://www.lingerieopt.ru/item/10799-stilnaya-muzhskaya-portupeya-na-odno-plecho/","10799")</f>
      </c>
      <c r="B9157" s="8" t="s">
        <v>8720</v>
      </c>
      <c r="C9157" s="9">
        <v>960</v>
      </c>
      <c r="D9157" s="0">
        <v>3</v>
      </c>
      <c r="E9157" s="10">
        <f>HYPERLINK("http://www.lingerieopt.ru/images/original/2fa3a53e-2d0b-4105-a066-4bf8f5e2517c.jpg","Фото")</f>
      </c>
    </row>
    <row r="9158">
      <c r="A9158" s="7">
        <f>HYPERLINK("http://www.lingerieopt.ru/item/10800-elastichnaya-muzhskaya-portupeya-na-plechi/","10800")</f>
      </c>
      <c r="B9158" s="8" t="s">
        <v>8721</v>
      </c>
      <c r="C9158" s="9">
        <v>635</v>
      </c>
      <c r="D9158" s="0">
        <v>2</v>
      </c>
      <c r="E9158" s="10">
        <f>HYPERLINK("http://www.lingerieopt.ru/images/original/b0862015-7a74-4d73-8e30-4ab2f9a82b5e.jpg","Фото")</f>
      </c>
    </row>
    <row r="9159">
      <c r="A9159" s="7">
        <f>HYPERLINK("http://www.lingerieopt.ru/item/10800-elastichnaya-muzhskaya-portupeya-na-plechi/","10800")</f>
      </c>
      <c r="B9159" s="8" t="s">
        <v>8722</v>
      </c>
      <c r="C9159" s="9">
        <v>635</v>
      </c>
      <c r="D9159" s="0">
        <v>4</v>
      </c>
      <c r="E9159" s="10">
        <f>HYPERLINK("http://www.lingerieopt.ru/images/original/b0862015-7a74-4d73-8e30-4ab2f9a82b5e.jpg","Фото")</f>
      </c>
    </row>
    <row r="9160">
      <c r="A9160" s="7">
        <f>HYPERLINK("http://www.lingerieopt.ru/item/10800-elastichnaya-muzhskaya-portupeya-na-plechi/","10800")</f>
      </c>
      <c r="B9160" s="8" t="s">
        <v>8723</v>
      </c>
      <c r="C9160" s="9">
        <v>635</v>
      </c>
      <c r="D9160" s="0">
        <v>5</v>
      </c>
      <c r="E9160" s="10">
        <f>HYPERLINK("http://www.lingerieopt.ru/images/original/b0862015-7a74-4d73-8e30-4ab2f9a82b5e.jpg","Фото")</f>
      </c>
    </row>
    <row r="9161">
      <c r="A9161" s="5"/>
      <c r="B9161" s="6" t="s">
        <v>8724</v>
      </c>
      <c r="C9161" s="5"/>
      <c r="D9161" s="5"/>
      <c r="E9161" s="5"/>
    </row>
    <row r="9162">
      <c r="A9162" s="7">
        <f>HYPERLINK("http://www.lingerieopt.ru/item/411-muzhskie-trusiki-string/","411")</f>
      </c>
      <c r="B9162" s="8" t="s">
        <v>8725</v>
      </c>
      <c r="C9162" s="9">
        <v>413</v>
      </c>
      <c r="D9162" s="0">
        <v>3</v>
      </c>
      <c r="E9162" s="10">
        <f>HYPERLINK("http://www.lingerieopt.ru/images/original/88d94683-dda5-4f30-b68f-d85d7df1f243.jpg","Фото")</f>
      </c>
    </row>
    <row r="9163">
      <c r="A9163" s="7">
        <f>HYPERLINK("http://www.lingerieopt.ru/item/411-muzhskie-trusiki-string/","411")</f>
      </c>
      <c r="B9163" s="8" t="s">
        <v>8726</v>
      </c>
      <c r="C9163" s="9">
        <v>413</v>
      </c>
      <c r="D9163" s="0">
        <v>4</v>
      </c>
      <c r="E9163" s="10">
        <f>HYPERLINK("http://www.lingerieopt.ru/images/original/88d94683-dda5-4f30-b68f-d85d7df1f243.jpg","Фото")</f>
      </c>
    </row>
    <row r="9164">
      <c r="A9164" s="7">
        <f>HYPERLINK("http://www.lingerieopt.ru/item/413-muzhskie-stringi-s-kolechkami/","413")</f>
      </c>
      <c r="B9164" s="8" t="s">
        <v>8727</v>
      </c>
      <c r="C9164" s="9">
        <v>528</v>
      </c>
      <c r="D9164" s="0">
        <v>3</v>
      </c>
      <c r="E9164" s="10">
        <f>HYPERLINK("http://www.lingerieopt.ru/images/original/d752e60b-251a-4fa4-8123-8ef1948a40d9.jpg","Фото")</f>
      </c>
    </row>
    <row r="9165">
      <c r="A9165" s="7">
        <f>HYPERLINK("http://www.lingerieopt.ru/item/413-muzhskie-stringi-s-kolechkami/","413")</f>
      </c>
      <c r="B9165" s="8" t="s">
        <v>8728</v>
      </c>
      <c r="C9165" s="9">
        <v>528</v>
      </c>
      <c r="D9165" s="0">
        <v>2</v>
      </c>
      <c r="E9165" s="10">
        <f>HYPERLINK("http://www.lingerieopt.ru/images/original/d752e60b-251a-4fa4-8123-8ef1948a40d9.jpg","Фото")</f>
      </c>
    </row>
    <row r="9166">
      <c r="A9166" s="7">
        <f>HYPERLINK("http://www.lingerieopt.ru/item/414-muzhskie-stringi-s-animalisticheskim-printom-zebra-ili-zmeya/","414")</f>
      </c>
      <c r="B9166" s="8" t="s">
        <v>8729</v>
      </c>
      <c r="C9166" s="9">
        <v>578</v>
      </c>
      <c r="D9166" s="0">
        <v>3</v>
      </c>
      <c r="E9166" s="10">
        <f>HYPERLINK("http://www.lingerieopt.ru/images/original/fc1762e8-6458-4966-b71d-559504e237ea.jpg","Фото")</f>
      </c>
    </row>
    <row r="9167">
      <c r="A9167" s="7">
        <f>HYPERLINK("http://www.lingerieopt.ru/item/414-muzhskie-stringi-s-animalisticheskim-printom-zebra-ili-zmeya/","414")</f>
      </c>
      <c r="B9167" s="8" t="s">
        <v>8730</v>
      </c>
      <c r="C9167" s="9">
        <v>578</v>
      </c>
      <c r="D9167" s="0">
        <v>4</v>
      </c>
      <c r="E9167" s="10">
        <f>HYPERLINK("http://www.lingerieopt.ru/images/original/fc1762e8-6458-4966-b71d-559504e237ea.jpg","Фото")</f>
      </c>
    </row>
    <row r="9168">
      <c r="A9168" s="7">
        <f>HYPERLINK("http://www.lingerieopt.ru/item/417-muzhskie-trusj-s-otkrjtoi-popoi/","417")</f>
      </c>
      <c r="B9168" s="8" t="s">
        <v>8731</v>
      </c>
      <c r="C9168" s="9">
        <v>858</v>
      </c>
      <c r="D9168" s="0">
        <v>2</v>
      </c>
      <c r="E9168" s="10">
        <f>HYPERLINK("http://www.lingerieopt.ru/images/original/71c7da07-44be-42c6-940b-ba7499458eae.jpg","Фото")</f>
      </c>
    </row>
    <row r="9169">
      <c r="A9169" s="7">
        <f>HYPERLINK("http://www.lingerieopt.ru/item/417-muzhskie-trusj-s-otkrjtoi-popoi/","417")</f>
      </c>
      <c r="B9169" s="8" t="s">
        <v>8732</v>
      </c>
      <c r="C9169" s="9">
        <v>858</v>
      </c>
      <c r="D9169" s="0">
        <v>0</v>
      </c>
      <c r="E9169" s="10">
        <f>HYPERLINK("http://www.lingerieopt.ru/images/original/71c7da07-44be-42c6-940b-ba7499458eae.jpg","Фото")</f>
      </c>
    </row>
    <row r="9170">
      <c r="A9170" s="7">
        <f>HYPERLINK("http://www.lingerieopt.ru/item/417-muzhskie-trusj-s-otkrjtoi-popoi/","417")</f>
      </c>
      <c r="B9170" s="8" t="s">
        <v>8733</v>
      </c>
      <c r="C9170" s="9">
        <v>858</v>
      </c>
      <c r="D9170" s="0">
        <v>2</v>
      </c>
      <c r="E9170" s="10">
        <f>HYPERLINK("http://www.lingerieopt.ru/images/original/71c7da07-44be-42c6-940b-ba7499458eae.jpg","Фото")</f>
      </c>
    </row>
    <row r="9171">
      <c r="A9171" s="7">
        <f>HYPERLINK("http://www.lingerieopt.ru/item/417-muzhskie-trusj-s-otkrjtoi-popoi/","417")</f>
      </c>
      <c r="B9171" s="8" t="s">
        <v>8734</v>
      </c>
      <c r="C9171" s="9">
        <v>858</v>
      </c>
      <c r="D9171" s="0">
        <v>5</v>
      </c>
      <c r="E9171" s="10">
        <f>HYPERLINK("http://www.lingerieopt.ru/images/original/71c7da07-44be-42c6-940b-ba7499458eae.jpg","Фото")</f>
      </c>
    </row>
    <row r="9172">
      <c r="A9172" s="7">
        <f>HYPERLINK("http://www.lingerieopt.ru/item/420-raduzhnje-muzhskie-stringi/","420")</f>
      </c>
      <c r="B9172" s="8" t="s">
        <v>8735</v>
      </c>
      <c r="C9172" s="9">
        <v>544</v>
      </c>
      <c r="D9172" s="0">
        <v>0</v>
      </c>
      <c r="E9172" s="10">
        <f>HYPERLINK("http://www.lingerieopt.ru/images/original/6f7d9878-f002-49d5-9a00-be8f53656b3f.jpg","Фото")</f>
      </c>
    </row>
    <row r="9173">
      <c r="A9173" s="7">
        <f>HYPERLINK("http://www.lingerieopt.ru/item/420-raduzhnje-muzhskie-stringi/","420")</f>
      </c>
      <c r="B9173" s="8" t="s">
        <v>8736</v>
      </c>
      <c r="C9173" s="9">
        <v>544</v>
      </c>
      <c r="D9173" s="0">
        <v>3</v>
      </c>
      <c r="E9173" s="10">
        <f>HYPERLINK("http://www.lingerieopt.ru/images/original/6f7d9878-f002-49d5-9a00-be8f53656b3f.jpg","Фото")</f>
      </c>
    </row>
    <row r="9174">
      <c r="A9174" s="7">
        <f>HYPERLINK("http://www.lingerieopt.ru/item/420-raduzhnje-muzhskie-stringi/","420")</f>
      </c>
      <c r="B9174" s="8" t="s">
        <v>8737</v>
      </c>
      <c r="C9174" s="9">
        <v>544</v>
      </c>
      <c r="D9174" s="0">
        <v>0</v>
      </c>
      <c r="E9174" s="10">
        <f>HYPERLINK("http://www.lingerieopt.ru/images/original/6f7d9878-f002-49d5-9a00-be8f53656b3f.jpg","Фото")</f>
      </c>
    </row>
    <row r="9175">
      <c r="A9175" s="7">
        <f>HYPERLINK("http://www.lingerieopt.ru/item/420-raduzhnje-muzhskie-stringi/","420")</f>
      </c>
      <c r="B9175" s="8" t="s">
        <v>8738</v>
      </c>
      <c r="C9175" s="9">
        <v>544</v>
      </c>
      <c r="D9175" s="0">
        <v>0</v>
      </c>
      <c r="E9175" s="10">
        <f>HYPERLINK("http://www.lingerieopt.ru/images/original/6f7d9878-f002-49d5-9a00-be8f53656b3f.jpg","Фото")</f>
      </c>
    </row>
    <row r="9176">
      <c r="A9176" s="7">
        <f>HYPERLINK("http://www.lingerieopt.ru/item/420-raduzhnje-muzhskie-stringi/","420")</f>
      </c>
      <c r="B9176" s="8" t="s">
        <v>8739</v>
      </c>
      <c r="C9176" s="9">
        <v>544</v>
      </c>
      <c r="D9176" s="0">
        <v>0</v>
      </c>
      <c r="E9176" s="10">
        <f>HYPERLINK("http://www.lingerieopt.ru/images/original/6f7d9878-f002-49d5-9a00-be8f53656b3f.jpg","Фото")</f>
      </c>
    </row>
    <row r="9177">
      <c r="A9177" s="7">
        <f>HYPERLINK("http://www.lingerieopt.ru/item/420-raduzhnje-muzhskie-stringi/","420")</f>
      </c>
      <c r="B9177" s="8" t="s">
        <v>8740</v>
      </c>
      <c r="C9177" s="9">
        <v>544</v>
      </c>
      <c r="D9177" s="0">
        <v>0</v>
      </c>
      <c r="E9177" s="10">
        <f>HYPERLINK("http://www.lingerieopt.ru/images/original/6f7d9878-f002-49d5-9a00-be8f53656b3f.jpg","Фото")</f>
      </c>
    </row>
    <row r="9178">
      <c r="A9178" s="7">
        <f>HYPERLINK("http://www.lingerieopt.ru/item/421-muzhskie-stringi-na-zamochke/","421")</f>
      </c>
      <c r="B9178" s="8" t="s">
        <v>8741</v>
      </c>
      <c r="C9178" s="9">
        <v>818</v>
      </c>
      <c r="D9178" s="0">
        <v>0</v>
      </c>
      <c r="E9178" s="10">
        <f>HYPERLINK("http://www.lingerieopt.ru/images/original/e6cbc23c-6b04-481f-a5f2-147819fd9556.jpg","Фото")</f>
      </c>
    </row>
    <row r="9179">
      <c r="A9179" s="7">
        <f>HYPERLINK("http://www.lingerieopt.ru/item/421-muzhskie-stringi-na-zamochke/","421")</f>
      </c>
      <c r="B9179" s="8" t="s">
        <v>8742</v>
      </c>
      <c r="C9179" s="9">
        <v>818</v>
      </c>
      <c r="D9179" s="0">
        <v>5</v>
      </c>
      <c r="E9179" s="10">
        <f>HYPERLINK("http://www.lingerieopt.ru/images/original/e6cbc23c-6b04-481f-a5f2-147819fd9556.jpg","Фото")</f>
      </c>
    </row>
    <row r="9180">
      <c r="A9180" s="7">
        <f>HYPERLINK("http://www.lingerieopt.ru/item/421-muzhskie-stringi-na-zamochke/","421")</f>
      </c>
      <c r="B9180" s="8" t="s">
        <v>8743</v>
      </c>
      <c r="C9180" s="9">
        <v>818</v>
      </c>
      <c r="D9180" s="0">
        <v>2</v>
      </c>
      <c r="E9180" s="10">
        <f>HYPERLINK("http://www.lingerieopt.ru/images/original/e6cbc23c-6b04-481f-a5f2-147819fd9556.jpg","Фото")</f>
      </c>
    </row>
    <row r="9181">
      <c r="A9181" s="7">
        <f>HYPERLINK("http://www.lingerieopt.ru/item/1138-muzhskie-stringi-na-molnii/","1138")</f>
      </c>
      <c r="B9181" s="8" t="s">
        <v>8744</v>
      </c>
      <c r="C9181" s="9">
        <v>640</v>
      </c>
      <c r="D9181" s="0">
        <v>9</v>
      </c>
      <c r="E9181" s="10">
        <f>HYPERLINK("http://www.lingerieopt.ru/images/original/1326c01c-d2a8-4808-ac63-6d620202102c.jpg","Фото")</f>
      </c>
    </row>
    <row r="9182">
      <c r="A9182" s="7">
        <f>HYPERLINK("http://www.lingerieopt.ru/item/1139-trusj-stringi-so-slonom/","1139")</f>
      </c>
      <c r="B9182" s="8" t="s">
        <v>8745</v>
      </c>
      <c r="C9182" s="9">
        <v>756</v>
      </c>
      <c r="D9182" s="0">
        <v>0</v>
      </c>
      <c r="E9182" s="10">
        <f>HYPERLINK("http://www.lingerieopt.ru/images/original/36fe93d2-cf93-4d49-a04b-a4a1d9469430.jpg","Фото")</f>
      </c>
    </row>
    <row r="9183">
      <c r="A9183" s="7">
        <f>HYPERLINK("http://www.lingerieopt.ru/item/1139-trusj-stringi-so-slonom/","1139")</f>
      </c>
      <c r="B9183" s="8" t="s">
        <v>8746</v>
      </c>
      <c r="C9183" s="9">
        <v>756</v>
      </c>
      <c r="D9183" s="0">
        <v>3</v>
      </c>
      <c r="E9183" s="10">
        <f>HYPERLINK("http://www.lingerieopt.ru/images/original/36fe93d2-cf93-4d49-a04b-a4a1d9469430.jpg","Фото")</f>
      </c>
    </row>
    <row r="9184">
      <c r="A9184" s="7">
        <f>HYPERLINK("http://www.lingerieopt.ru/item/1139-trusj-stringi-so-slonom/","1139")</f>
      </c>
      <c r="B9184" s="8" t="s">
        <v>8747</v>
      </c>
      <c r="C9184" s="9">
        <v>756</v>
      </c>
      <c r="D9184" s="0">
        <v>0</v>
      </c>
      <c r="E9184" s="10">
        <f>HYPERLINK("http://www.lingerieopt.ru/images/original/36fe93d2-cf93-4d49-a04b-a4a1d9469430.jpg","Фото")</f>
      </c>
    </row>
    <row r="9185">
      <c r="A9185" s="7">
        <f>HYPERLINK("http://www.lingerieopt.ru/item/1139-trusj-stringi-so-slonom/","1139")</f>
      </c>
      <c r="B9185" s="8" t="s">
        <v>8748</v>
      </c>
      <c r="C9185" s="9">
        <v>756</v>
      </c>
      <c r="D9185" s="0">
        <v>4</v>
      </c>
      <c r="E9185" s="10">
        <f>HYPERLINK("http://www.lingerieopt.ru/images/original/36fe93d2-cf93-4d49-a04b-a4a1d9469430.jpg","Фото")</f>
      </c>
    </row>
    <row r="9186">
      <c r="A9186" s="7">
        <f>HYPERLINK("http://www.lingerieopt.ru/item/1140-muzhskie-stringi-smoking/","1140")</f>
      </c>
      <c r="B9186" s="8" t="s">
        <v>8749</v>
      </c>
      <c r="C9186" s="9">
        <v>552</v>
      </c>
      <c r="D9186" s="0">
        <v>0</v>
      </c>
      <c r="E9186" s="10">
        <f>HYPERLINK("http://www.lingerieopt.ru/images/original/b188454c-edf3-446a-832d-8318a7909281.jpg","Фото")</f>
      </c>
    </row>
    <row r="9187">
      <c r="A9187" s="7">
        <f>HYPERLINK("http://www.lingerieopt.ru/item/1140-muzhskie-stringi-smoking/","1140")</f>
      </c>
      <c r="B9187" s="8" t="s">
        <v>8750</v>
      </c>
      <c r="C9187" s="9">
        <v>552</v>
      </c>
      <c r="D9187" s="0">
        <v>11</v>
      </c>
      <c r="E9187" s="10">
        <f>HYPERLINK("http://www.lingerieopt.ru/images/original/b188454c-edf3-446a-832d-8318a7909281.jpg","Фото")</f>
      </c>
    </row>
    <row r="9188">
      <c r="A9188" s="7">
        <f>HYPERLINK("http://www.lingerieopt.ru/item/1141-stringi-s-bretelyami-na-kolcah/","1141")</f>
      </c>
      <c r="B9188" s="8" t="s">
        <v>8751</v>
      </c>
      <c r="C9188" s="9">
        <v>465</v>
      </c>
      <c r="D9188" s="0">
        <v>8</v>
      </c>
      <c r="E9188" s="10">
        <f>HYPERLINK("http://www.lingerieopt.ru/images/original/d3177de1-227e-4d4f-8a56-2bd57ac05bd9.jpg","Фото")</f>
      </c>
    </row>
    <row r="9189">
      <c r="A9189" s="7">
        <f>HYPERLINK("http://www.lingerieopt.ru/item/1141-stringi-s-bretelyami-na-kolcah/","1141")</f>
      </c>
      <c r="B9189" s="8" t="s">
        <v>8752</v>
      </c>
      <c r="C9189" s="9">
        <v>465</v>
      </c>
      <c r="D9189" s="0">
        <v>4</v>
      </c>
      <c r="E9189" s="10">
        <f>HYPERLINK("http://www.lingerieopt.ru/images/original/d3177de1-227e-4d4f-8a56-2bd57ac05bd9.jpg","Фото")</f>
      </c>
    </row>
    <row r="9190">
      <c r="A9190" s="7">
        <f>HYPERLINK("http://www.lingerieopt.ru/item/1143-muzhskie-stringi-s-kontrastnjmi-bretelyami/","1143")</f>
      </c>
      <c r="B9190" s="8" t="s">
        <v>8753</v>
      </c>
      <c r="C9190" s="9">
        <v>550</v>
      </c>
      <c r="D9190" s="0">
        <v>6</v>
      </c>
      <c r="E9190" s="10">
        <f>HYPERLINK("http://www.lingerieopt.ru/images/original/800bc7e6-61ca-4464-8b33-cf73016804ae.jpg","Фото")</f>
      </c>
    </row>
    <row r="9191">
      <c r="A9191" s="7">
        <f>HYPERLINK("http://www.lingerieopt.ru/item/1145-muzhskie-stringi-na-zastezhke/","1145")</f>
      </c>
      <c r="B9191" s="8" t="s">
        <v>8754</v>
      </c>
      <c r="C9191" s="9">
        <v>756</v>
      </c>
      <c r="D9191" s="0">
        <v>15</v>
      </c>
      <c r="E9191" s="10">
        <f>HYPERLINK("http://www.lingerieopt.ru/images/original/70726f41-e1fd-433a-a03b-03b40c02c44e.jpg","Фото")</f>
      </c>
    </row>
    <row r="9192">
      <c r="A9192" s="7">
        <f>HYPERLINK("http://www.lingerieopt.ru/item/1145-muzhskie-stringi-na-zastezhke/","1145")</f>
      </c>
      <c r="B9192" s="8" t="s">
        <v>8755</v>
      </c>
      <c r="C9192" s="9">
        <v>756</v>
      </c>
      <c r="D9192" s="0">
        <v>3</v>
      </c>
      <c r="E9192" s="10">
        <f>HYPERLINK("http://www.lingerieopt.ru/images/original/70726f41-e1fd-433a-a03b-03b40c02c44e.jpg","Фото")</f>
      </c>
    </row>
    <row r="9193">
      <c r="A9193" s="7">
        <f>HYPERLINK("http://www.lingerieopt.ru/item/1145-muzhskie-stringi-na-zastezhke/","1145")</f>
      </c>
      <c r="B9193" s="8" t="s">
        <v>8756</v>
      </c>
      <c r="C9193" s="9">
        <v>756</v>
      </c>
      <c r="D9193" s="0">
        <v>4</v>
      </c>
      <c r="E9193" s="10">
        <f>HYPERLINK("http://www.lingerieopt.ru/images/original/70726f41-e1fd-433a-a03b-03b40c02c44e.jpg","Фото")</f>
      </c>
    </row>
    <row r="9194">
      <c r="A9194" s="7">
        <f>HYPERLINK("http://www.lingerieopt.ru/item/1145-muzhskie-stringi-na-zastezhke/","1145")</f>
      </c>
      <c r="B9194" s="8" t="s">
        <v>8757</v>
      </c>
      <c r="C9194" s="9">
        <v>756</v>
      </c>
      <c r="D9194" s="0">
        <v>12</v>
      </c>
      <c r="E9194" s="10">
        <f>HYPERLINK("http://www.lingerieopt.ru/images/original/70726f41-e1fd-433a-a03b-03b40c02c44e.jpg","Фото")</f>
      </c>
    </row>
    <row r="9195">
      <c r="A9195" s="7">
        <f>HYPERLINK("http://www.lingerieopt.ru/item/1145-muzhskie-stringi-na-zastezhke/","1145")</f>
      </c>
      <c r="B9195" s="8" t="s">
        <v>8758</v>
      </c>
      <c r="C9195" s="9">
        <v>756</v>
      </c>
      <c r="D9195" s="0">
        <v>4</v>
      </c>
      <c r="E9195" s="10">
        <f>HYPERLINK("http://www.lingerieopt.ru/images/original/70726f41-e1fd-433a-a03b-03b40c02c44e.jpg","Фото")</f>
      </c>
    </row>
    <row r="9196">
      <c r="A9196" s="7">
        <f>HYPERLINK("http://www.lingerieopt.ru/item/1145-muzhskie-stringi-na-zastezhke/","1145")</f>
      </c>
      <c r="B9196" s="8" t="s">
        <v>8759</v>
      </c>
      <c r="C9196" s="9">
        <v>756</v>
      </c>
      <c r="D9196" s="0">
        <v>3</v>
      </c>
      <c r="E9196" s="10">
        <f>HYPERLINK("http://www.lingerieopt.ru/images/original/70726f41-e1fd-433a-a03b-03b40c02c44e.jpg","Фото")</f>
      </c>
    </row>
    <row r="9197">
      <c r="A9197" s="7">
        <f>HYPERLINK("http://www.lingerieopt.ru/item/1146-trusiki-string-nastoyaschego-dzhentlmena/","1146")</f>
      </c>
      <c r="B9197" s="8" t="s">
        <v>8760</v>
      </c>
      <c r="C9197" s="9">
        <v>594</v>
      </c>
      <c r="D9197" s="0">
        <v>15</v>
      </c>
      <c r="E9197" s="10">
        <f>HYPERLINK("http://www.lingerieopt.ru/images/original/3178bc23-0268-44e5-965b-2af4428095f1.jpg","Фото")</f>
      </c>
    </row>
    <row r="9198">
      <c r="A9198" s="7">
        <f>HYPERLINK("http://www.lingerieopt.ru/item/1150-muzhskie-trusiki-stringi-podarok/","1150")</f>
      </c>
      <c r="B9198" s="8" t="s">
        <v>8761</v>
      </c>
      <c r="C9198" s="9">
        <v>602</v>
      </c>
      <c r="D9198" s="0">
        <v>4</v>
      </c>
      <c r="E9198" s="10">
        <f>HYPERLINK("http://www.lingerieopt.ru/images/original/2eda67d8-bdac-4b7b-8ba0-e44dbc614015.jpg","Фото")</f>
      </c>
    </row>
    <row r="9199">
      <c r="A9199" s="7">
        <f>HYPERLINK("http://www.lingerieopt.ru/item/1151-muzhskie-stringi-so-zmeei/","1151")</f>
      </c>
      <c r="B9199" s="8" t="s">
        <v>8762</v>
      </c>
      <c r="C9199" s="9">
        <v>611</v>
      </c>
      <c r="D9199" s="0">
        <v>9</v>
      </c>
      <c r="E9199" s="10">
        <f>HYPERLINK("http://www.lingerieopt.ru/images/original/1ec5c9ce-abf5-4472-aae5-29a0e246f663.jpg","Фото")</f>
      </c>
    </row>
    <row r="9200">
      <c r="A9200" s="7">
        <f>HYPERLINK("http://www.lingerieopt.ru/item/1153-muzhskie-stringi-slonik/","1153")</f>
      </c>
      <c r="B9200" s="8" t="s">
        <v>8763</v>
      </c>
      <c r="C9200" s="9">
        <v>889</v>
      </c>
      <c r="D9200" s="0">
        <v>2</v>
      </c>
      <c r="E9200" s="10">
        <f>HYPERLINK("http://www.lingerieopt.ru/images/original/92b0e656-6c71-4bd6-ab83-5f87996d3ef6.jpg","Фото")</f>
      </c>
    </row>
    <row r="9201">
      <c r="A9201" s="7">
        <f>HYPERLINK("http://www.lingerieopt.ru/item/1153-muzhskie-stringi-slonik/","1153")</f>
      </c>
      <c r="B9201" s="8" t="s">
        <v>8764</v>
      </c>
      <c r="C9201" s="9">
        <v>889</v>
      </c>
      <c r="D9201" s="0">
        <v>0</v>
      </c>
      <c r="E9201" s="10">
        <f>HYPERLINK("http://www.lingerieopt.ru/images/original/92b0e656-6c71-4bd6-ab83-5f87996d3ef6.jpg","Фото")</f>
      </c>
    </row>
    <row r="9202">
      <c r="A9202" s="7">
        <f>HYPERLINK("http://www.lingerieopt.ru/item/1153-muzhskie-stringi-slonik/","1153")</f>
      </c>
      <c r="B9202" s="8" t="s">
        <v>8765</v>
      </c>
      <c r="C9202" s="9">
        <v>889</v>
      </c>
      <c r="D9202" s="0">
        <v>0</v>
      </c>
      <c r="E9202" s="10">
        <f>HYPERLINK("http://www.lingerieopt.ru/images/original/92b0e656-6c71-4bd6-ab83-5f87996d3ef6.jpg","Фото")</f>
      </c>
    </row>
    <row r="9203">
      <c r="A9203" s="7">
        <f>HYPERLINK("http://www.lingerieopt.ru/item/1156-muzhskie-stringi-s-leopardovjm-printom/","1156")</f>
      </c>
      <c r="B9203" s="8" t="s">
        <v>8766</v>
      </c>
      <c r="C9203" s="9">
        <v>611</v>
      </c>
      <c r="D9203" s="0">
        <v>9</v>
      </c>
      <c r="E9203" s="10">
        <f>HYPERLINK("http://www.lingerieopt.ru/images/original/53f91895-7f9e-442b-afa1-10a8ad590a1d.jpg","Фото")</f>
      </c>
    </row>
    <row r="9204">
      <c r="A9204" s="7">
        <f>HYPERLINK("http://www.lingerieopt.ru/item/1157-trusj-s-prozrachnoi-zadnei-chastyu/","1157")</f>
      </c>
      <c r="B9204" s="8" t="s">
        <v>8767</v>
      </c>
      <c r="C9204" s="9">
        <v>587</v>
      </c>
      <c r="D9204" s="0">
        <v>2</v>
      </c>
      <c r="E9204" s="10">
        <f>HYPERLINK("http://www.lingerieopt.ru/images/original/44770e83-25f9-4f30-b633-27b6ab2358da.jpg","Фото")</f>
      </c>
    </row>
    <row r="9205">
      <c r="A9205" s="7">
        <f>HYPERLINK("http://www.lingerieopt.ru/item/1157-trusj-s-prozrachnoi-zadnei-chastyu/","1157")</f>
      </c>
      <c r="B9205" s="8" t="s">
        <v>8768</v>
      </c>
      <c r="C9205" s="9">
        <v>587</v>
      </c>
      <c r="D9205" s="0">
        <v>0</v>
      </c>
      <c r="E9205" s="10">
        <f>HYPERLINK("http://www.lingerieopt.ru/images/original/44770e83-25f9-4f30-b633-27b6ab2358da.jpg","Фото")</f>
      </c>
    </row>
    <row r="9206">
      <c r="A9206" s="7">
        <f>HYPERLINK("http://www.lingerieopt.ru/item/1157-trusj-s-prozrachnoi-zadnei-chastyu/","1157")</f>
      </c>
      <c r="B9206" s="8" t="s">
        <v>8769</v>
      </c>
      <c r="C9206" s="9">
        <v>587</v>
      </c>
      <c r="D9206" s="0">
        <v>0</v>
      </c>
      <c r="E9206" s="10">
        <f>HYPERLINK("http://www.lingerieopt.ru/images/original/44770e83-25f9-4f30-b633-27b6ab2358da.jpg","Фото")</f>
      </c>
    </row>
    <row r="9207">
      <c r="A9207" s="7">
        <f>HYPERLINK("http://www.lingerieopt.ru/item/1157-trusj-s-prozrachnoi-zadnei-chastyu/","1157")</f>
      </c>
      <c r="B9207" s="8" t="s">
        <v>8770</v>
      </c>
      <c r="C9207" s="9">
        <v>587</v>
      </c>
      <c r="D9207" s="0">
        <v>0</v>
      </c>
      <c r="E9207" s="10">
        <f>HYPERLINK("http://www.lingerieopt.ru/images/original/44770e83-25f9-4f30-b633-27b6ab2358da.jpg","Фото")</f>
      </c>
    </row>
    <row r="9208">
      <c r="A9208" s="7">
        <f>HYPERLINK("http://www.lingerieopt.ru/item/1158-muzhskie-trusj-stringi-dzhentlmen/","1158")</f>
      </c>
      <c r="B9208" s="8" t="s">
        <v>8771</v>
      </c>
      <c r="C9208" s="9">
        <v>601</v>
      </c>
      <c r="D9208" s="0">
        <v>3</v>
      </c>
      <c r="E9208" s="10">
        <f>HYPERLINK("http://www.lingerieopt.ru/images/original/5f16b6d1-5b0f-41e6-b182-e7d8220f52a4.jpg","Фото")</f>
      </c>
    </row>
    <row r="9209">
      <c r="A9209" s="7">
        <f>HYPERLINK("http://www.lingerieopt.ru/item/1158-muzhskie-trusj-stringi-dzhentlmen/","1158")</f>
      </c>
      <c r="B9209" s="8" t="s">
        <v>8772</v>
      </c>
      <c r="C9209" s="9">
        <v>601</v>
      </c>
      <c r="D9209" s="0">
        <v>3</v>
      </c>
      <c r="E9209" s="10">
        <f>HYPERLINK("http://www.lingerieopt.ru/images/original/5f16b6d1-5b0f-41e6-b182-e7d8220f52a4.jpg","Фото")</f>
      </c>
    </row>
    <row r="9210">
      <c r="A9210" s="7">
        <f>HYPERLINK("http://www.lingerieopt.ru/item/1164-muzhskie-trusj-s-vjrezom-na-pope/","1164")</f>
      </c>
      <c r="B9210" s="8" t="s">
        <v>8773</v>
      </c>
      <c r="C9210" s="9">
        <v>618</v>
      </c>
      <c r="D9210" s="0">
        <v>0</v>
      </c>
      <c r="E9210" s="10">
        <f>HYPERLINK("http://www.lingerieopt.ru/images/original/bf4f58c3-a492-4873-b7f5-396e588508c2.jpg","Фото")</f>
      </c>
    </row>
    <row r="9211">
      <c r="A9211" s="7">
        <f>HYPERLINK("http://www.lingerieopt.ru/item/1164-muzhskie-trusj-s-vjrezom-na-pope/","1164")</f>
      </c>
      <c r="B9211" s="8" t="s">
        <v>8774</v>
      </c>
      <c r="C9211" s="9">
        <v>618</v>
      </c>
      <c r="D9211" s="0">
        <v>2</v>
      </c>
      <c r="E9211" s="10">
        <f>HYPERLINK("http://www.lingerieopt.ru/images/original/bf4f58c3-a492-4873-b7f5-396e588508c2.jpg","Фото")</f>
      </c>
    </row>
    <row r="9212">
      <c r="A9212" s="7">
        <f>HYPERLINK("http://www.lingerieopt.ru/item/1164-muzhskie-trusj-s-vjrezom-na-pope/","1164")</f>
      </c>
      <c r="B9212" s="8" t="s">
        <v>8775</v>
      </c>
      <c r="C9212" s="9">
        <v>618</v>
      </c>
      <c r="D9212" s="0">
        <v>2</v>
      </c>
      <c r="E9212" s="10">
        <f>HYPERLINK("http://www.lingerieopt.ru/images/original/bf4f58c3-a492-4873-b7f5-396e588508c2.jpg","Фото")</f>
      </c>
    </row>
    <row r="9213">
      <c r="A9213" s="7">
        <f>HYPERLINK("http://www.lingerieopt.ru/item/1165-muzhskie-stringi-v-morskom-stile/","1165")</f>
      </c>
      <c r="B9213" s="8" t="s">
        <v>8776</v>
      </c>
      <c r="C9213" s="9">
        <v>616</v>
      </c>
      <c r="D9213" s="0">
        <v>4</v>
      </c>
      <c r="E9213" s="10">
        <f>HYPERLINK("http://www.lingerieopt.ru/images/original/19fbd14d-c0c9-4bcf-ba6e-db6a1f6bb8ad.jpg","Фото")</f>
      </c>
    </row>
    <row r="9214">
      <c r="A9214" s="7">
        <f>HYPERLINK("http://www.lingerieopt.ru/item/1165-muzhskie-stringi-v-morskom-stile/","1165")</f>
      </c>
      <c r="B9214" s="8" t="s">
        <v>8777</v>
      </c>
      <c r="C9214" s="9">
        <v>616</v>
      </c>
      <c r="D9214" s="0">
        <v>4</v>
      </c>
      <c r="E9214" s="10">
        <f>HYPERLINK("http://www.lingerieopt.ru/images/original/19fbd14d-c0c9-4bcf-ba6e-db6a1f6bb8ad.jpg","Фото")</f>
      </c>
    </row>
    <row r="9215">
      <c r="A9215" s="7">
        <f>HYPERLINK("http://www.lingerieopt.ru/item/2469-muzhskie-trusj-shortj-s-zamkami-po-bokam/","2469")</f>
      </c>
      <c r="B9215" s="8" t="s">
        <v>8778</v>
      </c>
      <c r="C9215" s="9">
        <v>1146</v>
      </c>
      <c r="D9215" s="0">
        <v>4</v>
      </c>
      <c r="E9215" s="10">
        <f>HYPERLINK("http://www.lingerieopt.ru/images/original/15672d1e-ed23-44c4-9b40-5b975c1f6580.jpg","Фото")</f>
      </c>
    </row>
    <row r="9216">
      <c r="A9216" s="7">
        <f>HYPERLINK("http://www.lingerieopt.ru/item/2469-muzhskie-trusj-shortj-s-zamkami-po-bokam/","2469")</f>
      </c>
      <c r="B9216" s="8" t="s">
        <v>8779</v>
      </c>
      <c r="C9216" s="9">
        <v>1146</v>
      </c>
      <c r="D9216" s="0">
        <v>0</v>
      </c>
      <c r="E9216" s="10">
        <f>HYPERLINK("http://www.lingerieopt.ru/images/original/15672d1e-ed23-44c4-9b40-5b975c1f6580.jpg","Фото")</f>
      </c>
    </row>
    <row r="9217">
      <c r="A9217" s="7">
        <f>HYPERLINK("http://www.lingerieopt.ru/item/2469-muzhskie-trusj-shortj-s-zamkami-po-bokam/","2469")</f>
      </c>
      <c r="B9217" s="8" t="s">
        <v>8780</v>
      </c>
      <c r="C9217" s="9">
        <v>1146</v>
      </c>
      <c r="D9217" s="0">
        <v>0</v>
      </c>
      <c r="E9217" s="10">
        <f>HYPERLINK("http://www.lingerieopt.ru/images/original/15672d1e-ed23-44c4-9b40-5b975c1f6580.jpg","Фото")</f>
      </c>
    </row>
    <row r="9218">
      <c r="A9218" s="7">
        <f>HYPERLINK("http://www.lingerieopt.ru/item/2469-muzhskie-trusj-shortj-s-zamkami-po-bokam/","2469")</f>
      </c>
      <c r="B9218" s="8" t="s">
        <v>8781</v>
      </c>
      <c r="C9218" s="9">
        <v>1146</v>
      </c>
      <c r="D9218" s="0">
        <v>0</v>
      </c>
      <c r="E9218" s="10">
        <f>HYPERLINK("http://www.lingerieopt.ru/images/original/15672d1e-ed23-44c4-9b40-5b975c1f6580.jpg","Фото")</f>
      </c>
    </row>
    <row r="9219">
      <c r="A9219" s="7">
        <f>HYPERLINK("http://www.lingerieopt.ru/item/2469-muzhskie-trusj-shortj-s-zamkami-po-bokam/","2469")</f>
      </c>
      <c r="B9219" s="8" t="s">
        <v>8782</v>
      </c>
      <c r="C9219" s="9">
        <v>1146</v>
      </c>
      <c r="D9219" s="0">
        <v>6</v>
      </c>
      <c r="E9219" s="10">
        <f>HYPERLINK("http://www.lingerieopt.ru/images/original/15672d1e-ed23-44c4-9b40-5b975c1f6580.jpg","Фото")</f>
      </c>
    </row>
    <row r="9220">
      <c r="A9220" s="7">
        <f>HYPERLINK("http://www.lingerieopt.ru/item/2469-muzhskie-trusj-shortj-s-zamkami-po-bokam/","2469")</f>
      </c>
      <c r="B9220" s="8" t="s">
        <v>8783</v>
      </c>
      <c r="C9220" s="9">
        <v>1146</v>
      </c>
      <c r="D9220" s="0">
        <v>0</v>
      </c>
      <c r="E9220" s="10">
        <f>HYPERLINK("http://www.lingerieopt.ru/images/original/15672d1e-ed23-44c4-9b40-5b975c1f6580.jpg","Фото")</f>
      </c>
    </row>
    <row r="9221">
      <c r="A9221" s="7">
        <f>HYPERLINK("http://www.lingerieopt.ru/item/2470-muzhskie-stringi-na-molnii-speredi/","2470")</f>
      </c>
      <c r="B9221" s="8" t="s">
        <v>8784</v>
      </c>
      <c r="C9221" s="9">
        <v>850</v>
      </c>
      <c r="D9221" s="0">
        <v>3</v>
      </c>
      <c r="E9221" s="10">
        <f>HYPERLINK("http://www.lingerieopt.ru/images/original/8e76febb-ab3c-4918-9e1d-d791c7db9e14.jpg","Фото")</f>
      </c>
    </row>
    <row r="9222">
      <c r="A9222" s="7">
        <f>HYPERLINK("http://www.lingerieopt.ru/item/2470-muzhskie-stringi-na-molnii-speredi/","2470")</f>
      </c>
      <c r="B9222" s="8" t="s">
        <v>8785</v>
      </c>
      <c r="C9222" s="9">
        <v>850</v>
      </c>
      <c r="D9222" s="0">
        <v>4</v>
      </c>
      <c r="E9222" s="10">
        <f>HYPERLINK("http://www.lingerieopt.ru/images/original/8e76febb-ab3c-4918-9e1d-d791c7db9e14.jpg","Фото")</f>
      </c>
    </row>
    <row r="9223">
      <c r="A9223" s="7">
        <f>HYPERLINK("http://www.lingerieopt.ru/item/2470-muzhskie-stringi-na-molnii-speredi/","2470")</f>
      </c>
      <c r="B9223" s="8" t="s">
        <v>8786</v>
      </c>
      <c r="C9223" s="9">
        <v>850</v>
      </c>
      <c r="D9223" s="0">
        <v>0</v>
      </c>
      <c r="E9223" s="10">
        <f>HYPERLINK("http://www.lingerieopt.ru/images/original/8e76febb-ab3c-4918-9e1d-d791c7db9e14.jpg","Фото")</f>
      </c>
    </row>
    <row r="9224">
      <c r="A9224" s="7">
        <f>HYPERLINK("http://www.lingerieopt.ru/item/2470-muzhskie-stringi-na-molnii-speredi/","2470")</f>
      </c>
      <c r="B9224" s="8" t="s">
        <v>8787</v>
      </c>
      <c r="C9224" s="9">
        <v>850</v>
      </c>
      <c r="D9224" s="0">
        <v>4</v>
      </c>
      <c r="E9224" s="10">
        <f>HYPERLINK("http://www.lingerieopt.ru/images/original/8e76febb-ab3c-4918-9e1d-d791c7db9e14.jpg","Фото")</f>
      </c>
    </row>
    <row r="9225">
      <c r="A9225" s="7">
        <f>HYPERLINK("http://www.lingerieopt.ru/item/2473-muzhskie-shortj-oficianta/","2473")</f>
      </c>
      <c r="B9225" s="8" t="s">
        <v>8788</v>
      </c>
      <c r="C9225" s="9">
        <v>1045</v>
      </c>
      <c r="D9225" s="0">
        <v>4</v>
      </c>
      <c r="E9225" s="10">
        <f>HYPERLINK("http://www.lingerieopt.ru/images/original/80876ced-8057-4ec4-9588-79cef7b59d29.jpg","Фото")</f>
      </c>
    </row>
    <row r="9226">
      <c r="A9226" s="7">
        <f>HYPERLINK("http://www.lingerieopt.ru/item/2473-muzhskie-shortj-oficianta/","2473")</f>
      </c>
      <c r="B9226" s="8" t="s">
        <v>8789</v>
      </c>
      <c r="C9226" s="9">
        <v>1045</v>
      </c>
      <c r="D9226" s="0">
        <v>2</v>
      </c>
      <c r="E9226" s="10">
        <f>HYPERLINK("http://www.lingerieopt.ru/images/original/80876ced-8057-4ec4-9588-79cef7b59d29.jpg","Фото")</f>
      </c>
    </row>
    <row r="9227">
      <c r="A9227" s="7">
        <f>HYPERLINK("http://www.lingerieopt.ru/item/2473-muzhskie-shortj-oficianta/","2473")</f>
      </c>
      <c r="B9227" s="8" t="s">
        <v>8790</v>
      </c>
      <c r="C9227" s="9">
        <v>1045</v>
      </c>
      <c r="D9227" s="0">
        <v>0</v>
      </c>
      <c r="E9227" s="10">
        <f>HYPERLINK("http://www.lingerieopt.ru/images/original/80876ced-8057-4ec4-9588-79cef7b59d29.jpg","Фото")</f>
      </c>
    </row>
    <row r="9228">
      <c r="A9228" s="7">
        <f>HYPERLINK("http://www.lingerieopt.ru/item/2474-pikantnje-muzhskie-stringi-so-shnurovkoi/","2474")</f>
      </c>
      <c r="B9228" s="8" t="s">
        <v>8791</v>
      </c>
      <c r="C9228" s="9">
        <v>733</v>
      </c>
      <c r="D9228" s="0">
        <v>0</v>
      </c>
      <c r="E9228" s="10">
        <f>HYPERLINK("http://www.lingerieopt.ru/images/original/b6a56073-05ea-4f0a-b479-2cb95548077b.jpg","Фото")</f>
      </c>
    </row>
    <row r="9229">
      <c r="A9229" s="7">
        <f>HYPERLINK("http://www.lingerieopt.ru/item/2474-pikantnje-muzhskie-stringi-so-shnurovkoi/","2474")</f>
      </c>
      <c r="B9229" s="8" t="s">
        <v>8792</v>
      </c>
      <c r="C9229" s="9">
        <v>733</v>
      </c>
      <c r="D9229" s="0">
        <v>5</v>
      </c>
      <c r="E9229" s="10">
        <f>HYPERLINK("http://www.lingerieopt.ru/images/original/b6a56073-05ea-4f0a-b479-2cb95548077b.jpg","Фото")</f>
      </c>
    </row>
    <row r="9230">
      <c r="A9230" s="7">
        <f>HYPERLINK("http://www.lingerieopt.ru/item/2542-muzhskie-stringi-s-pikantnjm-treugolnjm-vjrezom/","2542")</f>
      </c>
      <c r="B9230" s="8" t="s">
        <v>8793</v>
      </c>
      <c r="C9230" s="9">
        <v>718</v>
      </c>
      <c r="D9230" s="0">
        <v>6</v>
      </c>
      <c r="E9230" s="10">
        <f>HYPERLINK("http://www.lingerieopt.ru/images/original/8950f07b-7cfc-4625-abf6-4b3f50217227.jpg","Фото")</f>
      </c>
    </row>
    <row r="9231">
      <c r="A9231" s="7">
        <f>HYPERLINK("http://www.lingerieopt.ru/item/2650-muzhskie-stringi-s-bjkom/","2650")</f>
      </c>
      <c r="B9231" s="8" t="s">
        <v>8794</v>
      </c>
      <c r="C9231" s="9">
        <v>713</v>
      </c>
      <c r="D9231" s="0">
        <v>0</v>
      </c>
      <c r="E9231" s="10">
        <f>HYPERLINK("http://www.lingerieopt.ru/images/original/d935b225-d144-47fb-8bb0-ea3bbc3ee106.jpg","Фото")</f>
      </c>
    </row>
    <row r="9232">
      <c r="A9232" s="7">
        <f>HYPERLINK("http://www.lingerieopt.ru/item/2650-muzhskie-stringi-s-bjkom/","2650")</f>
      </c>
      <c r="B9232" s="8" t="s">
        <v>8795</v>
      </c>
      <c r="C9232" s="9">
        <v>713</v>
      </c>
      <c r="D9232" s="0">
        <v>11</v>
      </c>
      <c r="E9232" s="10">
        <f>HYPERLINK("http://www.lingerieopt.ru/images/original/d935b225-d144-47fb-8bb0-ea3bbc3ee106.jpg","Фото")</f>
      </c>
    </row>
    <row r="9233">
      <c r="A9233" s="7">
        <f>HYPERLINK("http://www.lingerieopt.ru/item/2782-muzhskie-trusj-s-otkrjtoi-zadnei-chastyu/","2782")</f>
      </c>
      <c r="B9233" s="8" t="s">
        <v>8796</v>
      </c>
      <c r="C9233" s="9">
        <v>545</v>
      </c>
      <c r="D9233" s="0">
        <v>5</v>
      </c>
      <c r="E9233" s="10">
        <f>HYPERLINK("http://www.lingerieopt.ru/images/original/6e0598df-6b7a-4291-8cfe-45c6b5d03ab3.jpg","Фото")</f>
      </c>
    </row>
    <row r="9234">
      <c r="A9234" s="7">
        <f>HYPERLINK("http://www.lingerieopt.ru/item/2782-muzhskie-trusj-s-otkrjtoi-zadnei-chastyu/","2782")</f>
      </c>
      <c r="B9234" s="8" t="s">
        <v>8797</v>
      </c>
      <c r="C9234" s="9">
        <v>545</v>
      </c>
      <c r="D9234" s="0">
        <v>2</v>
      </c>
      <c r="E9234" s="10">
        <f>HYPERLINK("http://www.lingerieopt.ru/images/original/6e0598df-6b7a-4291-8cfe-45c6b5d03ab3.jpg","Фото")</f>
      </c>
    </row>
    <row r="9235">
      <c r="A9235" s="7">
        <f>HYPERLINK("http://www.lingerieopt.ru/item/3407-muzhskie-trusj-stringi-s-nadpisyu-general/","3407")</f>
      </c>
      <c r="B9235" s="8" t="s">
        <v>8798</v>
      </c>
      <c r="C9235" s="9">
        <v>298</v>
      </c>
      <c r="D9235" s="0">
        <v>0</v>
      </c>
      <c r="E9235" s="10">
        <f>HYPERLINK("http://www.lingerieopt.ru/images/original/3ac8d256-f07e-4870-9fe9-7e26f4d1e022.jpg","Фото")</f>
      </c>
    </row>
    <row r="9236">
      <c r="A9236" s="7">
        <f>HYPERLINK("http://www.lingerieopt.ru/item/3407-muzhskie-trusj-stringi-s-nadpisyu-general/","3407")</f>
      </c>
      <c r="B9236" s="8" t="s">
        <v>8799</v>
      </c>
      <c r="C9236" s="9">
        <v>298</v>
      </c>
      <c r="D9236" s="0">
        <v>1</v>
      </c>
      <c r="E9236" s="10">
        <f>HYPERLINK("http://www.lingerieopt.ru/images/original/3ac8d256-f07e-4870-9fe9-7e26f4d1e022.jpg","Фото")</f>
      </c>
    </row>
    <row r="9237">
      <c r="A9237" s="7">
        <f>HYPERLINK("http://www.lingerieopt.ru/item/3428-polosatje-stringi-s-dekorativnoi-podveskoi-svistkom/","3428")</f>
      </c>
      <c r="B9237" s="8" t="s">
        <v>8800</v>
      </c>
      <c r="C9237" s="9">
        <v>259</v>
      </c>
      <c r="D9237" s="0">
        <v>30</v>
      </c>
      <c r="E9237" s="10">
        <f>HYPERLINK("http://www.lingerieopt.ru/images/original/32639402-e559-4292-8e48-a20d77f968c1.jpg","Фото")</f>
      </c>
    </row>
    <row r="9238">
      <c r="A9238" s="7">
        <f>HYPERLINK("http://www.lingerieopt.ru/item/3432-sportivnje-muzhskie-bokserj/","3432")</f>
      </c>
      <c r="B9238" s="8" t="s">
        <v>8801</v>
      </c>
      <c r="C9238" s="9">
        <v>613</v>
      </c>
      <c r="D9238" s="0">
        <v>6</v>
      </c>
      <c r="E9238" s="10">
        <f>HYPERLINK("http://www.lingerieopt.ru/images/original/19c063f0-d22a-487d-93e5-1edf5e113156.jpg","Фото")</f>
      </c>
    </row>
    <row r="9239">
      <c r="A9239" s="7">
        <f>HYPERLINK("http://www.lingerieopt.ru/item/3432-sportivnje-muzhskie-bokserj/","3432")</f>
      </c>
      <c r="B9239" s="8" t="s">
        <v>8802</v>
      </c>
      <c r="C9239" s="9">
        <v>613</v>
      </c>
      <c r="D9239" s="0">
        <v>6</v>
      </c>
      <c r="E9239" s="10">
        <f>HYPERLINK("http://www.lingerieopt.ru/images/original/19c063f0-d22a-487d-93e5-1edf5e113156.jpg","Фото")</f>
      </c>
    </row>
    <row r="9240">
      <c r="A9240" s="7">
        <f>HYPERLINK("http://www.lingerieopt.ru/item/3432-sportivnje-muzhskie-bokserj/","3432")</f>
      </c>
      <c r="B9240" s="8" t="s">
        <v>8803</v>
      </c>
      <c r="C9240" s="9">
        <v>613</v>
      </c>
      <c r="D9240" s="0">
        <v>30</v>
      </c>
      <c r="E9240" s="10">
        <f>HYPERLINK("http://www.lingerieopt.ru/images/original/19c063f0-d22a-487d-93e5-1edf5e113156.jpg","Фото")</f>
      </c>
    </row>
    <row r="9241">
      <c r="A9241" s="7">
        <f>HYPERLINK("http://www.lingerieopt.ru/item/3432-sportivnje-muzhskie-bokserj/","3432")</f>
      </c>
      <c r="B9241" s="8" t="s">
        <v>8804</v>
      </c>
      <c r="C9241" s="9">
        <v>613</v>
      </c>
      <c r="D9241" s="0">
        <v>30</v>
      </c>
      <c r="E9241" s="10">
        <f>HYPERLINK("http://www.lingerieopt.ru/images/original/19c063f0-d22a-487d-93e5-1edf5e113156.jpg","Фото")</f>
      </c>
    </row>
    <row r="9242">
      <c r="A9242" s="7">
        <f>HYPERLINK("http://www.lingerieopt.ru/item/3432-sportivnje-muzhskie-bokserj/","3432")</f>
      </c>
      <c r="B9242" s="8" t="s">
        <v>8805</v>
      </c>
      <c r="C9242" s="9">
        <v>613</v>
      </c>
      <c r="D9242" s="0">
        <v>30</v>
      </c>
      <c r="E9242" s="10">
        <f>HYPERLINK("http://www.lingerieopt.ru/images/original/19c063f0-d22a-487d-93e5-1edf5e113156.jpg","Фото")</f>
      </c>
    </row>
    <row r="9243">
      <c r="A9243" s="7">
        <f>HYPERLINK("http://www.lingerieopt.ru/item/3432-sportivnje-muzhskie-bokserj/","3432")</f>
      </c>
      <c r="B9243" s="8" t="s">
        <v>8806</v>
      </c>
      <c r="C9243" s="9">
        <v>613</v>
      </c>
      <c r="D9243" s="0">
        <v>30</v>
      </c>
      <c r="E9243" s="10">
        <f>HYPERLINK("http://www.lingerieopt.ru/images/original/19c063f0-d22a-487d-93e5-1edf5e113156.jpg","Фото")</f>
      </c>
    </row>
    <row r="9244">
      <c r="A9244" s="7">
        <f>HYPERLINK("http://www.lingerieopt.ru/item/3433-muzhskie-bokserj-na-uzkoi-rezinke/","3433")</f>
      </c>
      <c r="B9244" s="8" t="s">
        <v>8807</v>
      </c>
      <c r="C9244" s="9">
        <v>613</v>
      </c>
      <c r="D9244" s="0">
        <v>0</v>
      </c>
      <c r="E9244" s="10">
        <f>HYPERLINK("http://www.lingerieopt.ru/images/original/e122b462-bded-4770-a6c0-f9317f6db06e.jpg","Фото")</f>
      </c>
    </row>
    <row r="9245">
      <c r="A9245" s="7">
        <f>HYPERLINK("http://www.lingerieopt.ru/item/3433-muzhskie-bokserj-na-uzkoi-rezinke/","3433")</f>
      </c>
      <c r="B9245" s="8" t="s">
        <v>8808</v>
      </c>
      <c r="C9245" s="9">
        <v>613</v>
      </c>
      <c r="D9245" s="0">
        <v>30</v>
      </c>
      <c r="E9245" s="10">
        <f>HYPERLINK("http://www.lingerieopt.ru/images/original/e122b462-bded-4770-a6c0-f9317f6db06e.jpg","Фото")</f>
      </c>
    </row>
    <row r="9246">
      <c r="A9246" s="7">
        <f>HYPERLINK("http://www.lingerieopt.ru/item/3433-muzhskie-bokserj-na-uzkoi-rezinke/","3433")</f>
      </c>
      <c r="B9246" s="8" t="s">
        <v>8809</v>
      </c>
      <c r="C9246" s="9">
        <v>613</v>
      </c>
      <c r="D9246" s="0">
        <v>6</v>
      </c>
      <c r="E9246" s="10">
        <f>HYPERLINK("http://www.lingerieopt.ru/images/original/e122b462-bded-4770-a6c0-f9317f6db06e.jpg","Фото")</f>
      </c>
    </row>
    <row r="9247">
      <c r="A9247" s="7">
        <f>HYPERLINK("http://www.lingerieopt.ru/item/3433-muzhskie-bokserj-na-uzkoi-rezinke/","3433")</f>
      </c>
      <c r="B9247" s="8" t="s">
        <v>8810</v>
      </c>
      <c r="C9247" s="9">
        <v>613</v>
      </c>
      <c r="D9247" s="0">
        <v>6</v>
      </c>
      <c r="E9247" s="10">
        <f>HYPERLINK("http://www.lingerieopt.ru/images/original/e122b462-bded-4770-a6c0-f9317f6db06e.jpg","Фото")</f>
      </c>
    </row>
    <row r="9248">
      <c r="A9248" s="7">
        <f>HYPERLINK("http://www.lingerieopt.ru/item/3433-muzhskie-bokserj-na-uzkoi-rezinke/","3433")</f>
      </c>
      <c r="B9248" s="8" t="s">
        <v>8811</v>
      </c>
      <c r="C9248" s="9">
        <v>613</v>
      </c>
      <c r="D9248" s="0">
        <v>30</v>
      </c>
      <c r="E9248" s="10">
        <f>HYPERLINK("http://www.lingerieopt.ru/images/original/e122b462-bded-4770-a6c0-f9317f6db06e.jpg","Фото")</f>
      </c>
    </row>
    <row r="9249">
      <c r="A9249" s="7">
        <f>HYPERLINK("http://www.lingerieopt.ru/item/3433-muzhskie-bokserj-na-uzkoi-rezinke/","3433")</f>
      </c>
      <c r="B9249" s="8" t="s">
        <v>8812</v>
      </c>
      <c r="C9249" s="9">
        <v>613</v>
      </c>
      <c r="D9249" s="0">
        <v>30</v>
      </c>
      <c r="E9249" s="10">
        <f>HYPERLINK("http://www.lingerieopt.ru/images/original/e122b462-bded-4770-a6c0-f9317f6db06e.jpg","Фото")</f>
      </c>
    </row>
    <row r="9250">
      <c r="A9250" s="7">
        <f>HYPERLINK("http://www.lingerieopt.ru/item/3433-muzhskie-bokserj-na-uzkoi-rezinke/","3433")</f>
      </c>
      <c r="B9250" s="8" t="s">
        <v>8813</v>
      </c>
      <c r="C9250" s="9">
        <v>613</v>
      </c>
      <c r="D9250" s="0">
        <v>0</v>
      </c>
      <c r="E9250" s="10">
        <f>HYPERLINK("http://www.lingerieopt.ru/images/original/e122b462-bded-4770-a6c0-f9317f6db06e.jpg","Фото")</f>
      </c>
    </row>
    <row r="9251">
      <c r="A9251" s="7">
        <f>HYPERLINK("http://www.lingerieopt.ru/item/3433-muzhskie-bokserj-na-uzkoi-rezinke/","3433")</f>
      </c>
      <c r="B9251" s="8" t="s">
        <v>8814</v>
      </c>
      <c r="C9251" s="9">
        <v>613</v>
      </c>
      <c r="D9251" s="0">
        <v>30</v>
      </c>
      <c r="E9251" s="10">
        <f>HYPERLINK("http://www.lingerieopt.ru/images/original/e122b462-bded-4770-a6c0-f9317f6db06e.jpg","Фото")</f>
      </c>
    </row>
    <row r="9252">
      <c r="A9252" s="7">
        <f>HYPERLINK("http://www.lingerieopt.ru/item/3433-muzhskie-bokserj-na-uzkoi-rezinke/","3433")</f>
      </c>
      <c r="B9252" s="8" t="s">
        <v>8815</v>
      </c>
      <c r="C9252" s="9">
        <v>613</v>
      </c>
      <c r="D9252" s="0">
        <v>3</v>
      </c>
      <c r="E9252" s="10">
        <f>HYPERLINK("http://www.lingerieopt.ru/images/original/e122b462-bded-4770-a6c0-f9317f6db06e.jpg","Фото")</f>
      </c>
    </row>
    <row r="9253">
      <c r="A9253" s="7">
        <f>HYPERLINK("http://www.lingerieopt.ru/item/3434-muzhskie-bokserj-na-shirokoi-rezinke/","3434")</f>
      </c>
      <c r="B9253" s="8" t="s">
        <v>8816</v>
      </c>
      <c r="C9253" s="9">
        <v>613</v>
      </c>
      <c r="D9253" s="0">
        <v>0</v>
      </c>
      <c r="E9253" s="10">
        <f>HYPERLINK("http://www.lingerieopt.ru/images/original/449bef63-f767-4aab-a585-f820a8d7b31f.jpg","Фото")</f>
      </c>
    </row>
    <row r="9254">
      <c r="A9254" s="7">
        <f>HYPERLINK("http://www.lingerieopt.ru/item/3434-muzhskie-bokserj-na-shirokoi-rezinke/","3434")</f>
      </c>
      <c r="B9254" s="8" t="s">
        <v>8817</v>
      </c>
      <c r="C9254" s="9">
        <v>613</v>
      </c>
      <c r="D9254" s="0">
        <v>30</v>
      </c>
      <c r="E9254" s="10">
        <f>HYPERLINK("http://www.lingerieopt.ru/images/original/449bef63-f767-4aab-a585-f820a8d7b31f.jpg","Фото")</f>
      </c>
    </row>
    <row r="9255">
      <c r="A9255" s="7">
        <f>HYPERLINK("http://www.lingerieopt.ru/item/3434-muzhskie-bokserj-na-shirokoi-rezinke/","3434")</f>
      </c>
      <c r="B9255" s="8" t="s">
        <v>8818</v>
      </c>
      <c r="C9255" s="9">
        <v>613</v>
      </c>
      <c r="D9255" s="0">
        <v>30</v>
      </c>
      <c r="E9255" s="10">
        <f>HYPERLINK("http://www.lingerieopt.ru/images/original/449bef63-f767-4aab-a585-f820a8d7b31f.jpg","Фото")</f>
      </c>
    </row>
    <row r="9256">
      <c r="A9256" s="7">
        <f>HYPERLINK("http://www.lingerieopt.ru/item/3434-muzhskie-bokserj-na-shirokoi-rezinke/","3434")</f>
      </c>
      <c r="B9256" s="8" t="s">
        <v>8819</v>
      </c>
      <c r="C9256" s="9">
        <v>613</v>
      </c>
      <c r="D9256" s="0">
        <v>30</v>
      </c>
      <c r="E9256" s="10">
        <f>HYPERLINK("http://www.lingerieopt.ru/images/original/449bef63-f767-4aab-a585-f820a8d7b31f.jpg","Фото")</f>
      </c>
    </row>
    <row r="9257">
      <c r="A9257" s="7">
        <f>HYPERLINK("http://www.lingerieopt.ru/item/3434-muzhskie-bokserj-na-shirokoi-rezinke/","3434")</f>
      </c>
      <c r="B9257" s="8" t="s">
        <v>8820</v>
      </c>
      <c r="C9257" s="9">
        <v>613</v>
      </c>
      <c r="D9257" s="0">
        <v>30</v>
      </c>
      <c r="E9257" s="10">
        <f>HYPERLINK("http://www.lingerieopt.ru/images/original/449bef63-f767-4aab-a585-f820a8d7b31f.jpg","Фото")</f>
      </c>
    </row>
    <row r="9258">
      <c r="A9258" s="7">
        <f>HYPERLINK("http://www.lingerieopt.ru/item/3434-muzhskie-bokserj-na-shirokoi-rezinke/","3434")</f>
      </c>
      <c r="B9258" s="8" t="s">
        <v>8821</v>
      </c>
      <c r="C9258" s="9">
        <v>613</v>
      </c>
      <c r="D9258" s="0">
        <v>30</v>
      </c>
      <c r="E9258" s="10">
        <f>HYPERLINK("http://www.lingerieopt.ru/images/original/449bef63-f767-4aab-a585-f820a8d7b31f.jpg","Фото")</f>
      </c>
    </row>
    <row r="9259">
      <c r="A9259" s="7">
        <f>HYPERLINK("http://www.lingerieopt.ru/item/3435-komplekt-iz-2-muzhskih-trusov-shortov-chernjh-i-beljh-v-polosku/","3435")</f>
      </c>
      <c r="B9259" s="8" t="s">
        <v>8822</v>
      </c>
      <c r="C9259" s="9">
        <v>381</v>
      </c>
      <c r="D9259" s="0">
        <v>6</v>
      </c>
      <c r="E9259" s="10">
        <f>HYPERLINK("http://www.lingerieopt.ru/images/original/066c4030-655c-411f-803a-3ad1517f8cef.jpg","Фото")</f>
      </c>
    </row>
    <row r="9260">
      <c r="A9260" s="7">
        <f>HYPERLINK("http://www.lingerieopt.ru/item/3435-komplekt-iz-2-muzhskih-trusov-shortov-chernjh-i-beljh-v-polosku/","3435")</f>
      </c>
      <c r="B9260" s="8" t="s">
        <v>8823</v>
      </c>
      <c r="C9260" s="9">
        <v>381</v>
      </c>
      <c r="D9260" s="0">
        <v>30</v>
      </c>
      <c r="E9260" s="10">
        <f>HYPERLINK("http://www.lingerieopt.ru/images/original/066c4030-655c-411f-803a-3ad1517f8cef.jpg","Фото")</f>
      </c>
    </row>
    <row r="9261">
      <c r="A9261" s="7">
        <f>HYPERLINK("http://www.lingerieopt.ru/item/3435-komplekt-iz-2-muzhskih-trusov-shortov-chernjh-i-beljh-v-polosku/","3435")</f>
      </c>
      <c r="B9261" s="8" t="s">
        <v>8824</v>
      </c>
      <c r="C9261" s="9">
        <v>381</v>
      </c>
      <c r="D9261" s="0">
        <v>30</v>
      </c>
      <c r="E9261" s="10">
        <f>HYPERLINK("http://www.lingerieopt.ru/images/original/066c4030-655c-411f-803a-3ad1517f8cef.jpg","Фото")</f>
      </c>
    </row>
    <row r="9262">
      <c r="A9262" s="7">
        <f>HYPERLINK("http://www.lingerieopt.ru/item/3435-komplekt-iz-2-muzhskih-trusov-shortov-chernjh-i-beljh-v-polosku/","3435")</f>
      </c>
      <c r="B9262" s="8" t="s">
        <v>8825</v>
      </c>
      <c r="C9262" s="9">
        <v>381</v>
      </c>
      <c r="D9262" s="0">
        <v>6</v>
      </c>
      <c r="E9262" s="10">
        <f>HYPERLINK("http://www.lingerieopt.ru/images/original/066c4030-655c-411f-803a-3ad1517f8cef.jpg","Фото")</f>
      </c>
    </row>
    <row r="9263">
      <c r="A9263" s="7">
        <f>HYPERLINK("http://www.lingerieopt.ru/item/3436-komplekt-iz-2-muzhskih-trusov-shortov-sinie-i-belje-v-golubuyu-polosku/","3436")</f>
      </c>
      <c r="B9263" s="8" t="s">
        <v>8826</v>
      </c>
      <c r="C9263" s="9">
        <v>381</v>
      </c>
      <c r="D9263" s="0">
        <v>0</v>
      </c>
      <c r="E9263" s="10">
        <f>HYPERLINK("http://www.lingerieopt.ru/images/original/a22a6e6e-9ad5-49ff-89a1-ef7b76a24616.jpg","Фото")</f>
      </c>
    </row>
    <row r="9264">
      <c r="A9264" s="7">
        <f>HYPERLINK("http://www.lingerieopt.ru/item/3436-komplekt-iz-2-muzhskih-trusov-shortov-sinie-i-belje-v-golubuyu-polosku/","3436")</f>
      </c>
      <c r="B9264" s="8" t="s">
        <v>8827</v>
      </c>
      <c r="C9264" s="9">
        <v>381</v>
      </c>
      <c r="D9264" s="0">
        <v>30</v>
      </c>
      <c r="E9264" s="10">
        <f>HYPERLINK("http://www.lingerieopt.ru/images/original/a22a6e6e-9ad5-49ff-89a1-ef7b76a24616.jpg","Фото")</f>
      </c>
    </row>
    <row r="9265">
      <c r="A9265" s="7">
        <f>HYPERLINK("http://www.lingerieopt.ru/item/3436-komplekt-iz-2-muzhskih-trusov-shortov-sinie-i-belje-v-golubuyu-polosku/","3436")</f>
      </c>
      <c r="B9265" s="8" t="s">
        <v>8828</v>
      </c>
      <c r="C9265" s="9">
        <v>381</v>
      </c>
      <c r="D9265" s="0">
        <v>0</v>
      </c>
      <c r="E9265" s="10">
        <f>HYPERLINK("http://www.lingerieopt.ru/images/original/a22a6e6e-9ad5-49ff-89a1-ef7b76a24616.jpg","Фото")</f>
      </c>
    </row>
    <row r="9266">
      <c r="A9266" s="7">
        <f>HYPERLINK("http://www.lingerieopt.ru/item/3436-komplekt-iz-2-muzhskih-trusov-shortov-sinie-i-belje-v-golubuyu-polosku/","3436")</f>
      </c>
      <c r="B9266" s="8" t="s">
        <v>8829</v>
      </c>
      <c r="C9266" s="9">
        <v>381</v>
      </c>
      <c r="D9266" s="0">
        <v>0</v>
      </c>
      <c r="E9266" s="10">
        <f>HYPERLINK("http://www.lingerieopt.ru/images/original/a22a6e6e-9ad5-49ff-89a1-ef7b76a24616.jpg","Фото")</f>
      </c>
    </row>
    <row r="9267">
      <c r="A9267" s="7">
        <f>HYPERLINK("http://www.lingerieopt.ru/item/3437-komplekt-iz-2-muzhskih-trusov-shortov-rozovje-i-belje-s-melkim-risunkom/","3437")</f>
      </c>
      <c r="B9267" s="8" t="s">
        <v>8830</v>
      </c>
      <c r="C9267" s="9">
        <v>381</v>
      </c>
      <c r="D9267" s="0">
        <v>30</v>
      </c>
      <c r="E9267" s="10">
        <f>HYPERLINK("http://www.lingerieopt.ru/images/original/8708d042-42ae-42aa-9960-941066bf8bc3.jpg","Фото")</f>
      </c>
    </row>
    <row r="9268">
      <c r="A9268" s="7">
        <f>HYPERLINK("http://www.lingerieopt.ru/item/3437-komplekt-iz-2-muzhskih-trusov-shortov-rozovje-i-belje-s-melkim-risunkom/","3437")</f>
      </c>
      <c r="B9268" s="8" t="s">
        <v>8831</v>
      </c>
      <c r="C9268" s="9">
        <v>381</v>
      </c>
      <c r="D9268" s="0">
        <v>31</v>
      </c>
      <c r="E9268" s="10">
        <f>HYPERLINK("http://www.lingerieopt.ru/images/original/8708d042-42ae-42aa-9960-941066bf8bc3.jpg","Фото")</f>
      </c>
    </row>
    <row r="9269">
      <c r="A9269" s="7">
        <f>HYPERLINK("http://www.lingerieopt.ru/item/3437-komplekt-iz-2-muzhskih-trusov-shortov-rozovje-i-belje-s-melkim-risunkom/","3437")</f>
      </c>
      <c r="B9269" s="8" t="s">
        <v>8832</v>
      </c>
      <c r="C9269" s="9">
        <v>381</v>
      </c>
      <c r="D9269" s="0">
        <v>30</v>
      </c>
      <c r="E9269" s="10">
        <f>HYPERLINK("http://www.lingerieopt.ru/images/original/8708d042-42ae-42aa-9960-941066bf8bc3.jpg","Фото")</f>
      </c>
    </row>
    <row r="9270">
      <c r="A9270" s="7">
        <f>HYPERLINK("http://www.lingerieopt.ru/item/3437-komplekt-iz-2-muzhskih-trusov-shortov-rozovje-i-belje-s-melkim-risunkom/","3437")</f>
      </c>
      <c r="B9270" s="8" t="s">
        <v>8833</v>
      </c>
      <c r="C9270" s="9">
        <v>381</v>
      </c>
      <c r="D9270" s="0">
        <v>30</v>
      </c>
      <c r="E9270" s="10">
        <f>HYPERLINK("http://www.lingerieopt.ru/images/original/8708d042-42ae-42aa-9960-941066bf8bc3.jpg","Фото")</f>
      </c>
    </row>
    <row r="9271">
      <c r="A9271" s="7">
        <f>HYPERLINK("http://www.lingerieopt.ru/item/3438-komplekt-iz-2-muzhskih-trusov-shortov-belje-i-s-melkim-risunkom/","3438")</f>
      </c>
      <c r="B9271" s="8" t="s">
        <v>8834</v>
      </c>
      <c r="C9271" s="9">
        <v>381</v>
      </c>
      <c r="D9271" s="0">
        <v>30</v>
      </c>
      <c r="E9271" s="10">
        <f>HYPERLINK("http://www.lingerieopt.ru/images/original/40b7d983-3f5e-40b0-98ff-af7dcc63ad68.jpg","Фото")</f>
      </c>
    </row>
    <row r="9272">
      <c r="A9272" s="7">
        <f>HYPERLINK("http://www.lingerieopt.ru/item/3438-komplekt-iz-2-muzhskih-trusov-shortov-belje-i-s-melkim-risunkom/","3438")</f>
      </c>
      <c r="B9272" s="8" t="s">
        <v>8835</v>
      </c>
      <c r="C9272" s="9">
        <v>381</v>
      </c>
      <c r="D9272" s="0">
        <v>30</v>
      </c>
      <c r="E9272" s="10">
        <f>HYPERLINK("http://www.lingerieopt.ru/images/original/40b7d983-3f5e-40b0-98ff-af7dcc63ad68.jpg","Фото")</f>
      </c>
    </row>
    <row r="9273">
      <c r="A9273" s="7">
        <f>HYPERLINK("http://www.lingerieopt.ru/item/3438-komplekt-iz-2-muzhskih-trusov-shortov-belje-i-s-melkim-risunkom/","3438")</f>
      </c>
      <c r="B9273" s="8" t="s">
        <v>8836</v>
      </c>
      <c r="C9273" s="9">
        <v>381</v>
      </c>
      <c r="D9273" s="0">
        <v>30</v>
      </c>
      <c r="E9273" s="10">
        <f>HYPERLINK("http://www.lingerieopt.ru/images/original/40b7d983-3f5e-40b0-98ff-af7dcc63ad68.jpg","Фото")</f>
      </c>
    </row>
    <row r="9274">
      <c r="A9274" s="7">
        <f>HYPERLINK("http://www.lingerieopt.ru/item/3438-komplekt-iz-2-muzhskih-trusov-shortov-belje-i-s-melkim-risunkom/","3438")</f>
      </c>
      <c r="B9274" s="8" t="s">
        <v>8837</v>
      </c>
      <c r="C9274" s="9">
        <v>381</v>
      </c>
      <c r="D9274" s="0">
        <v>30</v>
      </c>
      <c r="E9274" s="10">
        <f>HYPERLINK("http://www.lingerieopt.ru/images/original/40b7d983-3f5e-40b0-98ff-af7dcc63ad68.jpg","Фото")</f>
      </c>
    </row>
    <row r="9275">
      <c r="A9275" s="7">
        <f>HYPERLINK("http://www.lingerieopt.ru/item/3439-komplekt-iz-2-muzhskih-trusov-shortov-golubje-i-belje-s-melkim-risunkom/","3439")</f>
      </c>
      <c r="B9275" s="8" t="s">
        <v>8838</v>
      </c>
      <c r="C9275" s="9">
        <v>381</v>
      </c>
      <c r="D9275" s="0">
        <v>30</v>
      </c>
      <c r="E9275" s="10">
        <f>HYPERLINK("http://www.lingerieopt.ru/images/original/fa22ab01-a8be-4b51-b16f-aeba1f0579d3.jpg","Фото")</f>
      </c>
    </row>
    <row r="9276">
      <c r="A9276" s="7">
        <f>HYPERLINK("http://www.lingerieopt.ru/item/3439-komplekt-iz-2-muzhskih-trusov-shortov-golubje-i-belje-s-melkim-risunkom/","3439")</f>
      </c>
      <c r="B9276" s="8" t="s">
        <v>8839</v>
      </c>
      <c r="C9276" s="9">
        <v>381</v>
      </c>
      <c r="D9276" s="0">
        <v>30</v>
      </c>
      <c r="E9276" s="10">
        <f>HYPERLINK("http://www.lingerieopt.ru/images/original/fa22ab01-a8be-4b51-b16f-aeba1f0579d3.jpg","Фото")</f>
      </c>
    </row>
    <row r="9277">
      <c r="A9277" s="7">
        <f>HYPERLINK("http://www.lingerieopt.ru/item/3439-komplekt-iz-2-muzhskih-trusov-shortov-golubje-i-belje-s-melkim-risunkom/","3439")</f>
      </c>
      <c r="B9277" s="8" t="s">
        <v>8840</v>
      </c>
      <c r="C9277" s="9">
        <v>381</v>
      </c>
      <c r="D9277" s="0">
        <v>0</v>
      </c>
      <c r="E9277" s="10">
        <f>HYPERLINK("http://www.lingerieopt.ru/images/original/fa22ab01-a8be-4b51-b16f-aeba1f0579d3.jpg","Фото")</f>
      </c>
    </row>
    <row r="9278">
      <c r="A9278" s="7">
        <f>HYPERLINK("http://www.lingerieopt.ru/item/3439-komplekt-iz-2-muzhskih-trusov-shortov-golubje-i-belje-s-melkim-risunkom/","3439")</f>
      </c>
      <c r="B9278" s="8" t="s">
        <v>8841</v>
      </c>
      <c r="C9278" s="9">
        <v>381</v>
      </c>
      <c r="D9278" s="0">
        <v>0</v>
      </c>
      <c r="E9278" s="10">
        <f>HYPERLINK("http://www.lingerieopt.ru/images/original/fa22ab01-a8be-4b51-b16f-aeba1f0579d3.jpg","Фото")</f>
      </c>
    </row>
    <row r="9279">
      <c r="A9279" s="7">
        <f>HYPERLINK("http://www.lingerieopt.ru/item/3922-muzhskie-hlopkovje-bokserj-s-zabavnjm-printom/","3922")</f>
      </c>
      <c r="B9279" s="8" t="s">
        <v>8842</v>
      </c>
      <c r="C9279" s="9">
        <v>444</v>
      </c>
      <c r="D9279" s="0">
        <v>0</v>
      </c>
      <c r="E9279" s="10">
        <f>HYPERLINK("http://www.lingerieopt.ru/images/original/90cd1c86-5e99-428e-8b55-39e6647cbfc7.jpg","Фото")</f>
      </c>
    </row>
    <row r="9280">
      <c r="A9280" s="7">
        <f>HYPERLINK("http://www.lingerieopt.ru/item/3922-muzhskie-hlopkovje-bokserj-s-zabavnjm-printom/","3922")</f>
      </c>
      <c r="B9280" s="8" t="s">
        <v>8843</v>
      </c>
      <c r="C9280" s="9">
        <v>444</v>
      </c>
      <c r="D9280" s="0">
        <v>0</v>
      </c>
      <c r="E9280" s="10">
        <f>HYPERLINK("http://www.lingerieopt.ru/images/original/90cd1c86-5e99-428e-8b55-39e6647cbfc7.jpg","Фото")</f>
      </c>
    </row>
    <row r="9281">
      <c r="A9281" s="7">
        <f>HYPERLINK("http://www.lingerieopt.ru/item/3922-muzhskie-hlopkovje-bokserj-s-zabavnjm-printom/","3922")</f>
      </c>
      <c r="B9281" s="8" t="s">
        <v>8844</v>
      </c>
      <c r="C9281" s="9">
        <v>444</v>
      </c>
      <c r="D9281" s="0">
        <v>2</v>
      </c>
      <c r="E9281" s="10">
        <f>HYPERLINK("http://www.lingerieopt.ru/images/original/90cd1c86-5e99-428e-8b55-39e6647cbfc7.jpg","Фото")</f>
      </c>
    </row>
    <row r="9282">
      <c r="A9282" s="7">
        <f>HYPERLINK("http://www.lingerieopt.ru/item/3922-muzhskie-hlopkovje-bokserj-s-zabavnjm-printom/","3922")</f>
      </c>
      <c r="B9282" s="8" t="s">
        <v>8845</v>
      </c>
      <c r="C9282" s="9">
        <v>444</v>
      </c>
      <c r="D9282" s="0">
        <v>0</v>
      </c>
      <c r="E9282" s="10">
        <f>HYPERLINK("http://www.lingerieopt.ru/images/original/90cd1c86-5e99-428e-8b55-39e6647cbfc7.jpg","Фото")</f>
      </c>
    </row>
    <row r="9283">
      <c r="A9283" s="7">
        <f>HYPERLINK("http://www.lingerieopt.ru/item/3922-muzhskie-hlopkovje-bokserj-s-zabavnjm-printom/","3922")</f>
      </c>
      <c r="B9283" s="8" t="s">
        <v>8846</v>
      </c>
      <c r="C9283" s="9">
        <v>444</v>
      </c>
      <c r="D9283" s="0">
        <v>0</v>
      </c>
      <c r="E9283" s="10">
        <f>HYPERLINK("http://www.lingerieopt.ru/images/original/90cd1c86-5e99-428e-8b55-39e6647cbfc7.jpg","Фото")</f>
      </c>
    </row>
    <row r="9284">
      <c r="A9284" s="7">
        <f>HYPERLINK("http://www.lingerieopt.ru/item/3922-muzhskie-hlopkovje-bokserj-s-zabavnjm-printom/","3922")</f>
      </c>
      <c r="B9284" s="8" t="s">
        <v>8847</v>
      </c>
      <c r="C9284" s="9">
        <v>444</v>
      </c>
      <c r="D9284" s="0">
        <v>6</v>
      </c>
      <c r="E9284" s="10">
        <f>HYPERLINK("http://www.lingerieopt.ru/images/original/90cd1c86-5e99-428e-8b55-39e6647cbfc7.jpg","Фото")</f>
      </c>
    </row>
    <row r="9285">
      <c r="A9285" s="7">
        <f>HYPERLINK("http://www.lingerieopt.ru/item/3923-muzhskie-brifj-hustler-na-shirokoi-rezinke-iz-mikrofibrj/","3923")</f>
      </c>
      <c r="B9285" s="8" t="s">
        <v>8848</v>
      </c>
      <c r="C9285" s="9">
        <v>444</v>
      </c>
      <c r="D9285" s="0">
        <v>30</v>
      </c>
      <c r="E9285" s="10">
        <f>HYPERLINK("http://www.lingerieopt.ru/images/original/b76fea79-46c0-4d23-a44e-c62c051c432a.jpg","Фото")</f>
      </c>
    </row>
    <row r="9286">
      <c r="A9286" s="7">
        <f>HYPERLINK("http://www.lingerieopt.ru/item/3923-muzhskie-brifj-hustler-na-shirokoi-rezinke-iz-mikrofibrj/","3923")</f>
      </c>
      <c r="B9286" s="8" t="s">
        <v>8849</v>
      </c>
      <c r="C9286" s="9">
        <v>444</v>
      </c>
      <c r="D9286" s="0">
        <v>30</v>
      </c>
      <c r="E9286" s="10">
        <f>HYPERLINK("http://www.lingerieopt.ru/images/original/b76fea79-46c0-4d23-a44e-c62c051c432a.jpg","Фото")</f>
      </c>
    </row>
    <row r="9287">
      <c r="A9287" s="7">
        <f>HYPERLINK("http://www.lingerieopt.ru/item/3923-muzhskie-brifj-hustler-na-shirokoi-rezinke-iz-mikrofibrj/","3923")</f>
      </c>
      <c r="B9287" s="8" t="s">
        <v>8850</v>
      </c>
      <c r="C9287" s="9">
        <v>444</v>
      </c>
      <c r="D9287" s="0">
        <v>6</v>
      </c>
      <c r="E9287" s="10">
        <f>HYPERLINK("http://www.lingerieopt.ru/images/original/b76fea79-46c0-4d23-a44e-c62c051c432a.jpg","Фото")</f>
      </c>
    </row>
    <row r="9288">
      <c r="A9288" s="7">
        <f>HYPERLINK("http://www.lingerieopt.ru/item/3923-muzhskie-brifj-hustler-na-shirokoi-rezinke-iz-mikrofibrj/","3923")</f>
      </c>
      <c r="B9288" s="8" t="s">
        <v>8851</v>
      </c>
      <c r="C9288" s="9">
        <v>444</v>
      </c>
      <c r="D9288" s="0">
        <v>30</v>
      </c>
      <c r="E9288" s="10">
        <f>HYPERLINK("http://www.lingerieopt.ru/images/original/b76fea79-46c0-4d23-a44e-c62c051c432a.jpg","Фото")</f>
      </c>
    </row>
    <row r="9289">
      <c r="A9289" s="7">
        <f>HYPERLINK("http://www.lingerieopt.ru/item/3923-muzhskie-brifj-hustler-na-shirokoi-rezinke-iz-mikrofibrj/","3923")</f>
      </c>
      <c r="B9289" s="8" t="s">
        <v>8852</v>
      </c>
      <c r="C9289" s="9">
        <v>444</v>
      </c>
      <c r="D9289" s="0">
        <v>30</v>
      </c>
      <c r="E9289" s="10">
        <f>HYPERLINK("http://www.lingerieopt.ru/images/original/b76fea79-46c0-4d23-a44e-c62c051c432a.jpg","Фото")</f>
      </c>
    </row>
    <row r="9290">
      <c r="A9290" s="7">
        <f>HYPERLINK("http://www.lingerieopt.ru/item/3923-muzhskie-brifj-hustler-na-shirokoi-rezinke-iz-mikrofibrj/","3923")</f>
      </c>
      <c r="B9290" s="8" t="s">
        <v>8853</v>
      </c>
      <c r="C9290" s="9">
        <v>444</v>
      </c>
      <c r="D9290" s="0">
        <v>6</v>
      </c>
      <c r="E9290" s="10">
        <f>HYPERLINK("http://www.lingerieopt.ru/images/original/b76fea79-46c0-4d23-a44e-c62c051c432a.jpg","Фото")</f>
      </c>
    </row>
    <row r="9291">
      <c r="A9291" s="7">
        <f>HYPERLINK("http://www.lingerieopt.ru/item/3993-komplekt-iz-2-muzhskih-trusov-shortov-golubje-i-belje-v-polosku/","3993")</f>
      </c>
      <c r="B9291" s="8" t="s">
        <v>8854</v>
      </c>
      <c r="C9291" s="9">
        <v>381</v>
      </c>
      <c r="D9291" s="0">
        <v>30</v>
      </c>
      <c r="E9291" s="10">
        <f>HYPERLINK("http://www.lingerieopt.ru/images/original/ed3177c6-8b8e-43bb-9d09-3d0b197cac14.jpg","Фото")</f>
      </c>
    </row>
    <row r="9292">
      <c r="A9292" s="7">
        <f>HYPERLINK("http://www.lingerieopt.ru/item/3993-komplekt-iz-2-muzhskih-trusov-shortov-golubje-i-belje-v-polosku/","3993")</f>
      </c>
      <c r="B9292" s="8" t="s">
        <v>8855</v>
      </c>
      <c r="C9292" s="9">
        <v>381</v>
      </c>
      <c r="D9292" s="0">
        <v>30</v>
      </c>
      <c r="E9292" s="10">
        <f>HYPERLINK("http://www.lingerieopt.ru/images/original/ed3177c6-8b8e-43bb-9d09-3d0b197cac14.jpg","Фото")</f>
      </c>
    </row>
    <row r="9293">
      <c r="A9293" s="7">
        <f>HYPERLINK("http://www.lingerieopt.ru/item/3993-komplekt-iz-2-muzhskih-trusov-shortov-golubje-i-belje-v-polosku/","3993")</f>
      </c>
      <c r="B9293" s="8" t="s">
        <v>8856</v>
      </c>
      <c r="C9293" s="9">
        <v>381</v>
      </c>
      <c r="D9293" s="0">
        <v>30</v>
      </c>
      <c r="E9293" s="10">
        <f>HYPERLINK("http://www.lingerieopt.ru/images/original/ed3177c6-8b8e-43bb-9d09-3d0b197cac14.jpg","Фото")</f>
      </c>
    </row>
    <row r="9294">
      <c r="A9294" s="7">
        <f>HYPERLINK("http://www.lingerieopt.ru/item/3993-komplekt-iz-2-muzhskih-trusov-shortov-golubje-i-belje-v-polosku/","3993")</f>
      </c>
      <c r="B9294" s="8" t="s">
        <v>8857</v>
      </c>
      <c r="C9294" s="9">
        <v>381</v>
      </c>
      <c r="D9294" s="0">
        <v>31</v>
      </c>
      <c r="E9294" s="10">
        <f>HYPERLINK("http://www.lingerieopt.ru/images/original/ed3177c6-8b8e-43bb-9d09-3d0b197cac14.jpg","Фото")</f>
      </c>
    </row>
    <row r="9295">
      <c r="A9295" s="7">
        <f>HYPERLINK("http://www.lingerieopt.ru/item/4377-muzhskie-trusiki-pouch-bikini/","4377")</f>
      </c>
      <c r="B9295" s="8" t="s">
        <v>8858</v>
      </c>
      <c r="C9295" s="9">
        <v>456</v>
      </c>
      <c r="D9295" s="0">
        <v>30</v>
      </c>
      <c r="E9295" s="10">
        <f>HYPERLINK("http://www.lingerieopt.ru/images/original/655f76d7-83d1-44d1-99fe-248373daae62.jpg","Фото")</f>
      </c>
    </row>
    <row r="9296">
      <c r="A9296" s="7">
        <f>HYPERLINK("http://www.lingerieopt.ru/item/4377-muzhskie-trusiki-pouch-bikini/","4377")</f>
      </c>
      <c r="B9296" s="8" t="s">
        <v>8859</v>
      </c>
      <c r="C9296" s="9">
        <v>456</v>
      </c>
      <c r="D9296" s="0">
        <v>30</v>
      </c>
      <c r="E9296" s="10">
        <f>HYPERLINK("http://www.lingerieopt.ru/images/original/655f76d7-83d1-44d1-99fe-248373daae62.jpg","Фото")</f>
      </c>
    </row>
    <row r="9297">
      <c r="A9297" s="7">
        <f>HYPERLINK("http://www.lingerieopt.ru/item/4377-muzhskie-trusiki-pouch-bikini/","4377")</f>
      </c>
      <c r="B9297" s="8" t="s">
        <v>8860</v>
      </c>
      <c r="C9297" s="9">
        <v>456</v>
      </c>
      <c r="D9297" s="0">
        <v>30</v>
      </c>
      <c r="E9297" s="10">
        <f>HYPERLINK("http://www.lingerieopt.ru/images/original/655f76d7-83d1-44d1-99fe-248373daae62.jpg","Фото")</f>
      </c>
    </row>
    <row r="9298">
      <c r="A9298" s="7">
        <f>HYPERLINK("http://www.lingerieopt.ru/item/4377-muzhskie-trusiki-pouch-bikini/","4377")</f>
      </c>
      <c r="B9298" s="8" t="s">
        <v>8861</v>
      </c>
      <c r="C9298" s="9">
        <v>456</v>
      </c>
      <c r="D9298" s="0">
        <v>30</v>
      </c>
      <c r="E9298" s="10">
        <f>HYPERLINK("http://www.lingerieopt.ru/images/original/655f76d7-83d1-44d1-99fe-248373daae62.jpg","Фото")</f>
      </c>
    </row>
    <row r="9299">
      <c r="A9299" s="7">
        <f>HYPERLINK("http://www.lingerieopt.ru/item/4377-muzhskie-trusiki-pouch-bikini/","4377")</f>
      </c>
      <c r="B9299" s="8" t="s">
        <v>8862</v>
      </c>
      <c r="C9299" s="9">
        <v>456</v>
      </c>
      <c r="D9299" s="0">
        <v>1</v>
      </c>
      <c r="E9299" s="10">
        <f>HYPERLINK("http://www.lingerieopt.ru/images/original/655f76d7-83d1-44d1-99fe-248373daae62.jpg","Фото")</f>
      </c>
    </row>
    <row r="9300">
      <c r="A9300" s="7">
        <f>HYPERLINK("http://www.lingerieopt.ru/item/4377-muzhskie-trusiki-pouch-bikini/","4377")</f>
      </c>
      <c r="B9300" s="8" t="s">
        <v>8863</v>
      </c>
      <c r="C9300" s="9">
        <v>456</v>
      </c>
      <c r="D9300" s="0">
        <v>30</v>
      </c>
      <c r="E9300" s="10">
        <f>HYPERLINK("http://www.lingerieopt.ru/images/original/655f76d7-83d1-44d1-99fe-248373daae62.jpg","Фото")</f>
      </c>
    </row>
    <row r="9301">
      <c r="A9301" s="7">
        <f>HYPERLINK("http://www.lingerieopt.ru/item/4378-muzhskie-v-stringi-iz-mikrofibrj/","4378")</f>
      </c>
      <c r="B9301" s="8" t="s">
        <v>8864</v>
      </c>
      <c r="C9301" s="9">
        <v>456</v>
      </c>
      <c r="D9301" s="0">
        <v>0</v>
      </c>
      <c r="E9301" s="10">
        <f>HYPERLINK("http://www.lingerieopt.ru/images/original/33e9200e-656b-4476-bc23-ab27f1d8b70a.jpg","Фото")</f>
      </c>
    </row>
    <row r="9302">
      <c r="A9302" s="7">
        <f>HYPERLINK("http://www.lingerieopt.ru/item/4378-muzhskie-v-stringi-iz-mikrofibrj/","4378")</f>
      </c>
      <c r="B9302" s="8" t="s">
        <v>8865</v>
      </c>
      <c r="C9302" s="9">
        <v>456</v>
      </c>
      <c r="D9302" s="0">
        <v>0</v>
      </c>
      <c r="E9302" s="10">
        <f>HYPERLINK("http://www.lingerieopt.ru/images/original/33e9200e-656b-4476-bc23-ab27f1d8b70a.jpg","Фото")</f>
      </c>
    </row>
    <row r="9303">
      <c r="A9303" s="7">
        <f>HYPERLINK("http://www.lingerieopt.ru/item/4378-muzhskie-v-stringi-iz-mikrofibrj/","4378")</f>
      </c>
      <c r="B9303" s="8" t="s">
        <v>8866</v>
      </c>
      <c r="C9303" s="9">
        <v>456</v>
      </c>
      <c r="D9303" s="0">
        <v>1</v>
      </c>
      <c r="E9303" s="10">
        <f>HYPERLINK("http://www.lingerieopt.ru/images/original/33e9200e-656b-4476-bc23-ab27f1d8b70a.jpg","Фото")</f>
      </c>
    </row>
    <row r="9304">
      <c r="A9304" s="7">
        <f>HYPERLINK("http://www.lingerieopt.ru/item/4378-muzhskie-v-stringi-iz-mikrofibrj/","4378")</f>
      </c>
      <c r="B9304" s="8" t="s">
        <v>8867</v>
      </c>
      <c r="C9304" s="9">
        <v>456</v>
      </c>
      <c r="D9304" s="0">
        <v>0</v>
      </c>
      <c r="E9304" s="10">
        <f>HYPERLINK("http://www.lingerieopt.ru/images/original/33e9200e-656b-4476-bc23-ab27f1d8b70a.jpg","Фото")</f>
      </c>
    </row>
    <row r="9305">
      <c r="A9305" s="7">
        <f>HYPERLINK("http://www.lingerieopt.ru/item/4378-muzhskie-v-stringi-iz-mikrofibrj/","4378")</f>
      </c>
      <c r="B9305" s="8" t="s">
        <v>8868</v>
      </c>
      <c r="C9305" s="9">
        <v>456</v>
      </c>
      <c r="D9305" s="0">
        <v>0</v>
      </c>
      <c r="E9305" s="10">
        <f>HYPERLINK("http://www.lingerieopt.ru/images/original/33e9200e-656b-4476-bc23-ab27f1d8b70a.jpg","Фото")</f>
      </c>
    </row>
    <row r="9306">
      <c r="A9306" s="7">
        <f>HYPERLINK("http://www.lingerieopt.ru/item/4378-muzhskie-v-stringi-iz-mikrofibrj/","4378")</f>
      </c>
      <c r="B9306" s="8" t="s">
        <v>8869</v>
      </c>
      <c r="C9306" s="9">
        <v>456</v>
      </c>
      <c r="D9306" s="0">
        <v>0</v>
      </c>
      <c r="E9306" s="10">
        <f>HYPERLINK("http://www.lingerieopt.ru/images/original/33e9200e-656b-4476-bc23-ab27f1d8b70a.jpg","Фото")</f>
      </c>
    </row>
    <row r="9307">
      <c r="A9307" s="7">
        <f>HYPERLINK("http://www.lingerieopt.ru/item/4379-muzhskie-tanga-iz-mikrofibrj/","4379")</f>
      </c>
      <c r="B9307" s="8" t="s">
        <v>8870</v>
      </c>
      <c r="C9307" s="9">
        <v>547</v>
      </c>
      <c r="D9307" s="0">
        <v>0</v>
      </c>
      <c r="E9307" s="10">
        <f>HYPERLINK("http://www.lingerieopt.ru/images/original/0f5aaef6-8ae1-48de-ac54-2cfdaa3d90b5.jpg","Фото")</f>
      </c>
    </row>
    <row r="9308">
      <c r="A9308" s="7">
        <f>HYPERLINK("http://www.lingerieopt.ru/item/4379-muzhskie-tanga-iz-mikrofibrj/","4379")</f>
      </c>
      <c r="B9308" s="8" t="s">
        <v>8871</v>
      </c>
      <c r="C9308" s="9">
        <v>547</v>
      </c>
      <c r="D9308" s="0">
        <v>0</v>
      </c>
      <c r="E9308" s="10">
        <f>HYPERLINK("http://www.lingerieopt.ru/images/original/0f5aaef6-8ae1-48de-ac54-2cfdaa3d90b5.jpg","Фото")</f>
      </c>
    </row>
    <row r="9309">
      <c r="A9309" s="7">
        <f>HYPERLINK("http://www.lingerieopt.ru/item/4379-muzhskie-tanga-iz-mikrofibrj/","4379")</f>
      </c>
      <c r="B9309" s="8" t="s">
        <v>8872</v>
      </c>
      <c r="C9309" s="9">
        <v>547</v>
      </c>
      <c r="D9309" s="0">
        <v>30</v>
      </c>
      <c r="E9309" s="10">
        <f>HYPERLINK("http://www.lingerieopt.ru/images/original/0f5aaef6-8ae1-48de-ac54-2cfdaa3d90b5.jpg","Фото")</f>
      </c>
    </row>
    <row r="9310">
      <c r="A9310" s="7">
        <f>HYPERLINK("http://www.lingerieopt.ru/item/4379-muzhskie-tanga-iz-mikrofibrj/","4379")</f>
      </c>
      <c r="B9310" s="8" t="s">
        <v>8873</v>
      </c>
      <c r="C9310" s="9">
        <v>547</v>
      </c>
      <c r="D9310" s="0">
        <v>0</v>
      </c>
      <c r="E9310" s="10">
        <f>HYPERLINK("http://www.lingerieopt.ru/images/original/0f5aaef6-8ae1-48de-ac54-2cfdaa3d90b5.jpg","Фото")</f>
      </c>
    </row>
    <row r="9311">
      <c r="A9311" s="7">
        <f>HYPERLINK("http://www.lingerieopt.ru/item/4379-muzhskie-tanga-iz-mikrofibrj/","4379")</f>
      </c>
      <c r="B9311" s="8" t="s">
        <v>8874</v>
      </c>
      <c r="C9311" s="9">
        <v>547</v>
      </c>
      <c r="D9311" s="0">
        <v>6</v>
      </c>
      <c r="E9311" s="10">
        <f>HYPERLINK("http://www.lingerieopt.ru/images/original/0f5aaef6-8ae1-48de-ac54-2cfdaa3d90b5.jpg","Фото")</f>
      </c>
    </row>
    <row r="9312">
      <c r="A9312" s="7">
        <f>HYPERLINK("http://www.lingerieopt.ru/item/4379-muzhskie-tanga-iz-mikrofibrj/","4379")</f>
      </c>
      <c r="B9312" s="8" t="s">
        <v>8875</v>
      </c>
      <c r="C9312" s="9">
        <v>547</v>
      </c>
      <c r="D9312" s="0">
        <v>30</v>
      </c>
      <c r="E9312" s="10">
        <f>HYPERLINK("http://www.lingerieopt.ru/images/original/0f5aaef6-8ae1-48de-ac54-2cfdaa3d90b5.jpg","Фото")</f>
      </c>
    </row>
    <row r="9313">
      <c r="A9313" s="7">
        <f>HYPERLINK("http://www.lingerieopt.ru/item/4382-muzhskie-v-stringi/","4382")</f>
      </c>
      <c r="B9313" s="8" t="s">
        <v>8876</v>
      </c>
      <c r="C9313" s="9">
        <v>456</v>
      </c>
      <c r="D9313" s="0">
        <v>3</v>
      </c>
      <c r="E9313" s="10">
        <f>HYPERLINK("http://www.lingerieopt.ru/images/original/ea0bb6a9-e433-44a8-bad6-1dc60d718402.jpg","Фото")</f>
      </c>
    </row>
    <row r="9314">
      <c r="A9314" s="7">
        <f>HYPERLINK("http://www.lingerieopt.ru/item/4382-muzhskie-v-stringi/","4382")</f>
      </c>
      <c r="B9314" s="8" t="s">
        <v>8877</v>
      </c>
      <c r="C9314" s="9">
        <v>456</v>
      </c>
      <c r="D9314" s="0">
        <v>1</v>
      </c>
      <c r="E9314" s="10">
        <f>HYPERLINK("http://www.lingerieopt.ru/images/original/ea0bb6a9-e433-44a8-bad6-1dc60d718402.jpg","Фото")</f>
      </c>
    </row>
    <row r="9315">
      <c r="A9315" s="7">
        <f>HYPERLINK("http://www.lingerieopt.ru/item/4384-muzhskie-shortj-hipsterj/","4384")</f>
      </c>
      <c r="B9315" s="8" t="s">
        <v>8878</v>
      </c>
      <c r="C9315" s="9">
        <v>456</v>
      </c>
      <c r="D9315" s="0">
        <v>7</v>
      </c>
      <c r="E9315" s="10">
        <f>HYPERLINK("http://www.lingerieopt.ru/images/original/8a4b73f9-532a-41d1-a52a-2918447ecbe6.jpg","Фото")</f>
      </c>
    </row>
    <row r="9316">
      <c r="A9316" s="7">
        <f>HYPERLINK("http://www.lingerieopt.ru/item/4384-muzhskie-shortj-hipsterj/","4384")</f>
      </c>
      <c r="B9316" s="8" t="s">
        <v>8879</v>
      </c>
      <c r="C9316" s="9">
        <v>456</v>
      </c>
      <c r="D9316" s="0">
        <v>6</v>
      </c>
      <c r="E9316" s="10">
        <f>HYPERLINK("http://www.lingerieopt.ru/images/original/8a4b73f9-532a-41d1-a52a-2918447ecbe6.jpg","Фото")</f>
      </c>
    </row>
    <row r="9317">
      <c r="A9317" s="7">
        <f>HYPERLINK("http://www.lingerieopt.ru/item/4385-komfortnje-muzhskie-trusj-dzhoki/","4385")</f>
      </c>
      <c r="B9317" s="8" t="s">
        <v>8880</v>
      </c>
      <c r="C9317" s="9">
        <v>513</v>
      </c>
      <c r="D9317" s="0">
        <v>1</v>
      </c>
      <c r="E9317" s="10">
        <f>HYPERLINK("http://www.lingerieopt.ru/images/original/dfcc1d4a-b787-4a85-86b4-847f6aa3d7f5.jpg","Фото")</f>
      </c>
    </row>
    <row r="9318">
      <c r="A9318" s="7">
        <f>HYPERLINK("http://www.lingerieopt.ru/item/4385-komfortnje-muzhskie-trusj-dzhoki/","4385")</f>
      </c>
      <c r="B9318" s="8" t="s">
        <v>8881</v>
      </c>
      <c r="C9318" s="9">
        <v>513</v>
      </c>
      <c r="D9318" s="0">
        <v>1</v>
      </c>
      <c r="E9318" s="10">
        <f>HYPERLINK("http://www.lingerieopt.ru/images/original/dfcc1d4a-b787-4a85-86b4-847f6aa3d7f5.jpg","Фото")</f>
      </c>
    </row>
    <row r="9319">
      <c r="A9319" s="7">
        <f>HYPERLINK("http://www.lingerieopt.ru/item/4385-komfortnje-muzhskie-trusj-dzhoki/","4385")</f>
      </c>
      <c r="B9319" s="8" t="s">
        <v>8882</v>
      </c>
      <c r="C9319" s="9">
        <v>513</v>
      </c>
      <c r="D9319" s="0">
        <v>0</v>
      </c>
      <c r="E9319" s="10">
        <f>HYPERLINK("http://www.lingerieopt.ru/images/original/dfcc1d4a-b787-4a85-86b4-847f6aa3d7f5.jpg","Фото")</f>
      </c>
    </row>
    <row r="9320">
      <c r="A9320" s="7">
        <f>HYPERLINK("http://www.lingerieopt.ru/item/4385-komfortnje-muzhskie-trusj-dzhoki/","4385")</f>
      </c>
      <c r="B9320" s="8" t="s">
        <v>8883</v>
      </c>
      <c r="C9320" s="9">
        <v>513</v>
      </c>
      <c r="D9320" s="0">
        <v>0</v>
      </c>
      <c r="E9320" s="10">
        <f>HYPERLINK("http://www.lingerieopt.ru/images/original/dfcc1d4a-b787-4a85-86b4-847f6aa3d7f5.jpg","Фото")</f>
      </c>
    </row>
    <row r="9321">
      <c r="A9321" s="7">
        <f>HYPERLINK("http://www.lingerieopt.ru/item/4386-muzhskie-tanga-iz-setki/","4386")</f>
      </c>
      <c r="B9321" s="8" t="s">
        <v>8884</v>
      </c>
      <c r="C9321" s="9">
        <v>456</v>
      </c>
      <c r="D9321" s="0">
        <v>6</v>
      </c>
      <c r="E9321" s="10">
        <f>HYPERLINK("http://www.lingerieopt.ru/images/original/fa378903-0262-40d8-bb79-05d5f1a8b840.jpg","Фото")</f>
      </c>
    </row>
    <row r="9322">
      <c r="A9322" s="7">
        <f>HYPERLINK("http://www.lingerieopt.ru/item/4386-muzhskie-tanga-iz-setki/","4386")</f>
      </c>
      <c r="B9322" s="8" t="s">
        <v>8885</v>
      </c>
      <c r="C9322" s="9">
        <v>456</v>
      </c>
      <c r="D9322" s="0">
        <v>0</v>
      </c>
      <c r="E9322" s="10">
        <f>HYPERLINK("http://www.lingerieopt.ru/images/original/fa378903-0262-40d8-bb79-05d5f1a8b840.jpg","Фото")</f>
      </c>
    </row>
    <row r="9323">
      <c r="A9323" s="7">
        <f>HYPERLINK("http://www.lingerieopt.ru/item/4386-muzhskie-tanga-iz-setki/","4386")</f>
      </c>
      <c r="B9323" s="8" t="s">
        <v>8886</v>
      </c>
      <c r="C9323" s="9">
        <v>456</v>
      </c>
      <c r="D9323" s="0">
        <v>30</v>
      </c>
      <c r="E9323" s="10">
        <f>HYPERLINK("http://www.lingerieopt.ru/images/original/fa378903-0262-40d8-bb79-05d5f1a8b840.jpg","Фото")</f>
      </c>
    </row>
    <row r="9324">
      <c r="A9324" s="7">
        <f>HYPERLINK("http://www.lingerieopt.ru/item/4386-muzhskie-tanga-iz-setki/","4386")</f>
      </c>
      <c r="B9324" s="8" t="s">
        <v>8887</v>
      </c>
      <c r="C9324" s="9">
        <v>456</v>
      </c>
      <c r="D9324" s="0">
        <v>6</v>
      </c>
      <c r="E9324" s="10">
        <f>HYPERLINK("http://www.lingerieopt.ru/images/original/fa378903-0262-40d8-bb79-05d5f1a8b840.jpg","Фото")</f>
      </c>
    </row>
    <row r="9325">
      <c r="A9325" s="7">
        <f>HYPERLINK("http://www.lingerieopt.ru/item/4386-muzhskie-tanga-iz-setki/","4386")</f>
      </c>
      <c r="B9325" s="8" t="s">
        <v>8888</v>
      </c>
      <c r="C9325" s="9">
        <v>456</v>
      </c>
      <c r="D9325" s="0">
        <v>0</v>
      </c>
      <c r="E9325" s="10">
        <f>HYPERLINK("http://www.lingerieopt.ru/images/original/fa378903-0262-40d8-bb79-05d5f1a8b840.jpg","Фото")</f>
      </c>
    </row>
    <row r="9326">
      <c r="A9326" s="7">
        <f>HYPERLINK("http://www.lingerieopt.ru/item/4386-muzhskie-tanga-iz-setki/","4386")</f>
      </c>
      <c r="B9326" s="8" t="s">
        <v>8889</v>
      </c>
      <c r="C9326" s="9">
        <v>456</v>
      </c>
      <c r="D9326" s="0">
        <v>30</v>
      </c>
      <c r="E9326" s="10">
        <f>HYPERLINK("http://www.lingerieopt.ru/images/original/fa378903-0262-40d8-bb79-05d5f1a8b840.jpg","Фото")</f>
      </c>
    </row>
    <row r="9327">
      <c r="A9327" s="7">
        <f>HYPERLINK("http://www.lingerieopt.ru/item/4387-muzhskie-tanga-iz-mikrofibrj/","4387")</f>
      </c>
      <c r="B9327" s="8" t="s">
        <v>8873</v>
      </c>
      <c r="C9327" s="9">
        <v>456</v>
      </c>
      <c r="D9327" s="0">
        <v>0</v>
      </c>
      <c r="E9327" s="10">
        <f>HYPERLINK("http://www.lingerieopt.ru/images/original/6bb5f196-77f4-4ead-b36e-c73a93d6578a.jpg","Фото")</f>
      </c>
    </row>
    <row r="9328">
      <c r="A9328" s="7">
        <f>HYPERLINK("http://www.lingerieopt.ru/item/4387-muzhskie-tanga-iz-mikrofibrj/","4387")</f>
      </c>
      <c r="B9328" s="8" t="s">
        <v>8874</v>
      </c>
      <c r="C9328" s="9">
        <v>456</v>
      </c>
      <c r="D9328" s="0">
        <v>0</v>
      </c>
      <c r="E9328" s="10">
        <f>HYPERLINK("http://www.lingerieopt.ru/images/original/6bb5f196-77f4-4ead-b36e-c73a93d6578a.jpg","Фото")</f>
      </c>
    </row>
    <row r="9329">
      <c r="A9329" s="7">
        <f>HYPERLINK("http://www.lingerieopt.ru/item/4387-muzhskie-tanga-iz-mikrofibrj/","4387")</f>
      </c>
      <c r="B9329" s="8" t="s">
        <v>8875</v>
      </c>
      <c r="C9329" s="9">
        <v>456</v>
      </c>
      <c r="D9329" s="0">
        <v>3</v>
      </c>
      <c r="E9329" s="10">
        <f>HYPERLINK("http://www.lingerieopt.ru/images/original/6bb5f196-77f4-4ead-b36e-c73a93d6578a.jpg","Фото")</f>
      </c>
    </row>
    <row r="9330">
      <c r="A9330" s="7">
        <f>HYPERLINK("http://www.lingerieopt.ru/item/4387-muzhskie-tanga-iz-mikrofibrj/","4387")</f>
      </c>
      <c r="B9330" s="8" t="s">
        <v>8870</v>
      </c>
      <c r="C9330" s="9">
        <v>456</v>
      </c>
      <c r="D9330" s="0">
        <v>0</v>
      </c>
      <c r="E9330" s="10">
        <f>HYPERLINK("http://www.lingerieopt.ru/images/original/6bb5f196-77f4-4ead-b36e-c73a93d6578a.jpg","Фото")</f>
      </c>
    </row>
    <row r="9331">
      <c r="A9331" s="7">
        <f>HYPERLINK("http://www.lingerieopt.ru/item/4387-muzhskie-tanga-iz-mikrofibrj/","4387")</f>
      </c>
      <c r="B9331" s="8" t="s">
        <v>8871</v>
      </c>
      <c r="C9331" s="9">
        <v>456</v>
      </c>
      <c r="D9331" s="0">
        <v>0</v>
      </c>
      <c r="E9331" s="10">
        <f>HYPERLINK("http://www.lingerieopt.ru/images/original/6bb5f196-77f4-4ead-b36e-c73a93d6578a.jpg","Фото")</f>
      </c>
    </row>
    <row r="9332">
      <c r="A9332" s="7">
        <f>HYPERLINK("http://www.lingerieopt.ru/item/4387-muzhskie-tanga-iz-mikrofibrj/","4387")</f>
      </c>
      <c r="B9332" s="8" t="s">
        <v>8872</v>
      </c>
      <c r="C9332" s="9">
        <v>456</v>
      </c>
      <c r="D9332" s="0">
        <v>30</v>
      </c>
      <c r="E9332" s="10">
        <f>HYPERLINK("http://www.lingerieopt.ru/images/original/6bb5f196-77f4-4ead-b36e-c73a93d6578a.jpg","Фото")</f>
      </c>
    </row>
    <row r="9333">
      <c r="A9333" s="7">
        <f>HYPERLINK("http://www.lingerieopt.ru/item/4388-muzhskie-oblegayuschie-bokserj-trank-iz-mikrofibrj/","4388")</f>
      </c>
      <c r="B9333" s="8" t="s">
        <v>8890</v>
      </c>
      <c r="C9333" s="9">
        <v>511</v>
      </c>
      <c r="D9333" s="0">
        <v>30</v>
      </c>
      <c r="E9333" s="10">
        <f>HYPERLINK("http://www.lingerieopt.ru/images/original/d0c3b767-3cd1-4403-9ebd-d133373c182e.jpg","Фото")</f>
      </c>
    </row>
    <row r="9334">
      <c r="A9334" s="7">
        <f>HYPERLINK("http://www.lingerieopt.ru/item/4388-muzhskie-oblegayuschie-bokserj-trank-iz-mikrofibrj/","4388")</f>
      </c>
      <c r="B9334" s="8" t="s">
        <v>8891</v>
      </c>
      <c r="C9334" s="9">
        <v>511</v>
      </c>
      <c r="D9334" s="0">
        <v>0</v>
      </c>
      <c r="E9334" s="10">
        <f>HYPERLINK("http://www.lingerieopt.ru/images/original/d0c3b767-3cd1-4403-9ebd-d133373c182e.jpg","Фото")</f>
      </c>
    </row>
    <row r="9335">
      <c r="A9335" s="7">
        <f>HYPERLINK("http://www.lingerieopt.ru/item/4388-muzhskie-oblegayuschie-bokserj-trank-iz-mikrofibrj/","4388")</f>
      </c>
      <c r="B9335" s="8" t="s">
        <v>8892</v>
      </c>
      <c r="C9335" s="9">
        <v>511</v>
      </c>
      <c r="D9335" s="0">
        <v>30</v>
      </c>
      <c r="E9335" s="10">
        <f>HYPERLINK("http://www.lingerieopt.ru/images/original/d0c3b767-3cd1-4403-9ebd-d133373c182e.jpg","Фото")</f>
      </c>
    </row>
    <row r="9336">
      <c r="A9336" s="7">
        <f>HYPERLINK("http://www.lingerieopt.ru/item/4388-muzhskie-oblegayuschie-bokserj-trank-iz-mikrofibrj/","4388")</f>
      </c>
      <c r="B9336" s="8" t="s">
        <v>8893</v>
      </c>
      <c r="C9336" s="9">
        <v>511</v>
      </c>
      <c r="D9336" s="0">
        <v>0</v>
      </c>
      <c r="E9336" s="10">
        <f>HYPERLINK("http://www.lingerieopt.ru/images/original/d0c3b767-3cd1-4403-9ebd-d133373c182e.jpg","Фото")</f>
      </c>
    </row>
    <row r="9337">
      <c r="A9337" s="7">
        <f>HYPERLINK("http://www.lingerieopt.ru/item/4388-muzhskie-oblegayuschie-bokserj-trank-iz-mikrofibrj/","4388")</f>
      </c>
      <c r="B9337" s="8" t="s">
        <v>8894</v>
      </c>
      <c r="C9337" s="9">
        <v>511</v>
      </c>
      <c r="D9337" s="0">
        <v>6</v>
      </c>
      <c r="E9337" s="10">
        <f>HYPERLINK("http://www.lingerieopt.ru/images/original/d0c3b767-3cd1-4403-9ebd-d133373c182e.jpg","Фото")</f>
      </c>
    </row>
    <row r="9338">
      <c r="A9338" s="7">
        <f>HYPERLINK("http://www.lingerieopt.ru/item/4388-muzhskie-oblegayuschie-bokserj-trank-iz-mikrofibrj/","4388")</f>
      </c>
      <c r="B9338" s="8" t="s">
        <v>8895</v>
      </c>
      <c r="C9338" s="9">
        <v>511</v>
      </c>
      <c r="D9338" s="0">
        <v>1</v>
      </c>
      <c r="E9338" s="10">
        <f>HYPERLINK("http://www.lingerieopt.ru/images/original/d0c3b767-3cd1-4403-9ebd-d133373c182e.jpg","Фото")</f>
      </c>
    </row>
    <row r="9339">
      <c r="A9339" s="7">
        <f>HYPERLINK("http://www.lingerieopt.ru/item/4389-muzhskie-side-tie-bikini-s-nizkoi-posadkoi/","4389")</f>
      </c>
      <c r="B9339" s="8" t="s">
        <v>8896</v>
      </c>
      <c r="C9339" s="9">
        <v>456</v>
      </c>
      <c r="D9339" s="0">
        <v>0</v>
      </c>
      <c r="E9339" s="10">
        <f>HYPERLINK("http://www.lingerieopt.ru/images/original/5bcac293-4288-48d6-a037-f86805ecfb67.jpg","Фото")</f>
      </c>
    </row>
    <row r="9340">
      <c r="A9340" s="7">
        <f>HYPERLINK("http://www.lingerieopt.ru/item/4389-muzhskie-side-tie-bikini-s-nizkoi-posadkoi/","4389")</f>
      </c>
      <c r="B9340" s="8" t="s">
        <v>8897</v>
      </c>
      <c r="C9340" s="9">
        <v>456</v>
      </c>
      <c r="D9340" s="0">
        <v>0</v>
      </c>
      <c r="E9340" s="10">
        <f>HYPERLINK("http://www.lingerieopt.ru/images/original/5bcac293-4288-48d6-a037-f86805ecfb67.jpg","Фото")</f>
      </c>
    </row>
    <row r="9341">
      <c r="A9341" s="7">
        <f>HYPERLINK("http://www.lingerieopt.ru/item/4389-muzhskie-side-tie-bikini-s-nizkoi-posadkoi/","4389")</f>
      </c>
      <c r="B9341" s="8" t="s">
        <v>8898</v>
      </c>
      <c r="C9341" s="9">
        <v>456</v>
      </c>
      <c r="D9341" s="0">
        <v>0</v>
      </c>
      <c r="E9341" s="10">
        <f>HYPERLINK("http://www.lingerieopt.ru/images/original/5bcac293-4288-48d6-a037-f86805ecfb67.jpg","Фото")</f>
      </c>
    </row>
    <row r="9342">
      <c r="A9342" s="7">
        <f>HYPERLINK("http://www.lingerieopt.ru/item/4389-muzhskie-side-tie-bikini-s-nizkoi-posadkoi/","4389")</f>
      </c>
      <c r="B9342" s="8" t="s">
        <v>8899</v>
      </c>
      <c r="C9342" s="9">
        <v>456</v>
      </c>
      <c r="D9342" s="0">
        <v>0</v>
      </c>
      <c r="E9342" s="10">
        <f>HYPERLINK("http://www.lingerieopt.ru/images/original/5bcac293-4288-48d6-a037-f86805ecfb67.jpg","Фото")</f>
      </c>
    </row>
    <row r="9343">
      <c r="A9343" s="7">
        <f>HYPERLINK("http://www.lingerieopt.ru/item/4389-muzhskie-side-tie-bikini-s-nizkoi-posadkoi/","4389")</f>
      </c>
      <c r="B9343" s="8" t="s">
        <v>8900</v>
      </c>
      <c r="C9343" s="9">
        <v>456</v>
      </c>
      <c r="D9343" s="0">
        <v>1</v>
      </c>
      <c r="E9343" s="10">
        <f>HYPERLINK("http://www.lingerieopt.ru/images/original/5bcac293-4288-48d6-a037-f86805ecfb67.jpg","Фото")</f>
      </c>
    </row>
    <row r="9344">
      <c r="A9344" s="7">
        <f>HYPERLINK("http://www.lingerieopt.ru/item/4392-trusj-dzhok-strap-iz-mikrofibrj/","4392")</f>
      </c>
      <c r="B9344" s="8" t="s">
        <v>8901</v>
      </c>
      <c r="C9344" s="9">
        <v>456</v>
      </c>
      <c r="D9344" s="0">
        <v>1</v>
      </c>
      <c r="E9344" s="10">
        <f>HYPERLINK("http://www.lingerieopt.ru/images/original/13f3a898-2220-4331-a94b-592894adad4a.jpg","Фото")</f>
      </c>
    </row>
    <row r="9345">
      <c r="A9345" s="7">
        <f>HYPERLINK("http://www.lingerieopt.ru/item/4392-trusj-dzhok-strap-iz-mikrofibrj/","4392")</f>
      </c>
      <c r="B9345" s="8" t="s">
        <v>8902</v>
      </c>
      <c r="C9345" s="9">
        <v>456</v>
      </c>
      <c r="D9345" s="0">
        <v>1</v>
      </c>
      <c r="E9345" s="10">
        <f>HYPERLINK("http://www.lingerieopt.ru/images/original/13f3a898-2220-4331-a94b-592894adad4a.jpg","Фото")</f>
      </c>
    </row>
    <row r="9346">
      <c r="A9346" s="7">
        <f>HYPERLINK("http://www.lingerieopt.ru/item/4393-muzhskie-trusj-bokserj-na-shnurovke/","4393")</f>
      </c>
      <c r="B9346" s="8" t="s">
        <v>8903</v>
      </c>
      <c r="C9346" s="9">
        <v>513</v>
      </c>
      <c r="D9346" s="0">
        <v>6</v>
      </c>
      <c r="E9346" s="10">
        <f>HYPERLINK("http://www.lingerieopt.ru/images/original/959361e0-c479-4ec8-8376-92d61f896b28.jpg","Фото")</f>
      </c>
    </row>
    <row r="9347">
      <c r="A9347" s="7">
        <f>HYPERLINK("http://www.lingerieopt.ru/item/4393-muzhskie-trusj-bokserj-na-shnurovke/","4393")</f>
      </c>
      <c r="B9347" s="8" t="s">
        <v>8904</v>
      </c>
      <c r="C9347" s="9">
        <v>513</v>
      </c>
      <c r="D9347" s="0">
        <v>1</v>
      </c>
      <c r="E9347" s="10">
        <f>HYPERLINK("http://www.lingerieopt.ru/images/original/959361e0-c479-4ec8-8376-92d61f896b28.jpg","Фото")</f>
      </c>
    </row>
    <row r="9348">
      <c r="A9348" s="7">
        <f>HYPERLINK("http://www.lingerieopt.ru/item/4393-muzhskie-trusj-bokserj-na-shnurovke/","4393")</f>
      </c>
      <c r="B9348" s="8" t="s">
        <v>8905</v>
      </c>
      <c r="C9348" s="9">
        <v>513</v>
      </c>
      <c r="D9348" s="0">
        <v>30</v>
      </c>
      <c r="E9348" s="10">
        <f>HYPERLINK("http://www.lingerieopt.ru/images/original/959361e0-c479-4ec8-8376-92d61f896b28.jpg","Фото")</f>
      </c>
    </row>
    <row r="9349">
      <c r="A9349" s="7">
        <f>HYPERLINK("http://www.lingerieopt.ru/item/4393-muzhskie-trusj-bokserj-na-shnurovke/","4393")</f>
      </c>
      <c r="B9349" s="8" t="s">
        <v>8906</v>
      </c>
      <c r="C9349" s="9">
        <v>513</v>
      </c>
      <c r="D9349" s="0">
        <v>30</v>
      </c>
      <c r="E9349" s="10">
        <f>HYPERLINK("http://www.lingerieopt.ru/images/original/959361e0-c479-4ec8-8376-92d61f896b28.jpg","Фото")</f>
      </c>
    </row>
    <row r="9350">
      <c r="A9350" s="7">
        <f>HYPERLINK("http://www.lingerieopt.ru/item/4393-muzhskie-trusj-bokserj-na-shnurovke/","4393")</f>
      </c>
      <c r="B9350" s="8" t="s">
        <v>8907</v>
      </c>
      <c r="C9350" s="9">
        <v>513</v>
      </c>
      <c r="D9350" s="0">
        <v>3</v>
      </c>
      <c r="E9350" s="10">
        <f>HYPERLINK("http://www.lingerieopt.ru/images/original/959361e0-c479-4ec8-8376-92d61f896b28.jpg","Фото")</f>
      </c>
    </row>
    <row r="9351">
      <c r="A9351" s="7">
        <f>HYPERLINK("http://www.lingerieopt.ru/item/4393-muzhskie-trusj-bokserj-na-shnurovke/","4393")</f>
      </c>
      <c r="B9351" s="8" t="s">
        <v>8908</v>
      </c>
      <c r="C9351" s="9">
        <v>513</v>
      </c>
      <c r="D9351" s="0">
        <v>6</v>
      </c>
      <c r="E9351" s="10">
        <f>HYPERLINK("http://www.lingerieopt.ru/images/original/959361e0-c479-4ec8-8376-92d61f896b28.jpg","Фото")</f>
      </c>
    </row>
    <row r="9352">
      <c r="A9352" s="7">
        <f>HYPERLINK("http://www.lingerieopt.ru/item/4394-muzhskie-g-stringi-iz-setchatoi-tkani/","4394")</f>
      </c>
      <c r="B9352" s="8" t="s">
        <v>8909</v>
      </c>
      <c r="C9352" s="9">
        <v>456</v>
      </c>
      <c r="D9352" s="0">
        <v>30</v>
      </c>
      <c r="E9352" s="10">
        <f>HYPERLINK("http://www.lingerieopt.ru/images/original/c04a4bfb-cb54-40e0-9240-00568b447edd.jpg","Фото")</f>
      </c>
    </row>
    <row r="9353">
      <c r="A9353" s="7">
        <f>HYPERLINK("http://www.lingerieopt.ru/item/4394-muzhskie-g-stringi-iz-setchatoi-tkani/","4394")</f>
      </c>
      <c r="B9353" s="8" t="s">
        <v>8910</v>
      </c>
      <c r="C9353" s="9">
        <v>456</v>
      </c>
      <c r="D9353" s="0">
        <v>30</v>
      </c>
      <c r="E9353" s="10">
        <f>HYPERLINK("http://www.lingerieopt.ru/images/original/c04a4bfb-cb54-40e0-9240-00568b447edd.jpg","Фото")</f>
      </c>
    </row>
    <row r="9354">
      <c r="A9354" s="7">
        <f>HYPERLINK("http://www.lingerieopt.ru/item/4394-muzhskie-g-stringi-iz-setchatoi-tkani/","4394")</f>
      </c>
      <c r="B9354" s="8" t="s">
        <v>8911</v>
      </c>
      <c r="C9354" s="9">
        <v>456</v>
      </c>
      <c r="D9354" s="0">
        <v>30</v>
      </c>
      <c r="E9354" s="10">
        <f>HYPERLINK("http://www.lingerieopt.ru/images/original/c04a4bfb-cb54-40e0-9240-00568b447edd.jpg","Фото")</f>
      </c>
    </row>
    <row r="9355">
      <c r="A9355" s="7">
        <f>HYPERLINK("http://www.lingerieopt.ru/item/4394-muzhskie-g-stringi-iz-setchatoi-tkani/","4394")</f>
      </c>
      <c r="B9355" s="8" t="s">
        <v>8912</v>
      </c>
      <c r="C9355" s="9">
        <v>456</v>
      </c>
      <c r="D9355" s="0">
        <v>30</v>
      </c>
      <c r="E9355" s="10">
        <f>HYPERLINK("http://www.lingerieopt.ru/images/original/c04a4bfb-cb54-40e0-9240-00568b447edd.jpg","Фото")</f>
      </c>
    </row>
    <row r="9356">
      <c r="A9356" s="7">
        <f>HYPERLINK("http://www.lingerieopt.ru/item/4394-muzhskie-g-stringi-iz-setchatoi-tkani/","4394")</f>
      </c>
      <c r="B9356" s="8" t="s">
        <v>8913</v>
      </c>
      <c r="C9356" s="9">
        <v>456</v>
      </c>
      <c r="D9356" s="0">
        <v>1</v>
      </c>
      <c r="E9356" s="10">
        <f>HYPERLINK("http://www.lingerieopt.ru/images/original/c04a4bfb-cb54-40e0-9240-00568b447edd.jpg","Фото")</f>
      </c>
    </row>
    <row r="9357">
      <c r="A9357" s="7">
        <f>HYPERLINK("http://www.lingerieopt.ru/item/4394-muzhskie-g-stringi-iz-setchatoi-tkani/","4394")</f>
      </c>
      <c r="B9357" s="8" t="s">
        <v>8914</v>
      </c>
      <c r="C9357" s="9">
        <v>456</v>
      </c>
      <c r="D9357" s="0">
        <v>30</v>
      </c>
      <c r="E9357" s="10">
        <f>HYPERLINK("http://www.lingerieopt.ru/images/original/c04a4bfb-cb54-40e0-9240-00568b447edd.jpg","Фото")</f>
      </c>
    </row>
    <row r="9358">
      <c r="A9358" s="7">
        <f>HYPERLINK("http://www.lingerieopt.ru/item/4395-muzhskie-bikini-s-molniei/","4395")</f>
      </c>
      <c r="B9358" s="8" t="s">
        <v>8915</v>
      </c>
      <c r="C9358" s="9">
        <v>456</v>
      </c>
      <c r="D9358" s="0">
        <v>0</v>
      </c>
      <c r="E9358" s="10">
        <f>HYPERLINK("http://www.lingerieopt.ru/images/original/bb9db66c-42e1-479e-a01d-b95aa54e2b80.jpg","Фото")</f>
      </c>
    </row>
    <row r="9359">
      <c r="A9359" s="7">
        <f>HYPERLINK("http://www.lingerieopt.ru/item/4395-muzhskie-bikini-s-molniei/","4395")</f>
      </c>
      <c r="B9359" s="8" t="s">
        <v>8916</v>
      </c>
      <c r="C9359" s="9">
        <v>456</v>
      </c>
      <c r="D9359" s="0">
        <v>1</v>
      </c>
      <c r="E9359" s="10">
        <f>HYPERLINK("http://www.lingerieopt.ru/images/original/bb9db66c-42e1-479e-a01d-b95aa54e2b80.jpg","Фото")</f>
      </c>
    </row>
    <row r="9360">
      <c r="A9360" s="7">
        <f>HYPERLINK("http://www.lingerieopt.ru/item/4396-muzhskie-dzhoki-s-shirokoi-rezinkoi/","4396")</f>
      </c>
      <c r="B9360" s="8" t="s">
        <v>8917</v>
      </c>
      <c r="C9360" s="9">
        <v>456</v>
      </c>
      <c r="D9360" s="0">
        <v>3</v>
      </c>
      <c r="E9360" s="10">
        <f>HYPERLINK("http://www.lingerieopt.ru/images/original/28b976ff-5489-47c1-bc5e-4c7053da51d3.jpg","Фото")</f>
      </c>
    </row>
    <row r="9361">
      <c r="A9361" s="7">
        <f>HYPERLINK("http://www.lingerieopt.ru/item/4396-muzhskie-dzhoki-s-shirokoi-rezinkoi/","4396")</f>
      </c>
      <c r="B9361" s="8" t="s">
        <v>8918</v>
      </c>
      <c r="C9361" s="9">
        <v>456</v>
      </c>
      <c r="D9361" s="0">
        <v>0</v>
      </c>
      <c r="E9361" s="10">
        <f>HYPERLINK("http://www.lingerieopt.ru/images/original/28b976ff-5489-47c1-bc5e-4c7053da51d3.jpg","Фото")</f>
      </c>
    </row>
    <row r="9362">
      <c r="A9362" s="7">
        <f>HYPERLINK("http://www.lingerieopt.ru/item/4396-muzhskie-dzhoki-s-shirokoi-rezinkoi/","4396")</f>
      </c>
      <c r="B9362" s="8" t="s">
        <v>8919</v>
      </c>
      <c r="C9362" s="9">
        <v>456</v>
      </c>
      <c r="D9362" s="0">
        <v>0</v>
      </c>
      <c r="E9362" s="10">
        <f>HYPERLINK("http://www.lingerieopt.ru/images/original/28b976ff-5489-47c1-bc5e-4c7053da51d3.jpg","Фото")</f>
      </c>
    </row>
    <row r="9363">
      <c r="A9363" s="7">
        <f>HYPERLINK("http://www.lingerieopt.ru/item/4396-muzhskie-dzhoki-s-shirokoi-rezinkoi/","4396")</f>
      </c>
      <c r="B9363" s="8" t="s">
        <v>8920</v>
      </c>
      <c r="C9363" s="9">
        <v>456</v>
      </c>
      <c r="D9363" s="0">
        <v>1</v>
      </c>
      <c r="E9363" s="10">
        <f>HYPERLINK("http://www.lingerieopt.ru/images/original/28b976ff-5489-47c1-bc5e-4c7053da51d3.jpg","Фото")</f>
      </c>
    </row>
    <row r="9364">
      <c r="A9364" s="7">
        <f>HYPERLINK("http://www.lingerieopt.ru/item/4396-muzhskie-dzhoki-s-shirokoi-rezinkoi/","4396")</f>
      </c>
      <c r="B9364" s="8" t="s">
        <v>8921</v>
      </c>
      <c r="C9364" s="9">
        <v>456</v>
      </c>
      <c r="D9364" s="0">
        <v>0</v>
      </c>
      <c r="E9364" s="10">
        <f>HYPERLINK("http://www.lingerieopt.ru/images/original/28b976ff-5489-47c1-bc5e-4c7053da51d3.jpg","Фото")</f>
      </c>
    </row>
    <row r="9365">
      <c r="A9365" s="7">
        <f>HYPERLINK("http://www.lingerieopt.ru/item/4396-muzhskie-dzhoki-s-shirokoi-rezinkoi/","4396")</f>
      </c>
      <c r="B9365" s="8" t="s">
        <v>8922</v>
      </c>
      <c r="C9365" s="9">
        <v>456</v>
      </c>
      <c r="D9365" s="0">
        <v>0</v>
      </c>
      <c r="E9365" s="10">
        <f>HYPERLINK("http://www.lingerieopt.ru/images/original/28b976ff-5489-47c1-bc5e-4c7053da51d3.jpg","Фото")</f>
      </c>
    </row>
    <row r="9366">
      <c r="A9366" s="7">
        <f>HYPERLINK("http://www.lingerieopt.ru/item/4399-muzhskie-pouch-v-stringi/","4399")</f>
      </c>
      <c r="B9366" s="8" t="s">
        <v>8923</v>
      </c>
      <c r="C9366" s="9">
        <v>456</v>
      </c>
      <c r="D9366" s="0">
        <v>7</v>
      </c>
      <c r="E9366" s="10">
        <f>HYPERLINK("http://www.lingerieopt.ru/images/original/d62e0559-19b9-4dae-88bc-0d39354202a3.jpg","Фото")</f>
      </c>
    </row>
    <row r="9367">
      <c r="A9367" s="7">
        <f>HYPERLINK("http://www.lingerieopt.ru/item/4399-muzhskie-pouch-v-stringi/","4399")</f>
      </c>
      <c r="B9367" s="8" t="s">
        <v>8924</v>
      </c>
      <c r="C9367" s="9">
        <v>456</v>
      </c>
      <c r="D9367" s="0">
        <v>1</v>
      </c>
      <c r="E9367" s="10">
        <f>HYPERLINK("http://www.lingerieopt.ru/images/original/d62e0559-19b9-4dae-88bc-0d39354202a3.jpg","Фото")</f>
      </c>
    </row>
    <row r="9368">
      <c r="A9368" s="7">
        <f>HYPERLINK("http://www.lingerieopt.ru/item/4399-muzhskie-pouch-v-stringi/","4399")</f>
      </c>
      <c r="B9368" s="8" t="s">
        <v>8925</v>
      </c>
      <c r="C9368" s="9">
        <v>456</v>
      </c>
      <c r="D9368" s="0">
        <v>30</v>
      </c>
      <c r="E9368" s="10">
        <f>HYPERLINK("http://www.lingerieopt.ru/images/original/d62e0559-19b9-4dae-88bc-0d39354202a3.jpg","Фото")</f>
      </c>
    </row>
    <row r="9369">
      <c r="A9369" s="7">
        <f>HYPERLINK("http://www.lingerieopt.ru/item/4399-muzhskie-pouch-v-stringi/","4399")</f>
      </c>
      <c r="B9369" s="8" t="s">
        <v>8926</v>
      </c>
      <c r="C9369" s="9">
        <v>456</v>
      </c>
      <c r="D9369" s="0">
        <v>30</v>
      </c>
      <c r="E9369" s="10">
        <f>HYPERLINK("http://www.lingerieopt.ru/images/original/d62e0559-19b9-4dae-88bc-0d39354202a3.jpg","Фото")</f>
      </c>
    </row>
    <row r="9370">
      <c r="A9370" s="7">
        <f>HYPERLINK("http://www.lingerieopt.ru/item/4399-muzhskie-pouch-v-stringi/","4399")</f>
      </c>
      <c r="B9370" s="8" t="s">
        <v>8927</v>
      </c>
      <c r="C9370" s="9">
        <v>456</v>
      </c>
      <c r="D9370" s="0">
        <v>0</v>
      </c>
      <c r="E9370" s="10">
        <f>HYPERLINK("http://www.lingerieopt.ru/images/original/d62e0559-19b9-4dae-88bc-0d39354202a3.jpg","Фото")</f>
      </c>
    </row>
    <row r="9371">
      <c r="A9371" s="7">
        <f>HYPERLINK("http://www.lingerieopt.ru/item/4399-muzhskie-pouch-v-stringi/","4399")</f>
      </c>
      <c r="B9371" s="8" t="s">
        <v>8928</v>
      </c>
      <c r="C9371" s="9">
        <v>456</v>
      </c>
      <c r="D9371" s="0">
        <v>0</v>
      </c>
      <c r="E9371" s="10">
        <f>HYPERLINK("http://www.lingerieopt.ru/images/original/d62e0559-19b9-4dae-88bc-0d39354202a3.jpg","Фото")</f>
      </c>
    </row>
    <row r="9372">
      <c r="A9372" s="7">
        <f>HYPERLINK("http://www.lingerieopt.ru/item/4789-muzhskie-prozrachnje-shortiki/","4789")</f>
      </c>
      <c r="B9372" s="8" t="s">
        <v>8929</v>
      </c>
      <c r="C9372" s="9">
        <v>872</v>
      </c>
      <c r="D9372" s="0">
        <v>6</v>
      </c>
      <c r="E9372" s="10">
        <f>HYPERLINK("http://www.lingerieopt.ru/images/original/140db922-f086-4a1b-b401-f02948b89590.jpg","Фото")</f>
      </c>
    </row>
    <row r="9373">
      <c r="A9373" s="7">
        <f>HYPERLINK("http://www.lingerieopt.ru/item/4789-muzhskie-prozrachnje-shortiki/","4789")</f>
      </c>
      <c r="B9373" s="8" t="s">
        <v>8930</v>
      </c>
      <c r="C9373" s="9">
        <v>872</v>
      </c>
      <c r="D9373" s="0">
        <v>0</v>
      </c>
      <c r="E9373" s="10">
        <f>HYPERLINK("http://www.lingerieopt.ru/images/original/140db922-f086-4a1b-b401-f02948b89590.jpg","Фото")</f>
      </c>
    </row>
    <row r="9374">
      <c r="A9374" s="7">
        <f>HYPERLINK("http://www.lingerieopt.ru/item/4789-muzhskie-prozrachnje-shortiki/","4789")</f>
      </c>
      <c r="B9374" s="8" t="s">
        <v>8931</v>
      </c>
      <c r="C9374" s="9">
        <v>872</v>
      </c>
      <c r="D9374" s="0">
        <v>0</v>
      </c>
      <c r="E9374" s="10">
        <f>HYPERLINK("http://www.lingerieopt.ru/images/original/140db922-f086-4a1b-b401-f02948b89590.jpg","Фото")</f>
      </c>
    </row>
    <row r="9375">
      <c r="A9375" s="7">
        <f>HYPERLINK("http://www.lingerieopt.ru/item/8431-trusj-stringi-s-shirokim-poyasom/","8431")</f>
      </c>
      <c r="B9375" s="8" t="s">
        <v>8932</v>
      </c>
      <c r="C9375" s="9">
        <v>423</v>
      </c>
      <c r="D9375" s="0">
        <v>0</v>
      </c>
      <c r="E9375" s="10">
        <f>HYPERLINK("http://www.lingerieopt.ru/images/original/9fe69250-c15d-4814-bc89-afaee1e4a8a9.jpg","Фото")</f>
      </c>
    </row>
    <row r="9376">
      <c r="A9376" s="7">
        <f>HYPERLINK("http://www.lingerieopt.ru/item/8431-trusj-stringi-s-shirokim-poyasom/","8431")</f>
      </c>
      <c r="B9376" s="8" t="s">
        <v>8933</v>
      </c>
      <c r="C9376" s="9">
        <v>423</v>
      </c>
      <c r="D9376" s="0">
        <v>1</v>
      </c>
      <c r="E9376" s="10">
        <f>HYPERLINK("http://www.lingerieopt.ru/images/original/9fe69250-c15d-4814-bc89-afaee1e4a8a9.jpg","Фото")</f>
      </c>
    </row>
    <row r="9377">
      <c r="A9377" s="7">
        <f>HYPERLINK("http://www.lingerieopt.ru/item/8431-trusj-stringi-s-shirokim-poyasom/","8431")</f>
      </c>
      <c r="B9377" s="8" t="s">
        <v>8934</v>
      </c>
      <c r="C9377" s="9">
        <v>423</v>
      </c>
      <c r="D9377" s="0">
        <v>3</v>
      </c>
      <c r="E9377" s="10">
        <f>HYPERLINK("http://www.lingerieopt.ru/images/original/9fe69250-c15d-4814-bc89-afaee1e4a8a9.jpg","Фото")</f>
      </c>
    </row>
    <row r="9378">
      <c r="A9378" s="7">
        <f>HYPERLINK("http://www.lingerieopt.ru/item/8431-trusj-stringi-s-shirokim-poyasom/","8431")</f>
      </c>
      <c r="B9378" s="8" t="s">
        <v>8935</v>
      </c>
      <c r="C9378" s="9">
        <v>423</v>
      </c>
      <c r="D9378" s="0">
        <v>3</v>
      </c>
      <c r="E9378" s="10">
        <f>HYPERLINK("http://www.lingerieopt.ru/images/original/9fe69250-c15d-4814-bc89-afaee1e4a8a9.jpg","Фото")</f>
      </c>
    </row>
    <row r="9379">
      <c r="A9379" s="7">
        <f>HYPERLINK("http://www.lingerieopt.ru/item/8431-trusj-stringi-s-shirokim-poyasom/","8431")</f>
      </c>
      <c r="B9379" s="8" t="s">
        <v>8936</v>
      </c>
      <c r="C9379" s="9">
        <v>423</v>
      </c>
      <c r="D9379" s="0">
        <v>1</v>
      </c>
      <c r="E9379" s="10">
        <f>HYPERLINK("http://www.lingerieopt.ru/images/original/9fe69250-c15d-4814-bc89-afaee1e4a8a9.jpg","Фото")</f>
      </c>
    </row>
    <row r="9380">
      <c r="A9380" s="7">
        <f>HYPERLINK("http://www.lingerieopt.ru/item/8431-trusj-stringi-s-shirokim-poyasom/","8431")</f>
      </c>
      <c r="B9380" s="8" t="s">
        <v>8937</v>
      </c>
      <c r="C9380" s="9">
        <v>423</v>
      </c>
      <c r="D9380" s="0">
        <v>1</v>
      </c>
      <c r="E9380" s="10">
        <f>HYPERLINK("http://www.lingerieopt.ru/images/original/9fe69250-c15d-4814-bc89-afaee1e4a8a9.jpg","Фото")</f>
      </c>
    </row>
    <row r="9381">
      <c r="A9381" s="7">
        <f>HYPERLINK("http://www.lingerieopt.ru/item/8431-trusj-stringi-s-shirokim-poyasom/","8431")</f>
      </c>
      <c r="B9381" s="8" t="s">
        <v>8938</v>
      </c>
      <c r="C9381" s="9">
        <v>423</v>
      </c>
      <c r="D9381" s="0">
        <v>3</v>
      </c>
      <c r="E9381" s="10">
        <f>HYPERLINK("http://www.lingerieopt.ru/images/original/9fe69250-c15d-4814-bc89-afaee1e4a8a9.jpg","Фото")</f>
      </c>
    </row>
    <row r="9382">
      <c r="A9382" s="7">
        <f>HYPERLINK("http://www.lingerieopt.ru/item/8431-trusj-stringi-s-shirokim-poyasom/","8431")</f>
      </c>
      <c r="B9382" s="8" t="s">
        <v>8939</v>
      </c>
      <c r="C9382" s="9">
        <v>423</v>
      </c>
      <c r="D9382" s="0">
        <v>1</v>
      </c>
      <c r="E9382" s="10">
        <f>HYPERLINK("http://www.lingerieopt.ru/images/original/9fe69250-c15d-4814-bc89-afaee1e4a8a9.jpg","Фото")</f>
      </c>
    </row>
    <row r="9383">
      <c r="A9383" s="7">
        <f>HYPERLINK("http://www.lingerieopt.ru/item/8431-trusj-stringi-s-shirokim-poyasom/","8431")</f>
      </c>
      <c r="B9383" s="8" t="s">
        <v>8940</v>
      </c>
      <c r="C9383" s="9">
        <v>423</v>
      </c>
      <c r="D9383" s="0">
        <v>3</v>
      </c>
      <c r="E9383" s="10">
        <f>HYPERLINK("http://www.lingerieopt.ru/images/original/9fe69250-c15d-4814-bc89-afaee1e4a8a9.jpg","Фото")</f>
      </c>
    </row>
    <row r="9384">
      <c r="A9384" s="7">
        <f>HYPERLINK("http://www.lingerieopt.ru/item/8431-trusj-stringi-s-shirokim-poyasom/","8431")</f>
      </c>
      <c r="B9384" s="8" t="s">
        <v>8941</v>
      </c>
      <c r="C9384" s="9">
        <v>423</v>
      </c>
      <c r="D9384" s="0">
        <v>1</v>
      </c>
      <c r="E9384" s="10">
        <f>HYPERLINK("http://www.lingerieopt.ru/images/original/9fe69250-c15d-4814-bc89-afaee1e4a8a9.jpg","Фото")</f>
      </c>
    </row>
    <row r="9385">
      <c r="A9385" s="7">
        <f>HYPERLINK("http://www.lingerieopt.ru/item/8431-trusj-stringi-s-shirokim-poyasom/","8431")</f>
      </c>
      <c r="B9385" s="8" t="s">
        <v>8942</v>
      </c>
      <c r="C9385" s="9">
        <v>423</v>
      </c>
      <c r="D9385" s="0">
        <v>3</v>
      </c>
      <c r="E9385" s="10">
        <f>HYPERLINK("http://www.lingerieopt.ru/images/original/9fe69250-c15d-4814-bc89-afaee1e4a8a9.jpg","Фото")</f>
      </c>
    </row>
    <row r="9386">
      <c r="A9386" s="7">
        <f>HYPERLINK("http://www.lingerieopt.ru/item/8431-trusj-stringi-s-shirokim-poyasom/","8431")</f>
      </c>
      <c r="B9386" s="8" t="s">
        <v>8943</v>
      </c>
      <c r="C9386" s="9">
        <v>423</v>
      </c>
      <c r="D9386" s="0">
        <v>3</v>
      </c>
      <c r="E9386" s="10">
        <f>HYPERLINK("http://www.lingerieopt.ru/images/original/9fe69250-c15d-4814-bc89-afaee1e4a8a9.jpg","Фото")</f>
      </c>
    </row>
    <row r="9387">
      <c r="A9387" s="7">
        <f>HYPERLINK("http://www.lingerieopt.ru/item/8431-trusj-stringi-s-shirokim-poyasom/","8431")</f>
      </c>
      <c r="B9387" s="8" t="s">
        <v>8944</v>
      </c>
      <c r="C9387" s="9">
        <v>423</v>
      </c>
      <c r="D9387" s="0">
        <v>3</v>
      </c>
      <c r="E9387" s="10">
        <f>HYPERLINK("http://www.lingerieopt.ru/images/original/9fe69250-c15d-4814-bc89-afaee1e4a8a9.jpg","Фото")</f>
      </c>
    </row>
    <row r="9388">
      <c r="A9388" s="7">
        <f>HYPERLINK("http://www.lingerieopt.ru/item/8431-trusj-stringi-s-shirokim-poyasom/","8431")</f>
      </c>
      <c r="B9388" s="8" t="s">
        <v>8945</v>
      </c>
      <c r="C9388" s="9">
        <v>423</v>
      </c>
      <c r="D9388" s="0">
        <v>0</v>
      </c>
      <c r="E9388" s="10">
        <f>HYPERLINK("http://www.lingerieopt.ru/images/original/9fe69250-c15d-4814-bc89-afaee1e4a8a9.jpg","Фото")</f>
      </c>
    </row>
    <row r="9389">
      <c r="A9389" s="7">
        <f>HYPERLINK("http://www.lingerieopt.ru/item/8431-trusj-stringi-s-shirokim-poyasom/","8431")</f>
      </c>
      <c r="B9389" s="8" t="s">
        <v>8946</v>
      </c>
      <c r="C9389" s="9">
        <v>423</v>
      </c>
      <c r="D9389" s="0">
        <v>3</v>
      </c>
      <c r="E9389" s="10">
        <f>HYPERLINK("http://www.lingerieopt.ru/images/original/9fe69250-c15d-4814-bc89-afaee1e4a8a9.jpg","Фото")</f>
      </c>
    </row>
    <row r="9390">
      <c r="A9390" s="7">
        <f>HYPERLINK("http://www.lingerieopt.ru/item/8431-trusj-stringi-s-shirokim-poyasom/","8431")</f>
      </c>
      <c r="B9390" s="8" t="s">
        <v>8947</v>
      </c>
      <c r="C9390" s="9">
        <v>423</v>
      </c>
      <c r="D9390" s="0">
        <v>1</v>
      </c>
      <c r="E9390" s="10">
        <f>HYPERLINK("http://www.lingerieopt.ru/images/original/9fe69250-c15d-4814-bc89-afaee1e4a8a9.jpg","Фото")</f>
      </c>
    </row>
    <row r="9391">
      <c r="A9391" s="7">
        <f>HYPERLINK("http://www.lingerieopt.ru/item/8431-trusj-stringi-s-shirokim-poyasom/","8431")</f>
      </c>
      <c r="B9391" s="8" t="s">
        <v>8948</v>
      </c>
      <c r="C9391" s="9">
        <v>423</v>
      </c>
      <c r="D9391" s="0">
        <v>1</v>
      </c>
      <c r="E9391" s="10">
        <f>HYPERLINK("http://www.lingerieopt.ru/images/original/9fe69250-c15d-4814-bc89-afaee1e4a8a9.jpg","Фото")</f>
      </c>
    </row>
    <row r="9392">
      <c r="A9392" s="7">
        <f>HYPERLINK("http://www.lingerieopt.ru/item/8431-trusj-stringi-s-shirokim-poyasom/","8431")</f>
      </c>
      <c r="B9392" s="8" t="s">
        <v>8949</v>
      </c>
      <c r="C9392" s="9">
        <v>423</v>
      </c>
      <c r="D9392" s="0">
        <v>1</v>
      </c>
      <c r="E9392" s="10">
        <f>HYPERLINK("http://www.lingerieopt.ru/images/original/9fe69250-c15d-4814-bc89-afaee1e4a8a9.jpg","Фото")</f>
      </c>
    </row>
    <row r="9393">
      <c r="A9393" s="7">
        <f>HYPERLINK("http://www.lingerieopt.ru/item/8431-trusj-stringi-s-shirokim-poyasom/","8431")</f>
      </c>
      <c r="B9393" s="8" t="s">
        <v>8950</v>
      </c>
      <c r="C9393" s="9">
        <v>423</v>
      </c>
      <c r="D9393" s="0">
        <v>1</v>
      </c>
      <c r="E9393" s="10">
        <f>HYPERLINK("http://www.lingerieopt.ru/images/original/9fe69250-c15d-4814-bc89-afaee1e4a8a9.jpg","Фото")</f>
      </c>
    </row>
    <row r="9394">
      <c r="A9394" s="7">
        <f>HYPERLINK("http://www.lingerieopt.ru/item/8431-trusj-stringi-s-shirokim-poyasom/","8431")</f>
      </c>
      <c r="B9394" s="8" t="s">
        <v>8951</v>
      </c>
      <c r="C9394" s="9">
        <v>423</v>
      </c>
      <c r="D9394" s="0">
        <v>1</v>
      </c>
      <c r="E9394" s="10">
        <f>HYPERLINK("http://www.lingerieopt.ru/images/original/9fe69250-c15d-4814-bc89-afaee1e4a8a9.jpg","Фото")</f>
      </c>
    </row>
    <row r="9395">
      <c r="A9395" s="7">
        <f>HYPERLINK("http://www.lingerieopt.ru/item/8431-trusj-stringi-s-shirokim-poyasom/","8431")</f>
      </c>
      <c r="B9395" s="8" t="s">
        <v>8952</v>
      </c>
      <c r="C9395" s="9">
        <v>423</v>
      </c>
      <c r="D9395" s="0">
        <v>1</v>
      </c>
      <c r="E9395" s="10">
        <f>HYPERLINK("http://www.lingerieopt.ru/images/original/9fe69250-c15d-4814-bc89-afaee1e4a8a9.jpg","Фото")</f>
      </c>
    </row>
    <row r="9396">
      <c r="A9396" s="7">
        <f>HYPERLINK("http://www.lingerieopt.ru/item/8431-trusj-stringi-s-shirokim-poyasom/","8431")</f>
      </c>
      <c r="B9396" s="8" t="s">
        <v>8953</v>
      </c>
      <c r="C9396" s="9">
        <v>423</v>
      </c>
      <c r="D9396" s="0">
        <v>1</v>
      </c>
      <c r="E9396" s="10">
        <f>HYPERLINK("http://www.lingerieopt.ru/images/original/9fe69250-c15d-4814-bc89-afaee1e4a8a9.jpg","Фото")</f>
      </c>
    </row>
    <row r="9397">
      <c r="A9397" s="7">
        <f>HYPERLINK("http://www.lingerieopt.ru/item/8431-trusj-stringi-s-shirokim-poyasom/","8431")</f>
      </c>
      <c r="B9397" s="8" t="s">
        <v>8954</v>
      </c>
      <c r="C9397" s="9">
        <v>423</v>
      </c>
      <c r="D9397" s="0">
        <v>1</v>
      </c>
      <c r="E9397" s="10">
        <f>HYPERLINK("http://www.lingerieopt.ru/images/original/9fe69250-c15d-4814-bc89-afaee1e4a8a9.jpg","Фото")</f>
      </c>
    </row>
    <row r="9398">
      <c r="A9398" s="7">
        <f>HYPERLINK("http://www.lingerieopt.ru/item/8431-trusj-stringi-s-shirokim-poyasom/","8431")</f>
      </c>
      <c r="B9398" s="8" t="s">
        <v>8955</v>
      </c>
      <c r="C9398" s="9">
        <v>423</v>
      </c>
      <c r="D9398" s="0">
        <v>1</v>
      </c>
      <c r="E9398" s="10">
        <f>HYPERLINK("http://www.lingerieopt.ru/images/original/9fe69250-c15d-4814-bc89-afaee1e4a8a9.jpg","Фото")</f>
      </c>
    </row>
    <row r="9399">
      <c r="A9399" s="7">
        <f>HYPERLINK("http://www.lingerieopt.ru/item/8431-trusj-stringi-s-shirokim-poyasom/","8431")</f>
      </c>
      <c r="B9399" s="8" t="s">
        <v>8956</v>
      </c>
      <c r="C9399" s="9">
        <v>423</v>
      </c>
      <c r="D9399" s="0">
        <v>1</v>
      </c>
      <c r="E9399" s="10">
        <f>HYPERLINK("http://www.lingerieopt.ru/images/original/9fe69250-c15d-4814-bc89-afaee1e4a8a9.jpg","Фото")</f>
      </c>
    </row>
    <row r="9400">
      <c r="A9400" s="7">
        <f>HYPERLINK("http://www.lingerieopt.ru/item/8431-trusj-stringi-s-shirokim-poyasom/","8431")</f>
      </c>
      <c r="B9400" s="8" t="s">
        <v>8957</v>
      </c>
      <c r="C9400" s="9">
        <v>423</v>
      </c>
      <c r="D9400" s="0">
        <v>1</v>
      </c>
      <c r="E9400" s="10">
        <f>HYPERLINK("http://www.lingerieopt.ru/images/original/9fe69250-c15d-4814-bc89-afaee1e4a8a9.jpg","Фото")</f>
      </c>
    </row>
    <row r="9401">
      <c r="A9401" s="7">
        <f>HYPERLINK("http://www.lingerieopt.ru/item/8431-trusj-stringi-s-shirokim-poyasom/","8431")</f>
      </c>
      <c r="B9401" s="8" t="s">
        <v>8958</v>
      </c>
      <c r="C9401" s="9">
        <v>423</v>
      </c>
      <c r="D9401" s="0">
        <v>1</v>
      </c>
      <c r="E9401" s="10">
        <f>HYPERLINK("http://www.lingerieopt.ru/images/original/9fe69250-c15d-4814-bc89-afaee1e4a8a9.jpg","Фото")</f>
      </c>
    </row>
    <row r="9402">
      <c r="A9402" s="7">
        <f>HYPERLINK("http://www.lingerieopt.ru/item/8431-trusj-stringi-s-shirokim-poyasom/","8431")</f>
      </c>
      <c r="B9402" s="8" t="s">
        <v>8959</v>
      </c>
      <c r="C9402" s="9">
        <v>423</v>
      </c>
      <c r="D9402" s="0">
        <v>1</v>
      </c>
      <c r="E9402" s="10">
        <f>HYPERLINK("http://www.lingerieopt.ru/images/original/9fe69250-c15d-4814-bc89-afaee1e4a8a9.jpg","Фото")</f>
      </c>
    </row>
    <row r="9403">
      <c r="A9403" s="7">
        <f>HYPERLINK("http://www.lingerieopt.ru/item/8431-trusj-stringi-s-shirokim-poyasom/","8431")</f>
      </c>
      <c r="B9403" s="8" t="s">
        <v>8960</v>
      </c>
      <c r="C9403" s="9">
        <v>423</v>
      </c>
      <c r="D9403" s="0">
        <v>3</v>
      </c>
      <c r="E9403" s="10">
        <f>HYPERLINK("http://www.lingerieopt.ru/images/original/9fe69250-c15d-4814-bc89-afaee1e4a8a9.jpg","Фото")</f>
      </c>
    </row>
    <row r="9404">
      <c r="A9404" s="7">
        <f>HYPERLINK("http://www.lingerieopt.ru/item/8431-trusj-stringi-s-shirokim-poyasom/","8431")</f>
      </c>
      <c r="B9404" s="8" t="s">
        <v>8961</v>
      </c>
      <c r="C9404" s="9">
        <v>423</v>
      </c>
      <c r="D9404" s="0">
        <v>3</v>
      </c>
      <c r="E9404" s="10">
        <f>HYPERLINK("http://www.lingerieopt.ru/images/original/9fe69250-c15d-4814-bc89-afaee1e4a8a9.jpg","Фото")</f>
      </c>
    </row>
    <row r="9405">
      <c r="A9405" s="7">
        <f>HYPERLINK("http://www.lingerieopt.ru/item/8431-trusj-stringi-s-shirokim-poyasom/","8431")</f>
      </c>
      <c r="B9405" s="8" t="s">
        <v>8962</v>
      </c>
      <c r="C9405" s="9">
        <v>423</v>
      </c>
      <c r="D9405" s="0">
        <v>1</v>
      </c>
      <c r="E9405" s="10">
        <f>HYPERLINK("http://www.lingerieopt.ru/images/original/9fe69250-c15d-4814-bc89-afaee1e4a8a9.jpg","Фото")</f>
      </c>
    </row>
    <row r="9406">
      <c r="A9406" s="7">
        <f>HYPERLINK("http://www.lingerieopt.ru/item/8431-trusj-stringi-s-shirokim-poyasom/","8431")</f>
      </c>
      <c r="B9406" s="8" t="s">
        <v>8963</v>
      </c>
      <c r="C9406" s="9">
        <v>423</v>
      </c>
      <c r="D9406" s="0">
        <v>3</v>
      </c>
      <c r="E9406" s="10">
        <f>HYPERLINK("http://www.lingerieopt.ru/images/original/9fe69250-c15d-4814-bc89-afaee1e4a8a9.jpg","Фото")</f>
      </c>
    </row>
    <row r="9407">
      <c r="A9407" s="7">
        <f>HYPERLINK("http://www.lingerieopt.ru/item/8431-trusj-stringi-s-shirokim-poyasom/","8431")</f>
      </c>
      <c r="B9407" s="8" t="s">
        <v>8964</v>
      </c>
      <c r="C9407" s="9">
        <v>423</v>
      </c>
      <c r="D9407" s="0">
        <v>3</v>
      </c>
      <c r="E9407" s="10">
        <f>HYPERLINK("http://www.lingerieopt.ru/images/original/9fe69250-c15d-4814-bc89-afaee1e4a8a9.jpg","Фото")</f>
      </c>
    </row>
    <row r="9408">
      <c r="A9408" s="7">
        <f>HYPERLINK("http://www.lingerieopt.ru/item/8431-trusj-stringi-s-shirokim-poyasom/","8431")</f>
      </c>
      <c r="B9408" s="8" t="s">
        <v>8965</v>
      </c>
      <c r="C9408" s="9">
        <v>423</v>
      </c>
      <c r="D9408" s="0">
        <v>3</v>
      </c>
      <c r="E9408" s="10">
        <f>HYPERLINK("http://www.lingerieopt.ru/images/original/9fe69250-c15d-4814-bc89-afaee1e4a8a9.jpg","Фото")</f>
      </c>
    </row>
    <row r="9409">
      <c r="A9409" s="7">
        <f>HYPERLINK("http://www.lingerieopt.ru/item/8431-trusj-stringi-s-shirokim-poyasom/","8431")</f>
      </c>
      <c r="B9409" s="8" t="s">
        <v>8966</v>
      </c>
      <c r="C9409" s="9">
        <v>423</v>
      </c>
      <c r="D9409" s="0">
        <v>1</v>
      </c>
      <c r="E9409" s="10">
        <f>HYPERLINK("http://www.lingerieopt.ru/images/original/9fe69250-c15d-4814-bc89-afaee1e4a8a9.jpg","Фото")</f>
      </c>
    </row>
    <row r="9410">
      <c r="A9410" s="7">
        <f>HYPERLINK("http://www.lingerieopt.ru/item/8431-trusj-stringi-s-shirokim-poyasom/","8431")</f>
      </c>
      <c r="B9410" s="8" t="s">
        <v>8967</v>
      </c>
      <c r="C9410" s="9">
        <v>423</v>
      </c>
      <c r="D9410" s="0">
        <v>3</v>
      </c>
      <c r="E9410" s="10">
        <f>HYPERLINK("http://www.lingerieopt.ru/images/original/9fe69250-c15d-4814-bc89-afaee1e4a8a9.jpg","Фото")</f>
      </c>
    </row>
    <row r="9411">
      <c r="A9411" s="7">
        <f>HYPERLINK("http://www.lingerieopt.ru/item/8431-trusj-stringi-s-shirokim-poyasom/","8431")</f>
      </c>
      <c r="B9411" s="8" t="s">
        <v>8968</v>
      </c>
      <c r="C9411" s="9">
        <v>423</v>
      </c>
      <c r="D9411" s="0">
        <v>3</v>
      </c>
      <c r="E9411" s="10">
        <f>HYPERLINK("http://www.lingerieopt.ru/images/original/9fe69250-c15d-4814-bc89-afaee1e4a8a9.jpg","Фото")</f>
      </c>
    </row>
    <row r="9412">
      <c r="A9412" s="7">
        <f>HYPERLINK("http://www.lingerieopt.ru/item/8431-trusj-stringi-s-shirokim-poyasom/","8431")</f>
      </c>
      <c r="B9412" s="8" t="s">
        <v>8969</v>
      </c>
      <c r="C9412" s="9">
        <v>423</v>
      </c>
      <c r="D9412" s="0">
        <v>1</v>
      </c>
      <c r="E9412" s="10">
        <f>HYPERLINK("http://www.lingerieopt.ru/images/original/9fe69250-c15d-4814-bc89-afaee1e4a8a9.jpg","Фото")</f>
      </c>
    </row>
    <row r="9413">
      <c r="A9413" s="7">
        <f>HYPERLINK("http://www.lingerieopt.ru/item/8431-trusj-stringi-s-shirokim-poyasom/","8431")</f>
      </c>
      <c r="B9413" s="8" t="s">
        <v>8970</v>
      </c>
      <c r="C9413" s="9">
        <v>423</v>
      </c>
      <c r="D9413" s="0">
        <v>3</v>
      </c>
      <c r="E9413" s="10">
        <f>HYPERLINK("http://www.lingerieopt.ru/images/original/9fe69250-c15d-4814-bc89-afaee1e4a8a9.jpg","Фото")</f>
      </c>
    </row>
    <row r="9414">
      <c r="A9414" s="7">
        <f>HYPERLINK("http://www.lingerieopt.ru/item/8431-trusj-stringi-s-shirokim-poyasom/","8431")</f>
      </c>
      <c r="B9414" s="8" t="s">
        <v>8971</v>
      </c>
      <c r="C9414" s="9">
        <v>423</v>
      </c>
      <c r="D9414" s="0">
        <v>3</v>
      </c>
      <c r="E9414" s="10">
        <f>HYPERLINK("http://www.lingerieopt.ru/images/original/9fe69250-c15d-4814-bc89-afaee1e4a8a9.jpg","Фото")</f>
      </c>
    </row>
    <row r="9415">
      <c r="A9415" s="7">
        <f>HYPERLINK("http://www.lingerieopt.ru/item/8431-trusj-stringi-s-shirokim-poyasom/","8431")</f>
      </c>
      <c r="B9415" s="8" t="s">
        <v>8972</v>
      </c>
      <c r="C9415" s="9">
        <v>423</v>
      </c>
      <c r="D9415" s="0">
        <v>3</v>
      </c>
      <c r="E9415" s="10">
        <f>HYPERLINK("http://www.lingerieopt.ru/images/original/9fe69250-c15d-4814-bc89-afaee1e4a8a9.jpg","Фото")</f>
      </c>
    </row>
    <row r="9416">
      <c r="A9416" s="7">
        <f>HYPERLINK("http://www.lingerieopt.ru/item/8431-trusj-stringi-s-shirokim-poyasom/","8431")</f>
      </c>
      <c r="B9416" s="8" t="s">
        <v>8973</v>
      </c>
      <c r="C9416" s="9">
        <v>423</v>
      </c>
      <c r="D9416" s="0">
        <v>1</v>
      </c>
      <c r="E9416" s="10">
        <f>HYPERLINK("http://www.lingerieopt.ru/images/original/9fe69250-c15d-4814-bc89-afaee1e4a8a9.jpg","Фото")</f>
      </c>
    </row>
    <row r="9417">
      <c r="A9417" s="7">
        <f>HYPERLINK("http://www.lingerieopt.ru/item/8431-trusj-stringi-s-shirokim-poyasom/","8431")</f>
      </c>
      <c r="B9417" s="8" t="s">
        <v>8974</v>
      </c>
      <c r="C9417" s="9">
        <v>423</v>
      </c>
      <c r="D9417" s="0">
        <v>3</v>
      </c>
      <c r="E9417" s="10">
        <f>HYPERLINK("http://www.lingerieopt.ru/images/original/9fe69250-c15d-4814-bc89-afaee1e4a8a9.jpg","Фото")</f>
      </c>
    </row>
    <row r="9418">
      <c r="A9418" s="7">
        <f>HYPERLINK("http://www.lingerieopt.ru/item/8431-trusj-stringi-s-shirokim-poyasom/","8431")</f>
      </c>
      <c r="B9418" s="8" t="s">
        <v>8975</v>
      </c>
      <c r="C9418" s="9">
        <v>423</v>
      </c>
      <c r="D9418" s="0">
        <v>1</v>
      </c>
      <c r="E9418" s="10">
        <f>HYPERLINK("http://www.lingerieopt.ru/images/original/9fe69250-c15d-4814-bc89-afaee1e4a8a9.jpg","Фото")</f>
      </c>
    </row>
    <row r="9419">
      <c r="A9419" s="7">
        <f>HYPERLINK("http://www.lingerieopt.ru/item/8431-trusj-stringi-s-shirokim-poyasom/","8431")</f>
      </c>
      <c r="B9419" s="8" t="s">
        <v>8976</v>
      </c>
      <c r="C9419" s="9">
        <v>423</v>
      </c>
      <c r="D9419" s="0">
        <v>1</v>
      </c>
      <c r="E9419" s="10">
        <f>HYPERLINK("http://www.lingerieopt.ru/images/original/9fe69250-c15d-4814-bc89-afaee1e4a8a9.jpg","Фото")</f>
      </c>
    </row>
    <row r="9420">
      <c r="A9420" s="7">
        <f>HYPERLINK("http://www.lingerieopt.ru/item/8431-trusj-stringi-s-shirokim-poyasom/","8431")</f>
      </c>
      <c r="B9420" s="8" t="s">
        <v>8977</v>
      </c>
      <c r="C9420" s="9">
        <v>423</v>
      </c>
      <c r="D9420" s="0">
        <v>3</v>
      </c>
      <c r="E9420" s="10">
        <f>HYPERLINK("http://www.lingerieopt.ru/images/original/9fe69250-c15d-4814-bc89-afaee1e4a8a9.jpg","Фото")</f>
      </c>
    </row>
    <row r="9421">
      <c r="A9421" s="7">
        <f>HYPERLINK("http://www.lingerieopt.ru/item/8431-trusj-stringi-s-shirokim-poyasom/","8431")</f>
      </c>
      <c r="B9421" s="8" t="s">
        <v>8978</v>
      </c>
      <c r="C9421" s="9">
        <v>423</v>
      </c>
      <c r="D9421" s="0">
        <v>1</v>
      </c>
      <c r="E9421" s="10">
        <f>HYPERLINK("http://www.lingerieopt.ru/images/original/9fe69250-c15d-4814-bc89-afaee1e4a8a9.jpg","Фото")</f>
      </c>
    </row>
    <row r="9422">
      <c r="A9422" s="7">
        <f>HYPERLINK("http://www.lingerieopt.ru/item/8431-trusj-stringi-s-shirokim-poyasom/","8431")</f>
      </c>
      <c r="B9422" s="8" t="s">
        <v>8979</v>
      </c>
      <c r="C9422" s="9">
        <v>423</v>
      </c>
      <c r="D9422" s="0">
        <v>1</v>
      </c>
      <c r="E9422" s="10">
        <f>HYPERLINK("http://www.lingerieopt.ru/images/original/9fe69250-c15d-4814-bc89-afaee1e4a8a9.jpg","Фото")</f>
      </c>
    </row>
    <row r="9423">
      <c r="A9423" s="7">
        <f>HYPERLINK("http://www.lingerieopt.ru/item/8431-trusj-stringi-s-shirokim-poyasom/","8431")</f>
      </c>
      <c r="B9423" s="8" t="s">
        <v>8980</v>
      </c>
      <c r="C9423" s="9">
        <v>423</v>
      </c>
      <c r="D9423" s="0">
        <v>3</v>
      </c>
      <c r="E9423" s="10">
        <f>HYPERLINK("http://www.lingerieopt.ru/images/original/9fe69250-c15d-4814-bc89-afaee1e4a8a9.jpg","Фото")</f>
      </c>
    </row>
    <row r="9424">
      <c r="A9424" s="7">
        <f>HYPERLINK("http://www.lingerieopt.ru/item/8431-trusj-stringi-s-shirokim-poyasom/","8431")</f>
      </c>
      <c r="B9424" s="8" t="s">
        <v>8981</v>
      </c>
      <c r="C9424" s="9">
        <v>423</v>
      </c>
      <c r="D9424" s="0">
        <v>2</v>
      </c>
      <c r="E9424" s="10">
        <f>HYPERLINK("http://www.lingerieopt.ru/images/original/9fe69250-c15d-4814-bc89-afaee1e4a8a9.jpg","Фото")</f>
      </c>
    </row>
    <row r="9425">
      <c r="A9425" s="7">
        <f>HYPERLINK("http://www.lingerieopt.ru/item/8431-trusj-stringi-s-shirokim-poyasom/","8431")</f>
      </c>
      <c r="B9425" s="8" t="s">
        <v>8982</v>
      </c>
      <c r="C9425" s="9">
        <v>423</v>
      </c>
      <c r="D9425" s="0">
        <v>3</v>
      </c>
      <c r="E9425" s="10">
        <f>HYPERLINK("http://www.lingerieopt.ru/images/original/9fe69250-c15d-4814-bc89-afaee1e4a8a9.jpg","Фото")</f>
      </c>
    </row>
    <row r="9426">
      <c r="A9426" s="7">
        <f>HYPERLINK("http://www.lingerieopt.ru/item/8432-hlopkovje-trusj-stringi/","8432")</f>
      </c>
      <c r="B9426" s="8" t="s">
        <v>8983</v>
      </c>
      <c r="C9426" s="9">
        <v>343</v>
      </c>
      <c r="D9426" s="0">
        <v>0</v>
      </c>
      <c r="E9426" s="10">
        <f>HYPERLINK("http://www.lingerieopt.ru/images/original/09a0abcf-46b0-4b64-b445-5af34565a168.jpg","Фото")</f>
      </c>
    </row>
    <row r="9427">
      <c r="A9427" s="7">
        <f>HYPERLINK("http://www.lingerieopt.ru/item/8432-hlopkovje-trusj-stringi/","8432")</f>
      </c>
      <c r="B9427" s="8" t="s">
        <v>8984</v>
      </c>
      <c r="C9427" s="9">
        <v>343</v>
      </c>
      <c r="D9427" s="0">
        <v>0</v>
      </c>
      <c r="E9427" s="10">
        <f>HYPERLINK("http://www.lingerieopt.ru/images/original/09a0abcf-46b0-4b64-b445-5af34565a168.jpg","Фото")</f>
      </c>
    </row>
    <row r="9428">
      <c r="A9428" s="7">
        <f>HYPERLINK("http://www.lingerieopt.ru/item/8432-hlopkovje-trusj-stringi/","8432")</f>
      </c>
      <c r="B9428" s="8" t="s">
        <v>8985</v>
      </c>
      <c r="C9428" s="9">
        <v>343</v>
      </c>
      <c r="D9428" s="0">
        <v>0</v>
      </c>
      <c r="E9428" s="10">
        <f>HYPERLINK("http://www.lingerieopt.ru/images/original/09a0abcf-46b0-4b64-b445-5af34565a168.jpg","Фото")</f>
      </c>
    </row>
    <row r="9429">
      <c r="A9429" s="7">
        <f>HYPERLINK("http://www.lingerieopt.ru/item/8432-hlopkovje-trusj-stringi/","8432")</f>
      </c>
      <c r="B9429" s="8" t="s">
        <v>8986</v>
      </c>
      <c r="C9429" s="9">
        <v>343</v>
      </c>
      <c r="D9429" s="0">
        <v>0</v>
      </c>
      <c r="E9429" s="10">
        <f>HYPERLINK("http://www.lingerieopt.ru/images/original/09a0abcf-46b0-4b64-b445-5af34565a168.jpg","Фото")</f>
      </c>
    </row>
    <row r="9430">
      <c r="A9430" s="7">
        <f>HYPERLINK("http://www.lingerieopt.ru/item/8432-hlopkovje-trusj-stringi/","8432")</f>
      </c>
      <c r="B9430" s="8" t="s">
        <v>8987</v>
      </c>
      <c r="C9430" s="9">
        <v>343</v>
      </c>
      <c r="D9430" s="0">
        <v>3</v>
      </c>
      <c r="E9430" s="10">
        <f>HYPERLINK("http://www.lingerieopt.ru/images/original/09a0abcf-46b0-4b64-b445-5af34565a168.jpg","Фото")</f>
      </c>
    </row>
    <row r="9431">
      <c r="A9431" s="7">
        <f>HYPERLINK("http://www.lingerieopt.ru/item/8432-hlopkovje-trusj-stringi/","8432")</f>
      </c>
      <c r="B9431" s="8" t="s">
        <v>8988</v>
      </c>
      <c r="C9431" s="9">
        <v>343</v>
      </c>
      <c r="D9431" s="0">
        <v>0</v>
      </c>
      <c r="E9431" s="10">
        <f>HYPERLINK("http://www.lingerieopt.ru/images/original/09a0abcf-46b0-4b64-b445-5af34565a168.jpg","Фото")</f>
      </c>
    </row>
    <row r="9432">
      <c r="A9432" s="7">
        <f>HYPERLINK("http://www.lingerieopt.ru/item/8432-hlopkovje-trusj-stringi/","8432")</f>
      </c>
      <c r="B9432" s="8" t="s">
        <v>8989</v>
      </c>
      <c r="C9432" s="9">
        <v>343</v>
      </c>
      <c r="D9432" s="0">
        <v>0</v>
      </c>
      <c r="E9432" s="10">
        <f>HYPERLINK("http://www.lingerieopt.ru/images/original/09a0abcf-46b0-4b64-b445-5af34565a168.jpg","Фото")</f>
      </c>
    </row>
    <row r="9433">
      <c r="A9433" s="7">
        <f>HYPERLINK("http://www.lingerieopt.ru/item/8432-hlopkovje-trusj-stringi/","8432")</f>
      </c>
      <c r="B9433" s="8" t="s">
        <v>8990</v>
      </c>
      <c r="C9433" s="9">
        <v>343</v>
      </c>
      <c r="D9433" s="0">
        <v>0</v>
      </c>
      <c r="E9433" s="10">
        <f>HYPERLINK("http://www.lingerieopt.ru/images/original/09a0abcf-46b0-4b64-b445-5af34565a168.jpg","Фото")</f>
      </c>
    </row>
    <row r="9434">
      <c r="A9434" s="7">
        <f>HYPERLINK("http://www.lingerieopt.ru/item/8432-hlopkovje-trusj-stringi/","8432")</f>
      </c>
      <c r="B9434" s="8" t="s">
        <v>8991</v>
      </c>
      <c r="C9434" s="9">
        <v>343</v>
      </c>
      <c r="D9434" s="0">
        <v>0</v>
      </c>
      <c r="E9434" s="10">
        <f>HYPERLINK("http://www.lingerieopt.ru/images/original/09a0abcf-46b0-4b64-b445-5af34565a168.jpg","Фото")</f>
      </c>
    </row>
    <row r="9435">
      <c r="A9435" s="7">
        <f>HYPERLINK("http://www.lingerieopt.ru/item/8432-hlopkovje-trusj-stringi/","8432")</f>
      </c>
      <c r="B9435" s="8" t="s">
        <v>8992</v>
      </c>
      <c r="C9435" s="9">
        <v>343</v>
      </c>
      <c r="D9435" s="0">
        <v>0</v>
      </c>
      <c r="E9435" s="10">
        <f>HYPERLINK("http://www.lingerieopt.ru/images/original/09a0abcf-46b0-4b64-b445-5af34565a168.jpg","Фото")</f>
      </c>
    </row>
    <row r="9436">
      <c r="A9436" s="7">
        <f>HYPERLINK("http://www.lingerieopt.ru/item/8432-hlopkovje-trusj-stringi/","8432")</f>
      </c>
      <c r="B9436" s="8" t="s">
        <v>8993</v>
      </c>
      <c r="C9436" s="9">
        <v>343</v>
      </c>
      <c r="D9436" s="0">
        <v>0</v>
      </c>
      <c r="E9436" s="10">
        <f>HYPERLINK("http://www.lingerieopt.ru/images/original/09a0abcf-46b0-4b64-b445-5af34565a168.jpg","Фото")</f>
      </c>
    </row>
    <row r="9437">
      <c r="A9437" s="7">
        <f>HYPERLINK("http://www.lingerieopt.ru/item/8432-hlopkovje-trusj-stringi/","8432")</f>
      </c>
      <c r="B9437" s="8" t="s">
        <v>8994</v>
      </c>
      <c r="C9437" s="9">
        <v>343</v>
      </c>
      <c r="D9437" s="0">
        <v>0</v>
      </c>
      <c r="E9437" s="10">
        <f>HYPERLINK("http://www.lingerieopt.ru/images/original/09a0abcf-46b0-4b64-b445-5af34565a168.jpg","Фото")</f>
      </c>
    </row>
    <row r="9438">
      <c r="A9438" s="7">
        <f>HYPERLINK("http://www.lingerieopt.ru/item/8432-hlopkovje-trusj-stringi/","8432")</f>
      </c>
      <c r="B9438" s="8" t="s">
        <v>8995</v>
      </c>
      <c r="C9438" s="9">
        <v>343</v>
      </c>
      <c r="D9438" s="0">
        <v>0</v>
      </c>
      <c r="E9438" s="10">
        <f>HYPERLINK("http://www.lingerieopt.ru/images/original/09a0abcf-46b0-4b64-b445-5af34565a168.jpg","Фото")</f>
      </c>
    </row>
    <row r="9439">
      <c r="A9439" s="7">
        <f>HYPERLINK("http://www.lingerieopt.ru/item/8432-hlopkovje-trusj-stringi/","8432")</f>
      </c>
      <c r="B9439" s="8" t="s">
        <v>8996</v>
      </c>
      <c r="C9439" s="9">
        <v>343</v>
      </c>
      <c r="D9439" s="0">
        <v>0</v>
      </c>
      <c r="E9439" s="10">
        <f>HYPERLINK("http://www.lingerieopt.ru/images/original/09a0abcf-46b0-4b64-b445-5af34565a168.jpg","Фото")</f>
      </c>
    </row>
    <row r="9440">
      <c r="A9440" s="7">
        <f>HYPERLINK("http://www.lingerieopt.ru/item/8432-hlopkovje-trusj-stringi/","8432")</f>
      </c>
      <c r="B9440" s="8" t="s">
        <v>8997</v>
      </c>
      <c r="C9440" s="9">
        <v>343</v>
      </c>
      <c r="D9440" s="0">
        <v>0</v>
      </c>
      <c r="E9440" s="10">
        <f>HYPERLINK("http://www.lingerieopt.ru/images/original/09a0abcf-46b0-4b64-b445-5af34565a168.jpg","Фото")</f>
      </c>
    </row>
    <row r="9441">
      <c r="A9441" s="7">
        <f>HYPERLINK("http://www.lingerieopt.ru/item/8432-hlopkovje-trusj-stringi/","8432")</f>
      </c>
      <c r="B9441" s="8" t="s">
        <v>8998</v>
      </c>
      <c r="C9441" s="9">
        <v>343</v>
      </c>
      <c r="D9441" s="0">
        <v>0</v>
      </c>
      <c r="E9441" s="10">
        <f>HYPERLINK("http://www.lingerieopt.ru/images/original/09a0abcf-46b0-4b64-b445-5af34565a168.jpg","Фото")</f>
      </c>
    </row>
    <row r="9442">
      <c r="A9442" s="7">
        <f>HYPERLINK("http://www.lingerieopt.ru/item/8432-hlopkovje-trusj-stringi/","8432")</f>
      </c>
      <c r="B9442" s="8" t="s">
        <v>8999</v>
      </c>
      <c r="C9442" s="9">
        <v>343</v>
      </c>
      <c r="D9442" s="0">
        <v>0</v>
      </c>
      <c r="E9442" s="10">
        <f>HYPERLINK("http://www.lingerieopt.ru/images/original/09a0abcf-46b0-4b64-b445-5af34565a168.jpg","Фото")</f>
      </c>
    </row>
    <row r="9443">
      <c r="A9443" s="7">
        <f>HYPERLINK("http://www.lingerieopt.ru/item/8432-hlopkovje-trusj-stringi/","8432")</f>
      </c>
      <c r="B9443" s="8" t="s">
        <v>9000</v>
      </c>
      <c r="C9443" s="9">
        <v>343</v>
      </c>
      <c r="D9443" s="0">
        <v>3</v>
      </c>
      <c r="E9443" s="10">
        <f>HYPERLINK("http://www.lingerieopt.ru/images/original/09a0abcf-46b0-4b64-b445-5af34565a168.jpg","Фото")</f>
      </c>
    </row>
    <row r="9444">
      <c r="A9444" s="7">
        <f>HYPERLINK("http://www.lingerieopt.ru/item/8432-hlopkovje-trusj-stringi/","8432")</f>
      </c>
      <c r="B9444" s="8" t="s">
        <v>9001</v>
      </c>
      <c r="C9444" s="9">
        <v>343</v>
      </c>
      <c r="D9444" s="0">
        <v>0</v>
      </c>
      <c r="E9444" s="10">
        <f>HYPERLINK("http://www.lingerieopt.ru/images/original/09a0abcf-46b0-4b64-b445-5af34565a168.jpg","Фото")</f>
      </c>
    </row>
    <row r="9445">
      <c r="A9445" s="7">
        <f>HYPERLINK("http://www.lingerieopt.ru/item/8432-hlopkovje-trusj-stringi/","8432")</f>
      </c>
      <c r="B9445" s="8" t="s">
        <v>9002</v>
      </c>
      <c r="C9445" s="9">
        <v>343</v>
      </c>
      <c r="D9445" s="0">
        <v>0</v>
      </c>
      <c r="E9445" s="10">
        <f>HYPERLINK("http://www.lingerieopt.ru/images/original/09a0abcf-46b0-4b64-b445-5af34565a168.jpg","Фото")</f>
      </c>
    </row>
    <row r="9446">
      <c r="A9446" s="7">
        <f>HYPERLINK("http://www.lingerieopt.ru/item/8432-hlopkovje-trusj-stringi/","8432")</f>
      </c>
      <c r="B9446" s="8" t="s">
        <v>9003</v>
      </c>
      <c r="C9446" s="9">
        <v>343</v>
      </c>
      <c r="D9446" s="0">
        <v>3</v>
      </c>
      <c r="E9446" s="10">
        <f>HYPERLINK("http://www.lingerieopt.ru/images/original/09a0abcf-46b0-4b64-b445-5af34565a168.jpg","Фото")</f>
      </c>
    </row>
    <row r="9447">
      <c r="A9447" s="7">
        <f>HYPERLINK("http://www.lingerieopt.ru/item/8432-hlopkovje-trusj-stringi/","8432")</f>
      </c>
      <c r="B9447" s="8" t="s">
        <v>9004</v>
      </c>
      <c r="C9447" s="9">
        <v>343</v>
      </c>
      <c r="D9447" s="0">
        <v>1</v>
      </c>
      <c r="E9447" s="10">
        <f>HYPERLINK("http://www.lingerieopt.ru/images/original/09a0abcf-46b0-4b64-b445-5af34565a168.jpg","Фото")</f>
      </c>
    </row>
    <row r="9448">
      <c r="A9448" s="7">
        <f>HYPERLINK("http://www.lingerieopt.ru/item/8432-hlopkovje-trusj-stringi/","8432")</f>
      </c>
      <c r="B9448" s="8" t="s">
        <v>9005</v>
      </c>
      <c r="C9448" s="9">
        <v>343</v>
      </c>
      <c r="D9448" s="0">
        <v>0</v>
      </c>
      <c r="E9448" s="10">
        <f>HYPERLINK("http://www.lingerieopt.ru/images/original/09a0abcf-46b0-4b64-b445-5af34565a168.jpg","Фото")</f>
      </c>
    </row>
    <row r="9449">
      <c r="A9449" s="7">
        <f>HYPERLINK("http://www.lingerieopt.ru/item/8432-hlopkovje-trusj-stringi/","8432")</f>
      </c>
      <c r="B9449" s="8" t="s">
        <v>9006</v>
      </c>
      <c r="C9449" s="9">
        <v>343</v>
      </c>
      <c r="D9449" s="0">
        <v>0</v>
      </c>
      <c r="E9449" s="10">
        <f>HYPERLINK("http://www.lingerieopt.ru/images/original/09a0abcf-46b0-4b64-b445-5af34565a168.jpg","Фото")</f>
      </c>
    </row>
    <row r="9450">
      <c r="A9450" s="7">
        <f>HYPERLINK("http://www.lingerieopt.ru/item/8432-hlopkovje-trusj-stringi/","8432")</f>
      </c>
      <c r="B9450" s="8" t="s">
        <v>9007</v>
      </c>
      <c r="C9450" s="9">
        <v>343</v>
      </c>
      <c r="D9450" s="0">
        <v>0</v>
      </c>
      <c r="E9450" s="10">
        <f>HYPERLINK("http://www.lingerieopt.ru/images/original/09a0abcf-46b0-4b64-b445-5af34565a168.jpg","Фото")</f>
      </c>
    </row>
    <row r="9451">
      <c r="A9451" s="7">
        <f>HYPERLINK("http://www.lingerieopt.ru/item/8432-hlopkovje-trusj-stringi/","8432")</f>
      </c>
      <c r="B9451" s="8" t="s">
        <v>9008</v>
      </c>
      <c r="C9451" s="9">
        <v>343</v>
      </c>
      <c r="D9451" s="0">
        <v>0</v>
      </c>
      <c r="E9451" s="10">
        <f>HYPERLINK("http://www.lingerieopt.ru/images/original/09a0abcf-46b0-4b64-b445-5af34565a168.jpg","Фото")</f>
      </c>
    </row>
    <row r="9452">
      <c r="A9452" s="7">
        <f>HYPERLINK("http://www.lingerieopt.ru/item/8432-hlopkovje-trusj-stringi/","8432")</f>
      </c>
      <c r="B9452" s="8" t="s">
        <v>9009</v>
      </c>
      <c r="C9452" s="9">
        <v>343</v>
      </c>
      <c r="D9452" s="0">
        <v>0</v>
      </c>
      <c r="E9452" s="10">
        <f>HYPERLINK("http://www.lingerieopt.ru/images/original/09a0abcf-46b0-4b64-b445-5af34565a168.jpg","Фото")</f>
      </c>
    </row>
    <row r="9453">
      <c r="A9453" s="7">
        <f>HYPERLINK("http://www.lingerieopt.ru/item/8432-hlopkovje-trusj-stringi/","8432")</f>
      </c>
      <c r="B9453" s="8" t="s">
        <v>9010</v>
      </c>
      <c r="C9453" s="9">
        <v>343</v>
      </c>
      <c r="D9453" s="0">
        <v>1</v>
      </c>
      <c r="E9453" s="10">
        <f>HYPERLINK("http://www.lingerieopt.ru/images/original/09a0abcf-46b0-4b64-b445-5af34565a168.jpg","Фото")</f>
      </c>
    </row>
    <row r="9454">
      <c r="A9454" s="7">
        <f>HYPERLINK("http://www.lingerieopt.ru/item/8432-hlopkovje-trusj-stringi/","8432")</f>
      </c>
      <c r="B9454" s="8" t="s">
        <v>9011</v>
      </c>
      <c r="C9454" s="9">
        <v>343</v>
      </c>
      <c r="D9454" s="0">
        <v>0</v>
      </c>
      <c r="E9454" s="10">
        <f>HYPERLINK("http://www.lingerieopt.ru/images/original/09a0abcf-46b0-4b64-b445-5af34565a168.jpg","Фото")</f>
      </c>
    </row>
    <row r="9455">
      <c r="A9455" s="7">
        <f>HYPERLINK("http://www.lingerieopt.ru/item/8432-hlopkovje-trusj-stringi/","8432")</f>
      </c>
      <c r="B9455" s="8" t="s">
        <v>9012</v>
      </c>
      <c r="C9455" s="9">
        <v>343</v>
      </c>
      <c r="D9455" s="0">
        <v>1</v>
      </c>
      <c r="E9455" s="10">
        <f>HYPERLINK("http://www.lingerieopt.ru/images/original/09a0abcf-46b0-4b64-b445-5af34565a168.jpg","Фото")</f>
      </c>
    </row>
    <row r="9456">
      <c r="A9456" s="7">
        <f>HYPERLINK("http://www.lingerieopt.ru/item/8432-hlopkovje-trusj-stringi/","8432")</f>
      </c>
      <c r="B9456" s="8" t="s">
        <v>9013</v>
      </c>
      <c r="C9456" s="9">
        <v>343</v>
      </c>
      <c r="D9456" s="0">
        <v>0</v>
      </c>
      <c r="E9456" s="10">
        <f>HYPERLINK("http://www.lingerieopt.ru/images/original/09a0abcf-46b0-4b64-b445-5af34565a168.jpg","Фото")</f>
      </c>
    </row>
    <row r="9457">
      <c r="A9457" s="7">
        <f>HYPERLINK("http://www.lingerieopt.ru/item/8432-hlopkovje-trusj-stringi/","8432")</f>
      </c>
      <c r="B9457" s="8" t="s">
        <v>9014</v>
      </c>
      <c r="C9457" s="9">
        <v>343</v>
      </c>
      <c r="D9457" s="0">
        <v>0</v>
      </c>
      <c r="E9457" s="10">
        <f>HYPERLINK("http://www.lingerieopt.ru/images/original/09a0abcf-46b0-4b64-b445-5af34565a168.jpg","Фото")</f>
      </c>
    </row>
    <row r="9458">
      <c r="A9458" s="7">
        <f>HYPERLINK("http://www.lingerieopt.ru/item/8432-hlopkovje-trusj-stringi/","8432")</f>
      </c>
      <c r="B9458" s="8" t="s">
        <v>9015</v>
      </c>
      <c r="C9458" s="9">
        <v>343</v>
      </c>
      <c r="D9458" s="0">
        <v>0</v>
      </c>
      <c r="E9458" s="10">
        <f>HYPERLINK("http://www.lingerieopt.ru/images/original/09a0abcf-46b0-4b64-b445-5af34565a168.jpg","Фото")</f>
      </c>
    </row>
    <row r="9459">
      <c r="A9459" s="7">
        <f>HYPERLINK("http://www.lingerieopt.ru/item/8432-hlopkovje-trusj-stringi/","8432")</f>
      </c>
      <c r="B9459" s="8" t="s">
        <v>9016</v>
      </c>
      <c r="C9459" s="9">
        <v>343</v>
      </c>
      <c r="D9459" s="0">
        <v>0</v>
      </c>
      <c r="E9459" s="10">
        <f>HYPERLINK("http://www.lingerieopt.ru/images/original/09a0abcf-46b0-4b64-b445-5af34565a168.jpg","Фото")</f>
      </c>
    </row>
    <row r="9460">
      <c r="A9460" s="7">
        <f>HYPERLINK("http://www.lingerieopt.ru/item/8432-hlopkovje-trusj-stringi/","8432")</f>
      </c>
      <c r="B9460" s="8" t="s">
        <v>9017</v>
      </c>
      <c r="C9460" s="9">
        <v>343</v>
      </c>
      <c r="D9460" s="0">
        <v>0</v>
      </c>
      <c r="E9460" s="10">
        <f>HYPERLINK("http://www.lingerieopt.ru/images/original/09a0abcf-46b0-4b64-b445-5af34565a168.jpg","Фото")</f>
      </c>
    </row>
    <row r="9461">
      <c r="A9461" s="7">
        <f>HYPERLINK("http://www.lingerieopt.ru/item/8432-hlopkovje-trusj-stringi/","8432")</f>
      </c>
      <c r="B9461" s="8" t="s">
        <v>9018</v>
      </c>
      <c r="C9461" s="9">
        <v>343</v>
      </c>
      <c r="D9461" s="0">
        <v>0</v>
      </c>
      <c r="E9461" s="10">
        <f>HYPERLINK("http://www.lingerieopt.ru/images/original/09a0abcf-46b0-4b64-b445-5af34565a168.jpg","Фото")</f>
      </c>
    </row>
    <row r="9462">
      <c r="A9462" s="7">
        <f>HYPERLINK("http://www.lingerieopt.ru/item/8432-hlopkovje-trusj-stringi/","8432")</f>
      </c>
      <c r="B9462" s="8" t="s">
        <v>9019</v>
      </c>
      <c r="C9462" s="9">
        <v>343</v>
      </c>
      <c r="D9462" s="0">
        <v>1</v>
      </c>
      <c r="E9462" s="10">
        <f>HYPERLINK("http://www.lingerieopt.ru/images/original/09a0abcf-46b0-4b64-b445-5af34565a168.jpg","Фото")</f>
      </c>
    </row>
    <row r="9463">
      <c r="A9463" s="7">
        <f>HYPERLINK("http://www.lingerieopt.ru/item/8432-hlopkovje-trusj-stringi/","8432")</f>
      </c>
      <c r="B9463" s="8" t="s">
        <v>9020</v>
      </c>
      <c r="C9463" s="9">
        <v>343</v>
      </c>
      <c r="D9463" s="0">
        <v>0</v>
      </c>
      <c r="E9463" s="10">
        <f>HYPERLINK("http://www.lingerieopt.ru/images/original/09a0abcf-46b0-4b64-b445-5af34565a168.jpg","Фото")</f>
      </c>
    </row>
    <row r="9464">
      <c r="A9464" s="7">
        <f>HYPERLINK("http://www.lingerieopt.ru/item/8432-hlopkovje-trusj-stringi/","8432")</f>
      </c>
      <c r="B9464" s="8" t="s">
        <v>9021</v>
      </c>
      <c r="C9464" s="9">
        <v>343</v>
      </c>
      <c r="D9464" s="0">
        <v>0</v>
      </c>
      <c r="E9464" s="10">
        <f>HYPERLINK("http://www.lingerieopt.ru/images/original/09a0abcf-46b0-4b64-b445-5af34565a168.jpg","Фото")</f>
      </c>
    </row>
    <row r="9465">
      <c r="A9465" s="7">
        <f>HYPERLINK("http://www.lingerieopt.ru/item/8432-hlopkovje-trusj-stringi/","8432")</f>
      </c>
      <c r="B9465" s="8" t="s">
        <v>9022</v>
      </c>
      <c r="C9465" s="9">
        <v>343</v>
      </c>
      <c r="D9465" s="0">
        <v>0</v>
      </c>
      <c r="E9465" s="10">
        <f>HYPERLINK("http://www.lingerieopt.ru/images/original/09a0abcf-46b0-4b64-b445-5af34565a168.jpg","Фото")</f>
      </c>
    </row>
    <row r="9466">
      <c r="A9466" s="7">
        <f>HYPERLINK("http://www.lingerieopt.ru/item/8432-hlopkovje-trusj-stringi/","8432")</f>
      </c>
      <c r="B9466" s="8" t="s">
        <v>9023</v>
      </c>
      <c r="C9466" s="9">
        <v>343</v>
      </c>
      <c r="D9466" s="0">
        <v>0</v>
      </c>
      <c r="E9466" s="10">
        <f>HYPERLINK("http://www.lingerieopt.ru/images/original/09a0abcf-46b0-4b64-b445-5af34565a168.jpg","Фото")</f>
      </c>
    </row>
    <row r="9467">
      <c r="A9467" s="7">
        <f>HYPERLINK("http://www.lingerieopt.ru/item/8432-hlopkovje-trusj-stringi/","8432")</f>
      </c>
      <c r="B9467" s="8" t="s">
        <v>9024</v>
      </c>
      <c r="C9467" s="9">
        <v>343</v>
      </c>
      <c r="D9467" s="0">
        <v>0</v>
      </c>
      <c r="E9467" s="10">
        <f>HYPERLINK("http://www.lingerieopt.ru/images/original/09a0abcf-46b0-4b64-b445-5af34565a168.jpg","Фото")</f>
      </c>
    </row>
    <row r="9468">
      <c r="A9468" s="7">
        <f>HYPERLINK("http://www.lingerieopt.ru/item/8432-hlopkovje-trusj-stringi/","8432")</f>
      </c>
      <c r="B9468" s="8" t="s">
        <v>9025</v>
      </c>
      <c r="C9468" s="9">
        <v>343</v>
      </c>
      <c r="D9468" s="0">
        <v>0</v>
      </c>
      <c r="E9468" s="10">
        <f>HYPERLINK("http://www.lingerieopt.ru/images/original/09a0abcf-46b0-4b64-b445-5af34565a168.jpg","Фото")</f>
      </c>
    </row>
    <row r="9469">
      <c r="A9469" s="7">
        <f>HYPERLINK("http://www.lingerieopt.ru/item/8432-hlopkovje-trusj-stringi/","8432")</f>
      </c>
      <c r="B9469" s="8" t="s">
        <v>9026</v>
      </c>
      <c r="C9469" s="9">
        <v>343</v>
      </c>
      <c r="D9469" s="0">
        <v>0</v>
      </c>
      <c r="E9469" s="10">
        <f>HYPERLINK("http://www.lingerieopt.ru/images/original/09a0abcf-46b0-4b64-b445-5af34565a168.jpg","Фото")</f>
      </c>
    </row>
    <row r="9470">
      <c r="A9470" s="7">
        <f>HYPERLINK("http://www.lingerieopt.ru/item/8432-hlopkovje-trusj-stringi/","8432")</f>
      </c>
      <c r="B9470" s="8" t="s">
        <v>9027</v>
      </c>
      <c r="C9470" s="9">
        <v>343</v>
      </c>
      <c r="D9470" s="0">
        <v>0</v>
      </c>
      <c r="E9470" s="10">
        <f>HYPERLINK("http://www.lingerieopt.ru/images/original/09a0abcf-46b0-4b64-b445-5af34565a168.jpg","Фото")</f>
      </c>
    </row>
    <row r="9471">
      <c r="A9471" s="7">
        <f>HYPERLINK("http://www.lingerieopt.ru/item/8432-hlopkovje-trusj-stringi/","8432")</f>
      </c>
      <c r="B9471" s="8" t="s">
        <v>9028</v>
      </c>
      <c r="C9471" s="9">
        <v>343</v>
      </c>
      <c r="D9471" s="0">
        <v>0</v>
      </c>
      <c r="E9471" s="10">
        <f>HYPERLINK("http://www.lingerieopt.ru/images/original/09a0abcf-46b0-4b64-b445-5af34565a168.jpg","Фото")</f>
      </c>
    </row>
    <row r="9472">
      <c r="A9472" s="7">
        <f>HYPERLINK("http://www.lingerieopt.ru/item/8432-hlopkovje-trusj-stringi/","8432")</f>
      </c>
      <c r="B9472" s="8" t="s">
        <v>9029</v>
      </c>
      <c r="C9472" s="9">
        <v>343</v>
      </c>
      <c r="D9472" s="0">
        <v>0</v>
      </c>
      <c r="E9472" s="10">
        <f>HYPERLINK("http://www.lingerieopt.ru/images/original/09a0abcf-46b0-4b64-b445-5af34565a168.jpg","Фото")</f>
      </c>
    </row>
    <row r="9473">
      <c r="A9473" s="7">
        <f>HYPERLINK("http://www.lingerieopt.ru/item/8432-hlopkovje-trusj-stringi/","8432")</f>
      </c>
      <c r="B9473" s="8" t="s">
        <v>9030</v>
      </c>
      <c r="C9473" s="9">
        <v>343</v>
      </c>
      <c r="D9473" s="0">
        <v>0</v>
      </c>
      <c r="E9473" s="10">
        <f>HYPERLINK("http://www.lingerieopt.ru/images/original/09a0abcf-46b0-4b64-b445-5af34565a168.jpg","Фото")</f>
      </c>
    </row>
    <row r="9474">
      <c r="A9474" s="7">
        <f>HYPERLINK("http://www.lingerieopt.ru/item/8432-hlopkovje-trusj-stringi/","8432")</f>
      </c>
      <c r="B9474" s="8" t="s">
        <v>9031</v>
      </c>
      <c r="C9474" s="9">
        <v>343</v>
      </c>
      <c r="D9474" s="0">
        <v>0</v>
      </c>
      <c r="E9474" s="10">
        <f>HYPERLINK("http://www.lingerieopt.ru/images/original/09a0abcf-46b0-4b64-b445-5af34565a168.jpg","Фото")</f>
      </c>
    </row>
    <row r="9475">
      <c r="A9475" s="7">
        <f>HYPERLINK("http://www.lingerieopt.ru/item/8432-hlopkovje-trusj-stringi/","8432")</f>
      </c>
      <c r="B9475" s="8" t="s">
        <v>9032</v>
      </c>
      <c r="C9475" s="9">
        <v>343</v>
      </c>
      <c r="D9475" s="0">
        <v>0</v>
      </c>
      <c r="E9475" s="10">
        <f>HYPERLINK("http://www.lingerieopt.ru/images/original/09a0abcf-46b0-4b64-b445-5af34565a168.jpg","Фото")</f>
      </c>
    </row>
    <row r="9476">
      <c r="A9476" s="7">
        <f>HYPERLINK("http://www.lingerieopt.ru/item/8433-trusj-brifj-s-shirokoi-rezinkoi/","8433")</f>
      </c>
      <c r="B9476" s="8" t="s">
        <v>9033</v>
      </c>
      <c r="C9476" s="9">
        <v>526</v>
      </c>
      <c r="D9476" s="0">
        <v>3</v>
      </c>
      <c r="E9476" s="10">
        <f>HYPERLINK("http://www.lingerieopt.ru/images/original/8905008f-81e5-4284-a568-6e73f132542e.jpg","Фото")</f>
      </c>
    </row>
    <row r="9477">
      <c r="A9477" s="7">
        <f>HYPERLINK("http://www.lingerieopt.ru/item/8433-trusj-brifj-s-shirokoi-rezinkoi/","8433")</f>
      </c>
      <c r="B9477" s="8" t="s">
        <v>9034</v>
      </c>
      <c r="C9477" s="9">
        <v>526</v>
      </c>
      <c r="D9477" s="0">
        <v>6</v>
      </c>
      <c r="E9477" s="10">
        <f>HYPERLINK("http://www.lingerieopt.ru/images/original/8905008f-81e5-4284-a568-6e73f132542e.jpg","Фото")</f>
      </c>
    </row>
    <row r="9478">
      <c r="A9478" s="7">
        <f>HYPERLINK("http://www.lingerieopt.ru/item/8433-trusj-brifj-s-shirokoi-rezinkoi/","8433")</f>
      </c>
      <c r="B9478" s="8" t="s">
        <v>9035</v>
      </c>
      <c r="C9478" s="9">
        <v>526</v>
      </c>
      <c r="D9478" s="0">
        <v>3</v>
      </c>
      <c r="E9478" s="10">
        <f>HYPERLINK("http://www.lingerieopt.ru/images/original/8905008f-81e5-4284-a568-6e73f132542e.jpg","Фото")</f>
      </c>
    </row>
    <row r="9479">
      <c r="A9479" s="7">
        <f>HYPERLINK("http://www.lingerieopt.ru/item/8433-trusj-brifj-s-shirokoi-rezinkoi/","8433")</f>
      </c>
      <c r="B9479" s="8" t="s">
        <v>9036</v>
      </c>
      <c r="C9479" s="9">
        <v>526</v>
      </c>
      <c r="D9479" s="0">
        <v>3</v>
      </c>
      <c r="E9479" s="10">
        <f>HYPERLINK("http://www.lingerieopt.ru/images/original/8905008f-81e5-4284-a568-6e73f132542e.jpg","Фото")</f>
      </c>
    </row>
    <row r="9480">
      <c r="A9480" s="7">
        <f>HYPERLINK("http://www.lingerieopt.ru/item/8433-trusj-brifj-s-shirokoi-rezinkoi/","8433")</f>
      </c>
      <c r="B9480" s="8" t="s">
        <v>9037</v>
      </c>
      <c r="C9480" s="9">
        <v>526</v>
      </c>
      <c r="D9480" s="0">
        <v>1</v>
      </c>
      <c r="E9480" s="10">
        <f>HYPERLINK("http://www.lingerieopt.ru/images/original/8905008f-81e5-4284-a568-6e73f132542e.jpg","Фото")</f>
      </c>
    </row>
    <row r="9481">
      <c r="A9481" s="7">
        <f>HYPERLINK("http://www.lingerieopt.ru/item/8433-trusj-brifj-s-shirokoi-rezinkoi/","8433")</f>
      </c>
      <c r="B9481" s="8" t="s">
        <v>9038</v>
      </c>
      <c r="C9481" s="9">
        <v>526</v>
      </c>
      <c r="D9481" s="0">
        <v>1</v>
      </c>
      <c r="E9481" s="10">
        <f>HYPERLINK("http://www.lingerieopt.ru/images/original/8905008f-81e5-4284-a568-6e73f132542e.jpg","Фото")</f>
      </c>
    </row>
    <row r="9482">
      <c r="A9482" s="7">
        <f>HYPERLINK("http://www.lingerieopt.ru/item/8433-trusj-brifj-s-shirokoi-rezinkoi/","8433")</f>
      </c>
      <c r="B9482" s="8" t="s">
        <v>9039</v>
      </c>
      <c r="C9482" s="9">
        <v>526</v>
      </c>
      <c r="D9482" s="0">
        <v>3</v>
      </c>
      <c r="E9482" s="10">
        <f>HYPERLINK("http://www.lingerieopt.ru/images/original/8905008f-81e5-4284-a568-6e73f132542e.jpg","Фото")</f>
      </c>
    </row>
    <row r="9483">
      <c r="A9483" s="7">
        <f>HYPERLINK("http://www.lingerieopt.ru/item/8433-trusj-brifj-s-shirokoi-rezinkoi/","8433")</f>
      </c>
      <c r="B9483" s="8" t="s">
        <v>9040</v>
      </c>
      <c r="C9483" s="9">
        <v>526</v>
      </c>
      <c r="D9483" s="0">
        <v>3</v>
      </c>
      <c r="E9483" s="10">
        <f>HYPERLINK("http://www.lingerieopt.ru/images/original/8905008f-81e5-4284-a568-6e73f132542e.jpg","Фото")</f>
      </c>
    </row>
    <row r="9484">
      <c r="A9484" s="7">
        <f>HYPERLINK("http://www.lingerieopt.ru/item/8433-trusj-brifj-s-shirokoi-rezinkoi/","8433")</f>
      </c>
      <c r="B9484" s="8" t="s">
        <v>9041</v>
      </c>
      <c r="C9484" s="9">
        <v>526</v>
      </c>
      <c r="D9484" s="0">
        <v>3</v>
      </c>
      <c r="E9484" s="10">
        <f>HYPERLINK("http://www.lingerieopt.ru/images/original/8905008f-81e5-4284-a568-6e73f132542e.jpg","Фото")</f>
      </c>
    </row>
    <row r="9485">
      <c r="A9485" s="7">
        <f>HYPERLINK("http://www.lingerieopt.ru/item/8433-trusj-brifj-s-shirokoi-rezinkoi/","8433")</f>
      </c>
      <c r="B9485" s="8" t="s">
        <v>9042</v>
      </c>
      <c r="C9485" s="9">
        <v>526</v>
      </c>
      <c r="D9485" s="0">
        <v>3</v>
      </c>
      <c r="E9485" s="10">
        <f>HYPERLINK("http://www.lingerieopt.ru/images/original/8905008f-81e5-4284-a568-6e73f132542e.jpg","Фото")</f>
      </c>
    </row>
    <row r="9486">
      <c r="A9486" s="7">
        <f>HYPERLINK("http://www.lingerieopt.ru/item/8433-trusj-brifj-s-shirokoi-rezinkoi/","8433")</f>
      </c>
      <c r="B9486" s="8" t="s">
        <v>9043</v>
      </c>
      <c r="C9486" s="9">
        <v>526</v>
      </c>
      <c r="D9486" s="0">
        <v>3</v>
      </c>
      <c r="E9486" s="10">
        <f>HYPERLINK("http://www.lingerieopt.ru/images/original/8905008f-81e5-4284-a568-6e73f132542e.jpg","Фото")</f>
      </c>
    </row>
    <row r="9487">
      <c r="A9487" s="7">
        <f>HYPERLINK("http://www.lingerieopt.ru/item/8433-trusj-brifj-s-shirokoi-rezinkoi/","8433")</f>
      </c>
      <c r="B9487" s="8" t="s">
        <v>9044</v>
      </c>
      <c r="C9487" s="9">
        <v>526</v>
      </c>
      <c r="D9487" s="0">
        <v>3</v>
      </c>
      <c r="E9487" s="10">
        <f>HYPERLINK("http://www.lingerieopt.ru/images/original/8905008f-81e5-4284-a568-6e73f132542e.jpg","Фото")</f>
      </c>
    </row>
    <row r="9488">
      <c r="A9488" s="7">
        <f>HYPERLINK("http://www.lingerieopt.ru/item/8433-trusj-brifj-s-shirokoi-rezinkoi/","8433")</f>
      </c>
      <c r="B9488" s="8" t="s">
        <v>9045</v>
      </c>
      <c r="C9488" s="9">
        <v>526</v>
      </c>
      <c r="D9488" s="0">
        <v>3</v>
      </c>
      <c r="E9488" s="10">
        <f>HYPERLINK("http://www.lingerieopt.ru/images/original/8905008f-81e5-4284-a568-6e73f132542e.jpg","Фото")</f>
      </c>
    </row>
    <row r="9489">
      <c r="A9489" s="7">
        <f>HYPERLINK("http://www.lingerieopt.ru/item/8433-trusj-brifj-s-shirokoi-rezinkoi/","8433")</f>
      </c>
      <c r="B9489" s="8" t="s">
        <v>9046</v>
      </c>
      <c r="C9489" s="9">
        <v>526</v>
      </c>
      <c r="D9489" s="0">
        <v>3</v>
      </c>
      <c r="E9489" s="10">
        <f>HYPERLINK("http://www.lingerieopt.ru/images/original/8905008f-81e5-4284-a568-6e73f132542e.jpg","Фото")</f>
      </c>
    </row>
    <row r="9490">
      <c r="A9490" s="7">
        <f>HYPERLINK("http://www.lingerieopt.ru/item/8433-trusj-brifj-s-shirokoi-rezinkoi/","8433")</f>
      </c>
      <c r="B9490" s="8" t="s">
        <v>9047</v>
      </c>
      <c r="C9490" s="9">
        <v>526</v>
      </c>
      <c r="D9490" s="0">
        <v>3</v>
      </c>
      <c r="E9490" s="10">
        <f>HYPERLINK("http://www.lingerieopt.ru/images/original/8905008f-81e5-4284-a568-6e73f132542e.jpg","Фото")</f>
      </c>
    </row>
    <row r="9491">
      <c r="A9491" s="7">
        <f>HYPERLINK("http://www.lingerieopt.ru/item/8433-trusj-brifj-s-shirokoi-rezinkoi/","8433")</f>
      </c>
      <c r="B9491" s="8" t="s">
        <v>9048</v>
      </c>
      <c r="C9491" s="9">
        <v>526</v>
      </c>
      <c r="D9491" s="0">
        <v>3</v>
      </c>
      <c r="E9491" s="10">
        <f>HYPERLINK("http://www.lingerieopt.ru/images/original/8905008f-81e5-4284-a568-6e73f132542e.jpg","Фото")</f>
      </c>
    </row>
    <row r="9492">
      <c r="A9492" s="7">
        <f>HYPERLINK("http://www.lingerieopt.ru/item/8433-trusj-brifj-s-shirokoi-rezinkoi/","8433")</f>
      </c>
      <c r="B9492" s="8" t="s">
        <v>9049</v>
      </c>
      <c r="C9492" s="9">
        <v>526</v>
      </c>
      <c r="D9492" s="0">
        <v>3</v>
      </c>
      <c r="E9492" s="10">
        <f>HYPERLINK("http://www.lingerieopt.ru/images/original/8905008f-81e5-4284-a568-6e73f132542e.jpg","Фото")</f>
      </c>
    </row>
    <row r="9493">
      <c r="A9493" s="7">
        <f>HYPERLINK("http://www.lingerieopt.ru/item/8433-trusj-brifj-s-shirokoi-rezinkoi/","8433")</f>
      </c>
      <c r="B9493" s="8" t="s">
        <v>9050</v>
      </c>
      <c r="C9493" s="9">
        <v>526</v>
      </c>
      <c r="D9493" s="0">
        <v>0</v>
      </c>
      <c r="E9493" s="10">
        <f>HYPERLINK("http://www.lingerieopt.ru/images/original/8905008f-81e5-4284-a568-6e73f132542e.jpg","Фото")</f>
      </c>
    </row>
    <row r="9494">
      <c r="A9494" s="7">
        <f>HYPERLINK("http://www.lingerieopt.ru/item/8433-trusj-brifj-s-shirokoi-rezinkoi/","8433")</f>
      </c>
      <c r="B9494" s="8" t="s">
        <v>9051</v>
      </c>
      <c r="C9494" s="9">
        <v>526</v>
      </c>
      <c r="D9494" s="0">
        <v>1</v>
      </c>
      <c r="E9494" s="10">
        <f>HYPERLINK("http://www.lingerieopt.ru/images/original/8905008f-81e5-4284-a568-6e73f132542e.jpg","Фото")</f>
      </c>
    </row>
    <row r="9495">
      <c r="A9495" s="7">
        <f>HYPERLINK("http://www.lingerieopt.ru/item/8433-trusj-brifj-s-shirokoi-rezinkoi/","8433")</f>
      </c>
      <c r="B9495" s="8" t="s">
        <v>9052</v>
      </c>
      <c r="C9495" s="9">
        <v>526</v>
      </c>
      <c r="D9495" s="0">
        <v>3</v>
      </c>
      <c r="E9495" s="10">
        <f>HYPERLINK("http://www.lingerieopt.ru/images/original/8905008f-81e5-4284-a568-6e73f132542e.jpg","Фото")</f>
      </c>
    </row>
    <row r="9496">
      <c r="A9496" s="7">
        <f>HYPERLINK("http://www.lingerieopt.ru/item/8433-trusj-brifj-s-shirokoi-rezinkoi/","8433")</f>
      </c>
      <c r="B9496" s="8" t="s">
        <v>9053</v>
      </c>
      <c r="C9496" s="9">
        <v>526</v>
      </c>
      <c r="D9496" s="0">
        <v>6</v>
      </c>
      <c r="E9496" s="10">
        <f>HYPERLINK("http://www.lingerieopt.ru/images/original/8905008f-81e5-4284-a568-6e73f132542e.jpg","Фото")</f>
      </c>
    </row>
    <row r="9497">
      <c r="A9497" s="7">
        <f>HYPERLINK("http://www.lingerieopt.ru/item/8433-trusj-brifj-s-shirokoi-rezinkoi/","8433")</f>
      </c>
      <c r="B9497" s="8" t="s">
        <v>9054</v>
      </c>
      <c r="C9497" s="9">
        <v>526</v>
      </c>
      <c r="D9497" s="0">
        <v>1</v>
      </c>
      <c r="E9497" s="10">
        <f>HYPERLINK("http://www.lingerieopt.ru/images/original/8905008f-81e5-4284-a568-6e73f132542e.jpg","Фото")</f>
      </c>
    </row>
    <row r="9498">
      <c r="A9498" s="7">
        <f>HYPERLINK("http://www.lingerieopt.ru/item/8433-trusj-brifj-s-shirokoi-rezinkoi/","8433")</f>
      </c>
      <c r="B9498" s="8" t="s">
        <v>9055</v>
      </c>
      <c r="C9498" s="9">
        <v>526</v>
      </c>
      <c r="D9498" s="0">
        <v>6</v>
      </c>
      <c r="E9498" s="10">
        <f>HYPERLINK("http://www.lingerieopt.ru/images/original/8905008f-81e5-4284-a568-6e73f132542e.jpg","Фото")</f>
      </c>
    </row>
    <row r="9499">
      <c r="A9499" s="7">
        <f>HYPERLINK("http://www.lingerieopt.ru/item/8433-trusj-brifj-s-shirokoi-rezinkoi/","8433")</f>
      </c>
      <c r="B9499" s="8" t="s">
        <v>9056</v>
      </c>
      <c r="C9499" s="9">
        <v>526</v>
      </c>
      <c r="D9499" s="0">
        <v>3</v>
      </c>
      <c r="E9499" s="10">
        <f>HYPERLINK("http://www.lingerieopt.ru/images/original/8905008f-81e5-4284-a568-6e73f132542e.jpg","Фото")</f>
      </c>
    </row>
    <row r="9500">
      <c r="A9500" s="7">
        <f>HYPERLINK("http://www.lingerieopt.ru/item/8433-trusj-brifj-s-shirokoi-rezinkoi/","8433")</f>
      </c>
      <c r="B9500" s="8" t="s">
        <v>9057</v>
      </c>
      <c r="C9500" s="9">
        <v>526</v>
      </c>
      <c r="D9500" s="0">
        <v>3</v>
      </c>
      <c r="E9500" s="10">
        <f>HYPERLINK("http://www.lingerieopt.ru/images/original/8905008f-81e5-4284-a568-6e73f132542e.jpg","Фото")</f>
      </c>
    </row>
    <row r="9501">
      <c r="A9501" s="7">
        <f>HYPERLINK("http://www.lingerieopt.ru/item/8433-trusj-brifj-s-shirokoi-rezinkoi/","8433")</f>
      </c>
      <c r="B9501" s="8" t="s">
        <v>9058</v>
      </c>
      <c r="C9501" s="9">
        <v>526</v>
      </c>
      <c r="D9501" s="0">
        <v>3</v>
      </c>
      <c r="E9501" s="10">
        <f>HYPERLINK("http://www.lingerieopt.ru/images/original/8905008f-81e5-4284-a568-6e73f132542e.jpg","Фото")</f>
      </c>
    </row>
    <row r="9502">
      <c r="A9502" s="7">
        <f>HYPERLINK("http://www.lingerieopt.ru/item/8433-trusj-brifj-s-shirokoi-rezinkoi/","8433")</f>
      </c>
      <c r="B9502" s="8" t="s">
        <v>9059</v>
      </c>
      <c r="C9502" s="9">
        <v>526</v>
      </c>
      <c r="D9502" s="0">
        <v>1</v>
      </c>
      <c r="E9502" s="10">
        <f>HYPERLINK("http://www.lingerieopt.ru/images/original/8905008f-81e5-4284-a568-6e73f132542e.jpg","Фото")</f>
      </c>
    </row>
    <row r="9503">
      <c r="A9503" s="7">
        <f>HYPERLINK("http://www.lingerieopt.ru/item/8433-trusj-brifj-s-shirokoi-rezinkoi/","8433")</f>
      </c>
      <c r="B9503" s="8" t="s">
        <v>9060</v>
      </c>
      <c r="C9503" s="9">
        <v>526</v>
      </c>
      <c r="D9503" s="0">
        <v>3</v>
      </c>
      <c r="E9503" s="10">
        <f>HYPERLINK("http://www.lingerieopt.ru/images/original/8905008f-81e5-4284-a568-6e73f132542e.jpg","Фото")</f>
      </c>
    </row>
    <row r="9504">
      <c r="A9504" s="7">
        <f>HYPERLINK("http://www.lingerieopt.ru/item/8433-trusj-brifj-s-shirokoi-rezinkoi/","8433")</f>
      </c>
      <c r="B9504" s="8" t="s">
        <v>9061</v>
      </c>
      <c r="C9504" s="9">
        <v>526</v>
      </c>
      <c r="D9504" s="0">
        <v>6</v>
      </c>
      <c r="E9504" s="10">
        <f>HYPERLINK("http://www.lingerieopt.ru/images/original/8905008f-81e5-4284-a568-6e73f132542e.jpg","Фото")</f>
      </c>
    </row>
    <row r="9505">
      <c r="A9505" s="7">
        <f>HYPERLINK("http://www.lingerieopt.ru/item/8433-trusj-brifj-s-shirokoi-rezinkoi/","8433")</f>
      </c>
      <c r="B9505" s="8" t="s">
        <v>9062</v>
      </c>
      <c r="C9505" s="9">
        <v>526</v>
      </c>
      <c r="D9505" s="0">
        <v>1</v>
      </c>
      <c r="E9505" s="10">
        <f>HYPERLINK("http://www.lingerieopt.ru/images/original/8905008f-81e5-4284-a568-6e73f132542e.jpg","Фото")</f>
      </c>
    </row>
    <row r="9506">
      <c r="A9506" s="7">
        <f>HYPERLINK("http://www.lingerieopt.ru/item/8433-trusj-brifj-s-shirokoi-rezinkoi/","8433")</f>
      </c>
      <c r="B9506" s="8" t="s">
        <v>9063</v>
      </c>
      <c r="C9506" s="9">
        <v>526</v>
      </c>
      <c r="D9506" s="0">
        <v>6</v>
      </c>
      <c r="E9506" s="10">
        <f>HYPERLINK("http://www.lingerieopt.ru/images/original/8905008f-81e5-4284-a568-6e73f132542e.jpg","Фото")</f>
      </c>
    </row>
    <row r="9507">
      <c r="A9507" s="7">
        <f>HYPERLINK("http://www.lingerieopt.ru/item/8433-trusj-brifj-s-shirokoi-rezinkoi/","8433")</f>
      </c>
      <c r="B9507" s="8" t="s">
        <v>9064</v>
      </c>
      <c r="C9507" s="9">
        <v>526</v>
      </c>
      <c r="D9507" s="0">
        <v>1</v>
      </c>
      <c r="E9507" s="10">
        <f>HYPERLINK("http://www.lingerieopt.ru/images/original/8905008f-81e5-4284-a568-6e73f132542e.jpg","Фото")</f>
      </c>
    </row>
    <row r="9508">
      <c r="A9508" s="7">
        <f>HYPERLINK("http://www.lingerieopt.ru/item/8433-trusj-brifj-s-shirokoi-rezinkoi/","8433")</f>
      </c>
      <c r="B9508" s="8" t="s">
        <v>9065</v>
      </c>
      <c r="C9508" s="9">
        <v>526</v>
      </c>
      <c r="D9508" s="0">
        <v>6</v>
      </c>
      <c r="E9508" s="10">
        <f>HYPERLINK("http://www.lingerieopt.ru/images/original/8905008f-81e5-4284-a568-6e73f132542e.jpg","Фото")</f>
      </c>
    </row>
    <row r="9509">
      <c r="A9509" s="7">
        <f>HYPERLINK("http://www.lingerieopt.ru/item/8433-trusj-brifj-s-shirokoi-rezinkoi/","8433")</f>
      </c>
      <c r="B9509" s="8" t="s">
        <v>9066</v>
      </c>
      <c r="C9509" s="9">
        <v>526</v>
      </c>
      <c r="D9509" s="0">
        <v>1</v>
      </c>
      <c r="E9509" s="10">
        <f>HYPERLINK("http://www.lingerieopt.ru/images/original/8905008f-81e5-4284-a568-6e73f132542e.jpg","Фото")</f>
      </c>
    </row>
    <row r="9510">
      <c r="A9510" s="7">
        <f>HYPERLINK("http://www.lingerieopt.ru/item/8433-trusj-brifj-s-shirokoi-rezinkoi/","8433")</f>
      </c>
      <c r="B9510" s="8" t="s">
        <v>9067</v>
      </c>
      <c r="C9510" s="9">
        <v>526</v>
      </c>
      <c r="D9510" s="0">
        <v>6</v>
      </c>
      <c r="E9510" s="10">
        <f>HYPERLINK("http://www.lingerieopt.ru/images/original/8905008f-81e5-4284-a568-6e73f132542e.jpg","Фото")</f>
      </c>
    </row>
    <row r="9511">
      <c r="A9511" s="7">
        <f>HYPERLINK("http://www.lingerieopt.ru/item/8433-trusj-brifj-s-shirokoi-rezinkoi/","8433")</f>
      </c>
      <c r="B9511" s="8" t="s">
        <v>9068</v>
      </c>
      <c r="C9511" s="9">
        <v>526</v>
      </c>
      <c r="D9511" s="0">
        <v>3</v>
      </c>
      <c r="E9511" s="10">
        <f>HYPERLINK("http://www.lingerieopt.ru/images/original/8905008f-81e5-4284-a568-6e73f132542e.jpg","Фото")</f>
      </c>
    </row>
    <row r="9512">
      <c r="A9512" s="7">
        <f>HYPERLINK("http://www.lingerieopt.ru/item/8433-trusj-brifj-s-shirokoi-rezinkoi/","8433")</f>
      </c>
      <c r="B9512" s="8" t="s">
        <v>9069</v>
      </c>
      <c r="C9512" s="9">
        <v>526</v>
      </c>
      <c r="D9512" s="0">
        <v>3</v>
      </c>
      <c r="E9512" s="10">
        <f>HYPERLINK("http://www.lingerieopt.ru/images/original/8905008f-81e5-4284-a568-6e73f132542e.jpg","Фото")</f>
      </c>
    </row>
    <row r="9513">
      <c r="A9513" s="7">
        <f>HYPERLINK("http://www.lingerieopt.ru/item/8433-trusj-brifj-s-shirokoi-rezinkoi/","8433")</f>
      </c>
      <c r="B9513" s="8" t="s">
        <v>9070</v>
      </c>
      <c r="C9513" s="9">
        <v>526</v>
      </c>
      <c r="D9513" s="0">
        <v>6</v>
      </c>
      <c r="E9513" s="10">
        <f>HYPERLINK("http://www.lingerieopt.ru/images/original/8905008f-81e5-4284-a568-6e73f132542e.jpg","Фото")</f>
      </c>
    </row>
    <row r="9514">
      <c r="A9514" s="7">
        <f>HYPERLINK("http://www.lingerieopt.ru/item/8433-trusj-brifj-s-shirokoi-rezinkoi/","8433")</f>
      </c>
      <c r="B9514" s="8" t="s">
        <v>9071</v>
      </c>
      <c r="C9514" s="9">
        <v>526</v>
      </c>
      <c r="D9514" s="0">
        <v>3</v>
      </c>
      <c r="E9514" s="10">
        <f>HYPERLINK("http://www.lingerieopt.ru/images/original/8905008f-81e5-4284-a568-6e73f132542e.jpg","Фото")</f>
      </c>
    </row>
    <row r="9515">
      <c r="A9515" s="7">
        <f>HYPERLINK("http://www.lingerieopt.ru/item/8433-trusj-brifj-s-shirokoi-rezinkoi/","8433")</f>
      </c>
      <c r="B9515" s="8" t="s">
        <v>9072</v>
      </c>
      <c r="C9515" s="9">
        <v>526</v>
      </c>
      <c r="D9515" s="0">
        <v>3</v>
      </c>
      <c r="E9515" s="10">
        <f>HYPERLINK("http://www.lingerieopt.ru/images/original/8905008f-81e5-4284-a568-6e73f132542e.jpg","Фото")</f>
      </c>
    </row>
    <row r="9516">
      <c r="A9516" s="7">
        <f>HYPERLINK("http://www.lingerieopt.ru/item/8433-trusj-brifj-s-shirokoi-rezinkoi/","8433")</f>
      </c>
      <c r="B9516" s="8" t="s">
        <v>9073</v>
      </c>
      <c r="C9516" s="9">
        <v>526</v>
      </c>
      <c r="D9516" s="0">
        <v>3</v>
      </c>
      <c r="E9516" s="10">
        <f>HYPERLINK("http://www.lingerieopt.ru/images/original/8905008f-81e5-4284-a568-6e73f132542e.jpg","Фото")</f>
      </c>
    </row>
    <row r="9517">
      <c r="A9517" s="7">
        <f>HYPERLINK("http://www.lingerieopt.ru/item/8433-trusj-brifj-s-shirokoi-rezinkoi/","8433")</f>
      </c>
      <c r="B9517" s="8" t="s">
        <v>9074</v>
      </c>
      <c r="C9517" s="9">
        <v>526</v>
      </c>
      <c r="D9517" s="0">
        <v>3</v>
      </c>
      <c r="E9517" s="10">
        <f>HYPERLINK("http://www.lingerieopt.ru/images/original/8905008f-81e5-4284-a568-6e73f132542e.jpg","Фото")</f>
      </c>
    </row>
    <row r="9518">
      <c r="A9518" s="7">
        <f>HYPERLINK("http://www.lingerieopt.ru/item/8433-trusj-brifj-s-shirokoi-rezinkoi/","8433")</f>
      </c>
      <c r="B9518" s="8" t="s">
        <v>9075</v>
      </c>
      <c r="C9518" s="9">
        <v>526</v>
      </c>
      <c r="D9518" s="0">
        <v>6</v>
      </c>
      <c r="E9518" s="10">
        <f>HYPERLINK("http://www.lingerieopt.ru/images/original/8905008f-81e5-4284-a568-6e73f132542e.jpg","Фото")</f>
      </c>
    </row>
    <row r="9519">
      <c r="A9519" s="7">
        <f>HYPERLINK("http://www.lingerieopt.ru/item/8433-trusj-brifj-s-shirokoi-rezinkoi/","8433")</f>
      </c>
      <c r="B9519" s="8" t="s">
        <v>9076</v>
      </c>
      <c r="C9519" s="9">
        <v>526</v>
      </c>
      <c r="D9519" s="0">
        <v>3</v>
      </c>
      <c r="E9519" s="10">
        <f>HYPERLINK("http://www.lingerieopt.ru/images/original/8905008f-81e5-4284-a568-6e73f132542e.jpg","Фото")</f>
      </c>
    </row>
    <row r="9520">
      <c r="A9520" s="7">
        <f>HYPERLINK("http://www.lingerieopt.ru/item/8433-trusj-brifj-s-shirokoi-rezinkoi/","8433")</f>
      </c>
      <c r="B9520" s="8" t="s">
        <v>9077</v>
      </c>
      <c r="C9520" s="9">
        <v>526</v>
      </c>
      <c r="D9520" s="0">
        <v>6</v>
      </c>
      <c r="E9520" s="10">
        <f>HYPERLINK("http://www.lingerieopt.ru/images/original/8905008f-81e5-4284-a568-6e73f132542e.jpg","Фото")</f>
      </c>
    </row>
    <row r="9521">
      <c r="A9521" s="7">
        <f>HYPERLINK("http://www.lingerieopt.ru/item/8433-trusj-brifj-s-shirokoi-rezinkoi/","8433")</f>
      </c>
      <c r="B9521" s="8" t="s">
        <v>9078</v>
      </c>
      <c r="C9521" s="9">
        <v>526</v>
      </c>
      <c r="D9521" s="0">
        <v>0</v>
      </c>
      <c r="E9521" s="10">
        <f>HYPERLINK("http://www.lingerieopt.ru/images/original/8905008f-81e5-4284-a568-6e73f132542e.jpg","Фото")</f>
      </c>
    </row>
    <row r="9522">
      <c r="A9522" s="7">
        <f>HYPERLINK("http://www.lingerieopt.ru/item/8433-trusj-brifj-s-shirokoi-rezinkoi/","8433")</f>
      </c>
      <c r="B9522" s="8" t="s">
        <v>9079</v>
      </c>
      <c r="C9522" s="9">
        <v>526</v>
      </c>
      <c r="D9522" s="0">
        <v>3</v>
      </c>
      <c r="E9522" s="10">
        <f>HYPERLINK("http://www.lingerieopt.ru/images/original/8905008f-81e5-4284-a568-6e73f132542e.jpg","Фото")</f>
      </c>
    </row>
    <row r="9523">
      <c r="A9523" s="7">
        <f>HYPERLINK("http://www.lingerieopt.ru/item/8434-muzhskie-trusj-hipsj-s-shirokim-poyasom/","8434")</f>
      </c>
      <c r="B9523" s="8" t="s">
        <v>9080</v>
      </c>
      <c r="C9523" s="9">
        <v>423</v>
      </c>
      <c r="D9523" s="0">
        <v>3</v>
      </c>
      <c r="E9523" s="10">
        <f>HYPERLINK("http://www.lingerieopt.ru/images/original/121aef7d-eefd-4f6f-9625-2be2a4610cf9.jpg","Фото")</f>
      </c>
    </row>
    <row r="9524">
      <c r="A9524" s="7">
        <f>HYPERLINK("http://www.lingerieopt.ru/item/8434-muzhskie-trusj-hipsj-s-shirokim-poyasom/","8434")</f>
      </c>
      <c r="B9524" s="8" t="s">
        <v>9081</v>
      </c>
      <c r="C9524" s="9">
        <v>423</v>
      </c>
      <c r="D9524" s="0">
        <v>0</v>
      </c>
      <c r="E9524" s="10">
        <f>HYPERLINK("http://www.lingerieopt.ru/images/original/121aef7d-eefd-4f6f-9625-2be2a4610cf9.jpg","Фото")</f>
      </c>
    </row>
    <row r="9525">
      <c r="A9525" s="7">
        <f>HYPERLINK("http://www.lingerieopt.ru/item/8434-muzhskie-trusj-hipsj-s-shirokim-poyasom/","8434")</f>
      </c>
      <c r="B9525" s="8" t="s">
        <v>9082</v>
      </c>
      <c r="C9525" s="9">
        <v>423</v>
      </c>
      <c r="D9525" s="0">
        <v>1</v>
      </c>
      <c r="E9525" s="10">
        <f>HYPERLINK("http://www.lingerieopt.ru/images/original/121aef7d-eefd-4f6f-9625-2be2a4610cf9.jpg","Фото")</f>
      </c>
    </row>
    <row r="9526">
      <c r="A9526" s="7">
        <f>HYPERLINK("http://www.lingerieopt.ru/item/8434-muzhskie-trusj-hipsj-s-shirokim-poyasom/","8434")</f>
      </c>
      <c r="B9526" s="8" t="s">
        <v>9083</v>
      </c>
      <c r="C9526" s="9">
        <v>423</v>
      </c>
      <c r="D9526" s="0">
        <v>3</v>
      </c>
      <c r="E9526" s="10">
        <f>HYPERLINK("http://www.lingerieopt.ru/images/original/121aef7d-eefd-4f6f-9625-2be2a4610cf9.jpg","Фото")</f>
      </c>
    </row>
    <row r="9527">
      <c r="A9527" s="7">
        <f>HYPERLINK("http://www.lingerieopt.ru/item/8434-muzhskie-trusj-hipsj-s-shirokim-poyasom/","8434")</f>
      </c>
      <c r="B9527" s="8" t="s">
        <v>9084</v>
      </c>
      <c r="C9527" s="9">
        <v>423</v>
      </c>
      <c r="D9527" s="0">
        <v>3</v>
      </c>
      <c r="E9527" s="10">
        <f>HYPERLINK("http://www.lingerieopt.ru/images/original/121aef7d-eefd-4f6f-9625-2be2a4610cf9.jpg","Фото")</f>
      </c>
    </row>
    <row r="9528">
      <c r="A9528" s="7">
        <f>HYPERLINK("http://www.lingerieopt.ru/item/8434-muzhskie-trusj-hipsj-s-shirokim-poyasom/","8434")</f>
      </c>
      <c r="B9528" s="8" t="s">
        <v>9085</v>
      </c>
      <c r="C9528" s="9">
        <v>423</v>
      </c>
      <c r="D9528" s="0">
        <v>0</v>
      </c>
      <c r="E9528" s="10">
        <f>HYPERLINK("http://www.lingerieopt.ru/images/original/121aef7d-eefd-4f6f-9625-2be2a4610cf9.jpg","Фото")</f>
      </c>
    </row>
    <row r="9529">
      <c r="A9529" s="7">
        <f>HYPERLINK("http://www.lingerieopt.ru/item/8435-udlinennje-trusj-bokserj/","8435")</f>
      </c>
      <c r="B9529" s="8" t="s">
        <v>9086</v>
      </c>
      <c r="C9529" s="9">
        <v>637</v>
      </c>
      <c r="D9529" s="0">
        <v>1</v>
      </c>
      <c r="E9529" s="10">
        <f>HYPERLINK("http://www.lingerieopt.ru/images/original/391bd20e-c1af-4bf1-ac03-f34909387430.jpg","Фото")</f>
      </c>
    </row>
    <row r="9530">
      <c r="A9530" s="7">
        <f>HYPERLINK("http://www.lingerieopt.ru/item/8435-udlinennje-trusj-bokserj/","8435")</f>
      </c>
      <c r="B9530" s="8" t="s">
        <v>9087</v>
      </c>
      <c r="C9530" s="9">
        <v>637</v>
      </c>
      <c r="D9530" s="0">
        <v>3</v>
      </c>
      <c r="E9530" s="10">
        <f>HYPERLINK("http://www.lingerieopt.ru/images/original/391bd20e-c1af-4bf1-ac03-f34909387430.jpg","Фото")</f>
      </c>
    </row>
    <row r="9531">
      <c r="A9531" s="7">
        <f>HYPERLINK("http://www.lingerieopt.ru/item/8435-udlinennje-trusj-bokserj/","8435")</f>
      </c>
      <c r="B9531" s="8" t="s">
        <v>9088</v>
      </c>
      <c r="C9531" s="9">
        <v>637</v>
      </c>
      <c r="D9531" s="0">
        <v>3</v>
      </c>
      <c r="E9531" s="10">
        <f>HYPERLINK("http://www.lingerieopt.ru/images/original/391bd20e-c1af-4bf1-ac03-f34909387430.jpg","Фото")</f>
      </c>
    </row>
    <row r="9532">
      <c r="A9532" s="7">
        <f>HYPERLINK("http://www.lingerieopt.ru/item/8435-udlinennje-trusj-bokserj/","8435")</f>
      </c>
      <c r="B9532" s="8" t="s">
        <v>9089</v>
      </c>
      <c r="C9532" s="9">
        <v>637</v>
      </c>
      <c r="D9532" s="0">
        <v>3</v>
      </c>
      <c r="E9532" s="10">
        <f>HYPERLINK("http://www.lingerieopt.ru/images/original/391bd20e-c1af-4bf1-ac03-f34909387430.jpg","Фото")</f>
      </c>
    </row>
    <row r="9533">
      <c r="A9533" s="7">
        <f>HYPERLINK("http://www.lingerieopt.ru/item/8435-udlinennje-trusj-bokserj/","8435")</f>
      </c>
      <c r="B9533" s="8" t="s">
        <v>9090</v>
      </c>
      <c r="C9533" s="9">
        <v>637</v>
      </c>
      <c r="D9533" s="0">
        <v>1</v>
      </c>
      <c r="E9533" s="10">
        <f>HYPERLINK("http://www.lingerieopt.ru/images/original/391bd20e-c1af-4bf1-ac03-f34909387430.jpg","Фото")</f>
      </c>
    </row>
    <row r="9534">
      <c r="A9534" s="7">
        <f>HYPERLINK("http://www.lingerieopt.ru/item/8435-udlinennje-trusj-bokserj/","8435")</f>
      </c>
      <c r="B9534" s="8" t="s">
        <v>9091</v>
      </c>
      <c r="C9534" s="9">
        <v>637</v>
      </c>
      <c r="D9534" s="0">
        <v>3</v>
      </c>
      <c r="E9534" s="10">
        <f>HYPERLINK("http://www.lingerieopt.ru/images/original/391bd20e-c1af-4bf1-ac03-f34909387430.jpg","Фото")</f>
      </c>
    </row>
    <row r="9535">
      <c r="A9535" s="7">
        <f>HYPERLINK("http://www.lingerieopt.ru/item/8435-udlinennje-trusj-bokserj/","8435")</f>
      </c>
      <c r="B9535" s="8" t="s">
        <v>9092</v>
      </c>
      <c r="C9535" s="9">
        <v>637</v>
      </c>
      <c r="D9535" s="0">
        <v>3</v>
      </c>
      <c r="E9535" s="10">
        <f>HYPERLINK("http://www.lingerieopt.ru/images/original/391bd20e-c1af-4bf1-ac03-f34909387430.jpg","Фото")</f>
      </c>
    </row>
    <row r="9536">
      <c r="A9536" s="7">
        <f>HYPERLINK("http://www.lingerieopt.ru/item/8435-udlinennje-trusj-bokserj/","8435")</f>
      </c>
      <c r="B9536" s="8" t="s">
        <v>9093</v>
      </c>
      <c r="C9536" s="9">
        <v>637</v>
      </c>
      <c r="D9536" s="0">
        <v>1</v>
      </c>
      <c r="E9536" s="10">
        <f>HYPERLINK("http://www.lingerieopt.ru/images/original/391bd20e-c1af-4bf1-ac03-f34909387430.jpg","Фото")</f>
      </c>
    </row>
    <row r="9537">
      <c r="A9537" s="7">
        <f>HYPERLINK("http://www.lingerieopt.ru/item/8435-udlinennje-trusj-bokserj/","8435")</f>
      </c>
      <c r="B9537" s="8" t="s">
        <v>9094</v>
      </c>
      <c r="C9537" s="9">
        <v>637</v>
      </c>
      <c r="D9537" s="0">
        <v>3</v>
      </c>
      <c r="E9537" s="10">
        <f>HYPERLINK("http://www.lingerieopt.ru/images/original/391bd20e-c1af-4bf1-ac03-f34909387430.jpg","Фото")</f>
      </c>
    </row>
    <row r="9538">
      <c r="A9538" s="7">
        <f>HYPERLINK("http://www.lingerieopt.ru/item/8435-udlinennje-trusj-bokserj/","8435")</f>
      </c>
      <c r="B9538" s="8" t="s">
        <v>9095</v>
      </c>
      <c r="C9538" s="9">
        <v>637</v>
      </c>
      <c r="D9538" s="0">
        <v>3</v>
      </c>
      <c r="E9538" s="10">
        <f>HYPERLINK("http://www.lingerieopt.ru/images/original/391bd20e-c1af-4bf1-ac03-f34909387430.jpg","Фото")</f>
      </c>
    </row>
    <row r="9539">
      <c r="A9539" s="7">
        <f>HYPERLINK("http://www.lingerieopt.ru/item/8435-udlinennje-trusj-bokserj/","8435")</f>
      </c>
      <c r="B9539" s="8" t="s">
        <v>9096</v>
      </c>
      <c r="C9539" s="9">
        <v>637</v>
      </c>
      <c r="D9539" s="0">
        <v>1</v>
      </c>
      <c r="E9539" s="10">
        <f>HYPERLINK("http://www.lingerieopt.ru/images/original/391bd20e-c1af-4bf1-ac03-f34909387430.jpg","Фото")</f>
      </c>
    </row>
    <row r="9540">
      <c r="A9540" s="7">
        <f>HYPERLINK("http://www.lingerieopt.ru/item/8435-udlinennje-trusj-bokserj/","8435")</f>
      </c>
      <c r="B9540" s="8" t="s">
        <v>9097</v>
      </c>
      <c r="C9540" s="9">
        <v>637</v>
      </c>
      <c r="D9540" s="0">
        <v>1</v>
      </c>
      <c r="E9540" s="10">
        <f>HYPERLINK("http://www.lingerieopt.ru/images/original/391bd20e-c1af-4bf1-ac03-f34909387430.jpg","Фото")</f>
      </c>
    </row>
    <row r="9541">
      <c r="A9541" s="7">
        <f>HYPERLINK("http://www.lingerieopt.ru/item/8435-udlinennje-trusj-bokserj/","8435")</f>
      </c>
      <c r="B9541" s="8" t="s">
        <v>9098</v>
      </c>
      <c r="C9541" s="9">
        <v>637</v>
      </c>
      <c r="D9541" s="0">
        <v>1</v>
      </c>
      <c r="E9541" s="10">
        <f>HYPERLINK("http://www.lingerieopt.ru/images/original/391bd20e-c1af-4bf1-ac03-f34909387430.jpg","Фото")</f>
      </c>
    </row>
    <row r="9542">
      <c r="A9542" s="7">
        <f>HYPERLINK("http://www.lingerieopt.ru/item/8435-udlinennje-trusj-bokserj/","8435")</f>
      </c>
      <c r="B9542" s="8" t="s">
        <v>9099</v>
      </c>
      <c r="C9542" s="9">
        <v>637</v>
      </c>
      <c r="D9542" s="0">
        <v>3</v>
      </c>
      <c r="E9542" s="10">
        <f>HYPERLINK("http://www.lingerieopt.ru/images/original/391bd20e-c1af-4bf1-ac03-f34909387430.jpg","Фото")</f>
      </c>
    </row>
    <row r="9543">
      <c r="A9543" s="7">
        <f>HYPERLINK("http://www.lingerieopt.ru/item/8435-udlinennje-trusj-bokserj/","8435")</f>
      </c>
      <c r="B9543" s="8" t="s">
        <v>9100</v>
      </c>
      <c r="C9543" s="9">
        <v>637</v>
      </c>
      <c r="D9543" s="0">
        <v>3</v>
      </c>
      <c r="E9543" s="10">
        <f>HYPERLINK("http://www.lingerieopt.ru/images/original/391bd20e-c1af-4bf1-ac03-f34909387430.jpg","Фото")</f>
      </c>
    </row>
    <row r="9544">
      <c r="A9544" s="7">
        <f>HYPERLINK("http://www.lingerieopt.ru/item/8435-udlinennje-trusj-bokserj/","8435")</f>
      </c>
      <c r="B9544" s="8" t="s">
        <v>9101</v>
      </c>
      <c r="C9544" s="9">
        <v>637</v>
      </c>
      <c r="D9544" s="0">
        <v>0</v>
      </c>
      <c r="E9544" s="10">
        <f>HYPERLINK("http://www.lingerieopt.ru/images/original/391bd20e-c1af-4bf1-ac03-f34909387430.jpg","Фото")</f>
      </c>
    </row>
    <row r="9545">
      <c r="A9545" s="7">
        <f>HYPERLINK("http://www.lingerieopt.ru/item/8435-udlinennje-trusj-bokserj/","8435")</f>
      </c>
      <c r="B9545" s="8" t="s">
        <v>9102</v>
      </c>
      <c r="C9545" s="9">
        <v>637</v>
      </c>
      <c r="D9545" s="0">
        <v>3</v>
      </c>
      <c r="E9545" s="10">
        <f>HYPERLINK("http://www.lingerieopt.ru/images/original/391bd20e-c1af-4bf1-ac03-f34909387430.jpg","Фото")</f>
      </c>
    </row>
    <row r="9546">
      <c r="A9546" s="7">
        <f>HYPERLINK("http://www.lingerieopt.ru/item/8435-udlinennje-trusj-bokserj/","8435")</f>
      </c>
      <c r="B9546" s="8" t="s">
        <v>9103</v>
      </c>
      <c r="C9546" s="9">
        <v>637</v>
      </c>
      <c r="D9546" s="0">
        <v>3</v>
      </c>
      <c r="E9546" s="10">
        <f>HYPERLINK("http://www.lingerieopt.ru/images/original/391bd20e-c1af-4bf1-ac03-f34909387430.jpg","Фото")</f>
      </c>
    </row>
    <row r="9547">
      <c r="A9547" s="7">
        <f>HYPERLINK("http://www.lingerieopt.ru/item/8435-udlinennje-trusj-bokserj/","8435")</f>
      </c>
      <c r="B9547" s="8" t="s">
        <v>9104</v>
      </c>
      <c r="C9547" s="9">
        <v>637</v>
      </c>
      <c r="D9547" s="0">
        <v>1</v>
      </c>
      <c r="E9547" s="10">
        <f>HYPERLINK("http://www.lingerieopt.ru/images/original/391bd20e-c1af-4bf1-ac03-f34909387430.jpg","Фото")</f>
      </c>
    </row>
    <row r="9548">
      <c r="A9548" s="7">
        <f>HYPERLINK("http://www.lingerieopt.ru/item/8435-udlinennje-trusj-bokserj/","8435")</f>
      </c>
      <c r="B9548" s="8" t="s">
        <v>9105</v>
      </c>
      <c r="C9548" s="9">
        <v>637</v>
      </c>
      <c r="D9548" s="0">
        <v>3</v>
      </c>
      <c r="E9548" s="10">
        <f>HYPERLINK("http://www.lingerieopt.ru/images/original/391bd20e-c1af-4bf1-ac03-f34909387430.jpg","Фото")</f>
      </c>
    </row>
    <row r="9549">
      <c r="A9549" s="7">
        <f>HYPERLINK("http://www.lingerieopt.ru/item/8435-udlinennje-trusj-bokserj/","8435")</f>
      </c>
      <c r="B9549" s="8" t="s">
        <v>9106</v>
      </c>
      <c r="C9549" s="9">
        <v>637</v>
      </c>
      <c r="D9549" s="0">
        <v>3</v>
      </c>
      <c r="E9549" s="10">
        <f>HYPERLINK("http://www.lingerieopt.ru/images/original/391bd20e-c1af-4bf1-ac03-f34909387430.jpg","Фото")</f>
      </c>
    </row>
    <row r="9550">
      <c r="A9550" s="7">
        <f>HYPERLINK("http://www.lingerieopt.ru/item/8435-udlinennje-trusj-bokserj/","8435")</f>
      </c>
      <c r="B9550" s="8" t="s">
        <v>9107</v>
      </c>
      <c r="C9550" s="9">
        <v>637</v>
      </c>
      <c r="D9550" s="0">
        <v>3</v>
      </c>
      <c r="E9550" s="10">
        <f>HYPERLINK("http://www.lingerieopt.ru/images/original/391bd20e-c1af-4bf1-ac03-f34909387430.jpg","Фото")</f>
      </c>
    </row>
    <row r="9551">
      <c r="A9551" s="7">
        <f>HYPERLINK("http://www.lingerieopt.ru/item/8435-udlinennje-trusj-bokserj/","8435")</f>
      </c>
      <c r="B9551" s="8" t="s">
        <v>9108</v>
      </c>
      <c r="C9551" s="9">
        <v>637</v>
      </c>
      <c r="D9551" s="0">
        <v>3</v>
      </c>
      <c r="E9551" s="10">
        <f>HYPERLINK("http://www.lingerieopt.ru/images/original/391bd20e-c1af-4bf1-ac03-f34909387430.jpg","Фото")</f>
      </c>
    </row>
    <row r="9552">
      <c r="A9552" s="7">
        <f>HYPERLINK("http://www.lingerieopt.ru/item/8435-udlinennje-trusj-bokserj/","8435")</f>
      </c>
      <c r="B9552" s="8" t="s">
        <v>9109</v>
      </c>
      <c r="C9552" s="9">
        <v>637</v>
      </c>
      <c r="D9552" s="0">
        <v>3</v>
      </c>
      <c r="E9552" s="10">
        <f>HYPERLINK("http://www.lingerieopt.ru/images/original/391bd20e-c1af-4bf1-ac03-f34909387430.jpg","Фото")</f>
      </c>
    </row>
    <row r="9553">
      <c r="A9553" s="7">
        <f>HYPERLINK("http://www.lingerieopt.ru/item/8435-udlinennje-trusj-bokserj/","8435")</f>
      </c>
      <c r="B9553" s="8" t="s">
        <v>9110</v>
      </c>
      <c r="C9553" s="9">
        <v>637</v>
      </c>
      <c r="D9553" s="0">
        <v>3</v>
      </c>
      <c r="E9553" s="10">
        <f>HYPERLINK("http://www.lingerieopt.ru/images/original/391bd20e-c1af-4bf1-ac03-f34909387430.jpg","Фото")</f>
      </c>
    </row>
    <row r="9554">
      <c r="A9554" s="7">
        <f>HYPERLINK("http://www.lingerieopt.ru/item/8435-udlinennje-trusj-bokserj/","8435")</f>
      </c>
      <c r="B9554" s="8" t="s">
        <v>9111</v>
      </c>
      <c r="C9554" s="9">
        <v>637</v>
      </c>
      <c r="D9554" s="0">
        <v>1</v>
      </c>
      <c r="E9554" s="10">
        <f>HYPERLINK("http://www.lingerieopt.ru/images/original/391bd20e-c1af-4bf1-ac03-f34909387430.jpg","Фото")</f>
      </c>
    </row>
    <row r="9555">
      <c r="A9555" s="7">
        <f>HYPERLINK("http://www.lingerieopt.ru/item/8435-udlinennje-trusj-bokserj/","8435")</f>
      </c>
      <c r="B9555" s="8" t="s">
        <v>9112</v>
      </c>
      <c r="C9555" s="9">
        <v>637</v>
      </c>
      <c r="D9555" s="0">
        <v>3</v>
      </c>
      <c r="E9555" s="10">
        <f>HYPERLINK("http://www.lingerieopt.ru/images/original/391bd20e-c1af-4bf1-ac03-f34909387430.jpg","Фото")</f>
      </c>
    </row>
    <row r="9556">
      <c r="A9556" s="7">
        <f>HYPERLINK("http://www.lingerieopt.ru/item/8435-udlinennje-trusj-bokserj/","8435")</f>
      </c>
      <c r="B9556" s="8" t="s">
        <v>9113</v>
      </c>
      <c r="C9556" s="9">
        <v>637</v>
      </c>
      <c r="D9556" s="0">
        <v>3</v>
      </c>
      <c r="E9556" s="10">
        <f>HYPERLINK("http://www.lingerieopt.ru/images/original/391bd20e-c1af-4bf1-ac03-f34909387430.jpg","Фото")</f>
      </c>
    </row>
    <row r="9557">
      <c r="A9557" s="7">
        <f>HYPERLINK("http://www.lingerieopt.ru/item/8435-udlinennje-trusj-bokserj/","8435")</f>
      </c>
      <c r="B9557" s="8" t="s">
        <v>9114</v>
      </c>
      <c r="C9557" s="9">
        <v>637</v>
      </c>
      <c r="D9557" s="0">
        <v>3</v>
      </c>
      <c r="E9557" s="10">
        <f>HYPERLINK("http://www.lingerieopt.ru/images/original/391bd20e-c1af-4bf1-ac03-f34909387430.jpg","Фото")</f>
      </c>
    </row>
    <row r="9558">
      <c r="A9558" s="7">
        <f>HYPERLINK("http://www.lingerieopt.ru/item/8435-udlinennje-trusj-bokserj/","8435")</f>
      </c>
      <c r="B9558" s="8" t="s">
        <v>9115</v>
      </c>
      <c r="C9558" s="9">
        <v>637</v>
      </c>
      <c r="D9558" s="0">
        <v>1</v>
      </c>
      <c r="E9558" s="10">
        <f>HYPERLINK("http://www.lingerieopt.ru/images/original/391bd20e-c1af-4bf1-ac03-f34909387430.jpg","Фото")</f>
      </c>
    </row>
    <row r="9559">
      <c r="A9559" s="7">
        <f>HYPERLINK("http://www.lingerieopt.ru/item/8435-udlinennje-trusj-bokserj/","8435")</f>
      </c>
      <c r="B9559" s="8" t="s">
        <v>9116</v>
      </c>
      <c r="C9559" s="9">
        <v>637</v>
      </c>
      <c r="D9559" s="0">
        <v>3</v>
      </c>
      <c r="E9559" s="10">
        <f>HYPERLINK("http://www.lingerieopt.ru/images/original/391bd20e-c1af-4bf1-ac03-f34909387430.jpg","Фото")</f>
      </c>
    </row>
    <row r="9560">
      <c r="A9560" s="7">
        <f>HYPERLINK("http://www.lingerieopt.ru/item/8435-udlinennje-trusj-bokserj/","8435")</f>
      </c>
      <c r="B9560" s="8" t="s">
        <v>9117</v>
      </c>
      <c r="C9560" s="9">
        <v>637</v>
      </c>
      <c r="D9560" s="0">
        <v>1</v>
      </c>
      <c r="E9560" s="10">
        <f>HYPERLINK("http://www.lingerieopt.ru/images/original/391bd20e-c1af-4bf1-ac03-f34909387430.jpg","Фото")</f>
      </c>
    </row>
    <row r="9561">
      <c r="A9561" s="7">
        <f>HYPERLINK("http://www.lingerieopt.ru/item/8435-udlinennje-trusj-bokserj/","8435")</f>
      </c>
      <c r="B9561" s="8" t="s">
        <v>9118</v>
      </c>
      <c r="C9561" s="9">
        <v>637</v>
      </c>
      <c r="D9561" s="0">
        <v>3</v>
      </c>
      <c r="E9561" s="10">
        <f>HYPERLINK("http://www.lingerieopt.ru/images/original/391bd20e-c1af-4bf1-ac03-f34909387430.jpg","Фото")</f>
      </c>
    </row>
    <row r="9562">
      <c r="A9562" s="7">
        <f>HYPERLINK("http://www.lingerieopt.ru/item/8435-udlinennje-trusj-bokserj/","8435")</f>
      </c>
      <c r="B9562" s="8" t="s">
        <v>9119</v>
      </c>
      <c r="C9562" s="9">
        <v>637</v>
      </c>
      <c r="D9562" s="0">
        <v>3</v>
      </c>
      <c r="E9562" s="10">
        <f>HYPERLINK("http://www.lingerieopt.ru/images/original/391bd20e-c1af-4bf1-ac03-f34909387430.jpg","Фото")</f>
      </c>
    </row>
    <row r="9563">
      <c r="A9563" s="7">
        <f>HYPERLINK("http://www.lingerieopt.ru/item/8435-udlinennje-trusj-bokserj/","8435")</f>
      </c>
      <c r="B9563" s="8" t="s">
        <v>9120</v>
      </c>
      <c r="C9563" s="9">
        <v>637</v>
      </c>
      <c r="D9563" s="0">
        <v>1</v>
      </c>
      <c r="E9563" s="10">
        <f>HYPERLINK("http://www.lingerieopt.ru/images/original/391bd20e-c1af-4bf1-ac03-f34909387430.jpg","Фото")</f>
      </c>
    </row>
    <row r="9564">
      <c r="A9564" s="7">
        <f>HYPERLINK("http://www.lingerieopt.ru/item/8435-udlinennje-trusj-bokserj/","8435")</f>
      </c>
      <c r="B9564" s="8" t="s">
        <v>9121</v>
      </c>
      <c r="C9564" s="9">
        <v>637</v>
      </c>
      <c r="D9564" s="0">
        <v>1</v>
      </c>
      <c r="E9564" s="10">
        <f>HYPERLINK("http://www.lingerieopt.ru/images/original/391bd20e-c1af-4bf1-ac03-f34909387430.jpg","Фото")</f>
      </c>
    </row>
    <row r="9565">
      <c r="A9565" s="7">
        <f>HYPERLINK("http://www.lingerieopt.ru/item/8435-udlinennje-trusj-bokserj/","8435")</f>
      </c>
      <c r="B9565" s="8" t="s">
        <v>9122</v>
      </c>
      <c r="C9565" s="9">
        <v>637</v>
      </c>
      <c r="D9565" s="0">
        <v>1</v>
      </c>
      <c r="E9565" s="10">
        <f>HYPERLINK("http://www.lingerieopt.ru/images/original/391bd20e-c1af-4bf1-ac03-f34909387430.jpg","Фото")</f>
      </c>
    </row>
    <row r="9566">
      <c r="A9566" s="7">
        <f>HYPERLINK("http://www.lingerieopt.ru/item/8435-udlinennje-trusj-bokserj/","8435")</f>
      </c>
      <c r="B9566" s="8" t="s">
        <v>9123</v>
      </c>
      <c r="C9566" s="9">
        <v>637</v>
      </c>
      <c r="D9566" s="0">
        <v>1</v>
      </c>
      <c r="E9566" s="10">
        <f>HYPERLINK("http://www.lingerieopt.ru/images/original/391bd20e-c1af-4bf1-ac03-f34909387430.jpg","Фото")</f>
      </c>
    </row>
    <row r="9567">
      <c r="A9567" s="7">
        <f>HYPERLINK("http://www.lingerieopt.ru/item/8435-udlinennje-trusj-bokserj/","8435")</f>
      </c>
      <c r="B9567" s="8" t="s">
        <v>9124</v>
      </c>
      <c r="C9567" s="9">
        <v>637</v>
      </c>
      <c r="D9567" s="0">
        <v>1</v>
      </c>
      <c r="E9567" s="10">
        <f>HYPERLINK("http://www.lingerieopt.ru/images/original/391bd20e-c1af-4bf1-ac03-f34909387430.jpg","Фото")</f>
      </c>
    </row>
    <row r="9568">
      <c r="A9568" s="7">
        <f>HYPERLINK("http://www.lingerieopt.ru/item/8435-udlinennje-trusj-bokserj/","8435")</f>
      </c>
      <c r="B9568" s="8" t="s">
        <v>9125</v>
      </c>
      <c r="C9568" s="9">
        <v>637</v>
      </c>
      <c r="D9568" s="0">
        <v>1</v>
      </c>
      <c r="E9568" s="10">
        <f>HYPERLINK("http://www.lingerieopt.ru/images/original/391bd20e-c1af-4bf1-ac03-f34909387430.jpg","Фото")</f>
      </c>
    </row>
    <row r="9569">
      <c r="A9569" s="7">
        <f>HYPERLINK("http://www.lingerieopt.ru/item/8435-udlinennje-trusj-bokserj/","8435")</f>
      </c>
      <c r="B9569" s="8" t="s">
        <v>9126</v>
      </c>
      <c r="C9569" s="9">
        <v>637</v>
      </c>
      <c r="D9569" s="0">
        <v>1</v>
      </c>
      <c r="E9569" s="10">
        <f>HYPERLINK("http://www.lingerieopt.ru/images/original/391bd20e-c1af-4bf1-ac03-f34909387430.jpg","Фото")</f>
      </c>
    </row>
    <row r="9570">
      <c r="A9570" s="7">
        <f>HYPERLINK("http://www.lingerieopt.ru/item/8435-udlinennje-trusj-bokserj/","8435")</f>
      </c>
      <c r="B9570" s="8" t="s">
        <v>9127</v>
      </c>
      <c r="C9570" s="9">
        <v>637</v>
      </c>
      <c r="D9570" s="0">
        <v>1</v>
      </c>
      <c r="E9570" s="10">
        <f>HYPERLINK("http://www.lingerieopt.ru/images/original/391bd20e-c1af-4bf1-ac03-f34909387430.jpg","Фото")</f>
      </c>
    </row>
    <row r="9571">
      <c r="A9571" s="7">
        <f>HYPERLINK("http://www.lingerieopt.ru/item/8435-udlinennje-trusj-bokserj/","8435")</f>
      </c>
      <c r="B9571" s="8" t="s">
        <v>9128</v>
      </c>
      <c r="C9571" s="9">
        <v>637</v>
      </c>
      <c r="D9571" s="0">
        <v>1</v>
      </c>
      <c r="E9571" s="10">
        <f>HYPERLINK("http://www.lingerieopt.ru/images/original/391bd20e-c1af-4bf1-ac03-f34909387430.jpg","Фото")</f>
      </c>
    </row>
    <row r="9572">
      <c r="A9572" s="7">
        <f>HYPERLINK("http://www.lingerieopt.ru/item/8435-udlinennje-trusj-bokserj/","8435")</f>
      </c>
      <c r="B9572" s="8" t="s">
        <v>9129</v>
      </c>
      <c r="C9572" s="9">
        <v>637</v>
      </c>
      <c r="D9572" s="0">
        <v>1</v>
      </c>
      <c r="E9572" s="10">
        <f>HYPERLINK("http://www.lingerieopt.ru/images/original/391bd20e-c1af-4bf1-ac03-f34909387430.jpg","Фото")</f>
      </c>
    </row>
    <row r="9573">
      <c r="A9573" s="7">
        <f>HYPERLINK("http://www.lingerieopt.ru/item/8435-udlinennje-trusj-bokserj/","8435")</f>
      </c>
      <c r="B9573" s="8" t="s">
        <v>9130</v>
      </c>
      <c r="C9573" s="9">
        <v>637</v>
      </c>
      <c r="D9573" s="0">
        <v>1</v>
      </c>
      <c r="E9573" s="10">
        <f>HYPERLINK("http://www.lingerieopt.ru/images/original/391bd20e-c1af-4bf1-ac03-f34909387430.jpg","Фото")</f>
      </c>
    </row>
    <row r="9574">
      <c r="A9574" s="7">
        <f>HYPERLINK("http://www.lingerieopt.ru/item/8435-udlinennje-trusj-bokserj/","8435")</f>
      </c>
      <c r="B9574" s="8" t="s">
        <v>9131</v>
      </c>
      <c r="C9574" s="9">
        <v>637</v>
      </c>
      <c r="D9574" s="0">
        <v>3</v>
      </c>
      <c r="E9574" s="10">
        <f>HYPERLINK("http://www.lingerieopt.ru/images/original/391bd20e-c1af-4bf1-ac03-f34909387430.jpg","Фото")</f>
      </c>
    </row>
    <row r="9575">
      <c r="A9575" s="7">
        <f>HYPERLINK("http://www.lingerieopt.ru/item/8435-udlinennje-trusj-bokserj/","8435")</f>
      </c>
      <c r="B9575" s="8" t="s">
        <v>9132</v>
      </c>
      <c r="C9575" s="9">
        <v>637</v>
      </c>
      <c r="D9575" s="0">
        <v>3</v>
      </c>
      <c r="E9575" s="10">
        <f>HYPERLINK("http://www.lingerieopt.ru/images/original/391bd20e-c1af-4bf1-ac03-f34909387430.jpg","Фото")</f>
      </c>
    </row>
    <row r="9576">
      <c r="A9576" s="7">
        <f>HYPERLINK("http://www.lingerieopt.ru/item/8435-udlinennje-trusj-bokserj/","8435")</f>
      </c>
      <c r="B9576" s="8" t="s">
        <v>9133</v>
      </c>
      <c r="C9576" s="9">
        <v>637</v>
      </c>
      <c r="D9576" s="0">
        <v>3</v>
      </c>
      <c r="E9576" s="10">
        <f>HYPERLINK("http://www.lingerieopt.ru/images/original/391bd20e-c1af-4bf1-ac03-f34909387430.jpg","Фото")</f>
      </c>
    </row>
    <row r="9577">
      <c r="A9577" s="7">
        <f>HYPERLINK("http://www.lingerieopt.ru/item/8435-udlinennje-trusj-bokserj/","8435")</f>
      </c>
      <c r="B9577" s="8" t="s">
        <v>9134</v>
      </c>
      <c r="C9577" s="9">
        <v>637</v>
      </c>
      <c r="D9577" s="0">
        <v>3</v>
      </c>
      <c r="E9577" s="10">
        <f>HYPERLINK("http://www.lingerieopt.ru/images/original/391bd20e-c1af-4bf1-ac03-f34909387430.jpg","Фото")</f>
      </c>
    </row>
    <row r="9578">
      <c r="A9578" s="7">
        <f>HYPERLINK("http://www.lingerieopt.ru/item/8435-udlinennje-trusj-bokserj/","8435")</f>
      </c>
      <c r="B9578" s="8" t="s">
        <v>9135</v>
      </c>
      <c r="C9578" s="9">
        <v>637</v>
      </c>
      <c r="D9578" s="0">
        <v>1</v>
      </c>
      <c r="E9578" s="10">
        <f>HYPERLINK("http://www.lingerieopt.ru/images/original/391bd20e-c1af-4bf1-ac03-f34909387430.jpg","Фото")</f>
      </c>
    </row>
    <row r="9579">
      <c r="A9579" s="7">
        <f>HYPERLINK("http://www.lingerieopt.ru/item/8435-udlinennje-trusj-bokserj/","8435")</f>
      </c>
      <c r="B9579" s="8" t="s">
        <v>9136</v>
      </c>
      <c r="C9579" s="9">
        <v>637</v>
      </c>
      <c r="D9579" s="0">
        <v>1</v>
      </c>
      <c r="E9579" s="10">
        <f>HYPERLINK("http://www.lingerieopt.ru/images/original/391bd20e-c1af-4bf1-ac03-f34909387430.jpg","Фото")</f>
      </c>
    </row>
    <row r="9580">
      <c r="A9580" s="7">
        <f>HYPERLINK("http://www.lingerieopt.ru/item/8435-udlinennje-trusj-bokserj/","8435")</f>
      </c>
      <c r="B9580" s="8" t="s">
        <v>9137</v>
      </c>
      <c r="C9580" s="9">
        <v>637</v>
      </c>
      <c r="D9580" s="0">
        <v>3</v>
      </c>
      <c r="E9580" s="10">
        <f>HYPERLINK("http://www.lingerieopt.ru/images/original/391bd20e-c1af-4bf1-ac03-f34909387430.jpg","Фото")</f>
      </c>
    </row>
    <row r="9581">
      <c r="A9581" s="7">
        <f>HYPERLINK("http://www.lingerieopt.ru/item/8435-udlinennje-trusj-bokserj/","8435")</f>
      </c>
      <c r="B9581" s="8" t="s">
        <v>9138</v>
      </c>
      <c r="C9581" s="9">
        <v>637</v>
      </c>
      <c r="D9581" s="0">
        <v>3</v>
      </c>
      <c r="E9581" s="10">
        <f>HYPERLINK("http://www.lingerieopt.ru/images/original/391bd20e-c1af-4bf1-ac03-f34909387430.jpg","Фото")</f>
      </c>
    </row>
    <row r="9582">
      <c r="A9582" s="7">
        <f>HYPERLINK("http://www.lingerieopt.ru/item/8435-udlinennje-trusj-bokserj/","8435")</f>
      </c>
      <c r="B9582" s="8" t="s">
        <v>9139</v>
      </c>
      <c r="C9582" s="9">
        <v>637</v>
      </c>
      <c r="D9582" s="0">
        <v>3</v>
      </c>
      <c r="E9582" s="10">
        <f>HYPERLINK("http://www.lingerieopt.ru/images/original/391bd20e-c1af-4bf1-ac03-f34909387430.jpg","Фото")</f>
      </c>
    </row>
    <row r="9583">
      <c r="A9583" s="7">
        <f>HYPERLINK("http://www.lingerieopt.ru/item/8435-udlinennje-trusj-bokserj/","8435")</f>
      </c>
      <c r="B9583" s="8" t="s">
        <v>9140</v>
      </c>
      <c r="C9583" s="9">
        <v>637</v>
      </c>
      <c r="D9583" s="0">
        <v>3</v>
      </c>
      <c r="E9583" s="10">
        <f>HYPERLINK("http://www.lingerieopt.ru/images/original/391bd20e-c1af-4bf1-ac03-f34909387430.jpg","Фото")</f>
      </c>
    </row>
    <row r="9584">
      <c r="A9584" s="7">
        <f>HYPERLINK("http://www.lingerieopt.ru/item/8435-udlinennje-trusj-bokserj/","8435")</f>
      </c>
      <c r="B9584" s="8" t="s">
        <v>9141</v>
      </c>
      <c r="C9584" s="9">
        <v>637</v>
      </c>
      <c r="D9584" s="0">
        <v>3</v>
      </c>
      <c r="E9584" s="10">
        <f>HYPERLINK("http://www.lingerieopt.ru/images/original/391bd20e-c1af-4bf1-ac03-f34909387430.jpg","Фото")</f>
      </c>
    </row>
    <row r="9585">
      <c r="A9585" s="7">
        <f>HYPERLINK("http://www.lingerieopt.ru/item/8435-udlinennje-trusj-bokserj/","8435")</f>
      </c>
      <c r="B9585" s="8" t="s">
        <v>9142</v>
      </c>
      <c r="C9585" s="9">
        <v>637</v>
      </c>
      <c r="D9585" s="0">
        <v>3</v>
      </c>
      <c r="E9585" s="10">
        <f>HYPERLINK("http://www.lingerieopt.ru/images/original/391bd20e-c1af-4bf1-ac03-f34909387430.jpg","Фото")</f>
      </c>
    </row>
    <row r="9586">
      <c r="A9586" s="7">
        <f>HYPERLINK("http://www.lingerieopt.ru/item/8435-udlinennje-trusj-bokserj/","8435")</f>
      </c>
      <c r="B9586" s="8" t="s">
        <v>9143</v>
      </c>
      <c r="C9586" s="9">
        <v>637</v>
      </c>
      <c r="D9586" s="0">
        <v>3</v>
      </c>
      <c r="E9586" s="10">
        <f>HYPERLINK("http://www.lingerieopt.ru/images/original/391bd20e-c1af-4bf1-ac03-f34909387430.jpg","Фото")</f>
      </c>
    </row>
    <row r="9587">
      <c r="A9587" s="7">
        <f>HYPERLINK("http://www.lingerieopt.ru/item/8436-hlopkovje-trusj-bokserj/","8436")</f>
      </c>
      <c r="B9587" s="8" t="s">
        <v>9144</v>
      </c>
      <c r="C9587" s="9">
        <v>605</v>
      </c>
      <c r="D9587" s="0">
        <v>1</v>
      </c>
      <c r="E9587" s="10">
        <f>HYPERLINK("http://www.lingerieopt.ru/images/original/0bbd9836-763d-4565-a675-657fcae430c4.jpg","Фото")</f>
      </c>
    </row>
    <row r="9588">
      <c r="A9588" s="7">
        <f>HYPERLINK("http://www.lingerieopt.ru/item/8436-hlopkovje-trusj-bokserj/","8436")</f>
      </c>
      <c r="B9588" s="8" t="s">
        <v>9145</v>
      </c>
      <c r="C9588" s="9">
        <v>605</v>
      </c>
      <c r="D9588" s="0">
        <v>1</v>
      </c>
      <c r="E9588" s="10">
        <f>HYPERLINK("http://www.lingerieopt.ru/images/original/0bbd9836-763d-4565-a675-657fcae430c4.jpg","Фото")</f>
      </c>
    </row>
    <row r="9589">
      <c r="A9589" s="7">
        <f>HYPERLINK("http://www.lingerieopt.ru/item/8436-hlopkovje-trusj-bokserj/","8436")</f>
      </c>
      <c r="B9589" s="8" t="s">
        <v>9146</v>
      </c>
      <c r="C9589" s="9">
        <v>605</v>
      </c>
      <c r="D9589" s="0">
        <v>3</v>
      </c>
      <c r="E9589" s="10">
        <f>HYPERLINK("http://www.lingerieopt.ru/images/original/0bbd9836-763d-4565-a675-657fcae430c4.jpg","Фото")</f>
      </c>
    </row>
    <row r="9590">
      <c r="A9590" s="7">
        <f>HYPERLINK("http://www.lingerieopt.ru/item/8436-hlopkovje-trusj-bokserj/","8436")</f>
      </c>
      <c r="B9590" s="8" t="s">
        <v>9147</v>
      </c>
      <c r="C9590" s="9">
        <v>605</v>
      </c>
      <c r="D9590" s="0">
        <v>3</v>
      </c>
      <c r="E9590" s="10">
        <f>HYPERLINK("http://www.lingerieopt.ru/images/original/0bbd9836-763d-4565-a675-657fcae430c4.jpg","Фото")</f>
      </c>
    </row>
    <row r="9591">
      <c r="A9591" s="7">
        <f>HYPERLINK("http://www.lingerieopt.ru/item/8436-hlopkovje-trusj-bokserj/","8436")</f>
      </c>
      <c r="B9591" s="8" t="s">
        <v>9148</v>
      </c>
      <c r="C9591" s="9">
        <v>605</v>
      </c>
      <c r="D9591" s="0">
        <v>3</v>
      </c>
      <c r="E9591" s="10">
        <f>HYPERLINK("http://www.lingerieopt.ru/images/original/0bbd9836-763d-4565-a675-657fcae430c4.jpg","Фото")</f>
      </c>
    </row>
    <row r="9592">
      <c r="A9592" s="7">
        <f>HYPERLINK("http://www.lingerieopt.ru/item/8436-hlopkovje-trusj-bokserj/","8436")</f>
      </c>
      <c r="B9592" s="8" t="s">
        <v>9149</v>
      </c>
      <c r="C9592" s="9">
        <v>605</v>
      </c>
      <c r="D9592" s="0">
        <v>3</v>
      </c>
      <c r="E9592" s="10">
        <f>HYPERLINK("http://www.lingerieopt.ru/images/original/0bbd9836-763d-4565-a675-657fcae430c4.jpg","Фото")</f>
      </c>
    </row>
    <row r="9593">
      <c r="A9593" s="7">
        <f>HYPERLINK("http://www.lingerieopt.ru/item/8436-hlopkovje-trusj-bokserj/","8436")</f>
      </c>
      <c r="B9593" s="8" t="s">
        <v>9150</v>
      </c>
      <c r="C9593" s="9">
        <v>605</v>
      </c>
      <c r="D9593" s="0">
        <v>1</v>
      </c>
      <c r="E9593" s="10">
        <f>HYPERLINK("http://www.lingerieopt.ru/images/original/0bbd9836-763d-4565-a675-657fcae430c4.jpg","Фото")</f>
      </c>
    </row>
    <row r="9594">
      <c r="A9594" s="7">
        <f>HYPERLINK("http://www.lingerieopt.ru/item/8436-hlopkovje-trusj-bokserj/","8436")</f>
      </c>
      <c r="B9594" s="8" t="s">
        <v>9151</v>
      </c>
      <c r="C9594" s="9">
        <v>605</v>
      </c>
      <c r="D9594" s="0">
        <v>3</v>
      </c>
      <c r="E9594" s="10">
        <f>HYPERLINK("http://www.lingerieopt.ru/images/original/0bbd9836-763d-4565-a675-657fcae430c4.jpg","Фото")</f>
      </c>
    </row>
    <row r="9595">
      <c r="A9595" s="7">
        <f>HYPERLINK("http://www.lingerieopt.ru/item/8436-hlopkovje-trusj-bokserj/","8436")</f>
      </c>
      <c r="B9595" s="8" t="s">
        <v>9152</v>
      </c>
      <c r="C9595" s="9">
        <v>605</v>
      </c>
      <c r="D9595" s="0">
        <v>3</v>
      </c>
      <c r="E9595" s="10">
        <f>HYPERLINK("http://www.lingerieopt.ru/images/original/0bbd9836-763d-4565-a675-657fcae430c4.jpg","Фото")</f>
      </c>
    </row>
    <row r="9596">
      <c r="A9596" s="7">
        <f>HYPERLINK("http://www.lingerieopt.ru/item/8436-hlopkovje-trusj-bokserj/","8436")</f>
      </c>
      <c r="B9596" s="8" t="s">
        <v>9153</v>
      </c>
      <c r="C9596" s="9">
        <v>605</v>
      </c>
      <c r="D9596" s="0">
        <v>3</v>
      </c>
      <c r="E9596" s="10">
        <f>HYPERLINK("http://www.lingerieopt.ru/images/original/0bbd9836-763d-4565-a675-657fcae430c4.jpg","Фото")</f>
      </c>
    </row>
    <row r="9597">
      <c r="A9597" s="7">
        <f>HYPERLINK("http://www.lingerieopt.ru/item/8436-hlopkovje-trusj-bokserj/","8436")</f>
      </c>
      <c r="B9597" s="8" t="s">
        <v>9154</v>
      </c>
      <c r="C9597" s="9">
        <v>605</v>
      </c>
      <c r="D9597" s="0">
        <v>6</v>
      </c>
      <c r="E9597" s="10">
        <f>HYPERLINK("http://www.lingerieopt.ru/images/original/0bbd9836-763d-4565-a675-657fcae430c4.jpg","Фото")</f>
      </c>
    </row>
    <row r="9598">
      <c r="A9598" s="7">
        <f>HYPERLINK("http://www.lingerieopt.ru/item/8436-hlopkovje-trusj-bokserj/","8436")</f>
      </c>
      <c r="B9598" s="8" t="s">
        <v>9155</v>
      </c>
      <c r="C9598" s="9">
        <v>605</v>
      </c>
      <c r="D9598" s="0">
        <v>1</v>
      </c>
      <c r="E9598" s="10">
        <f>HYPERLINK("http://www.lingerieopt.ru/images/original/0bbd9836-763d-4565-a675-657fcae430c4.jpg","Фото")</f>
      </c>
    </row>
    <row r="9599">
      <c r="A9599" s="7">
        <f>HYPERLINK("http://www.lingerieopt.ru/item/8436-hlopkovje-trusj-bokserj/","8436")</f>
      </c>
      <c r="B9599" s="8" t="s">
        <v>9156</v>
      </c>
      <c r="C9599" s="9">
        <v>605</v>
      </c>
      <c r="D9599" s="0">
        <v>1</v>
      </c>
      <c r="E9599" s="10">
        <f>HYPERLINK("http://www.lingerieopt.ru/images/original/0bbd9836-763d-4565-a675-657fcae430c4.jpg","Фото")</f>
      </c>
    </row>
    <row r="9600">
      <c r="A9600" s="7">
        <f>HYPERLINK("http://www.lingerieopt.ru/item/8436-hlopkovje-trusj-bokserj/","8436")</f>
      </c>
      <c r="B9600" s="8" t="s">
        <v>9157</v>
      </c>
      <c r="C9600" s="9">
        <v>605</v>
      </c>
      <c r="D9600" s="0">
        <v>1</v>
      </c>
      <c r="E9600" s="10">
        <f>HYPERLINK("http://www.lingerieopt.ru/images/original/0bbd9836-763d-4565-a675-657fcae430c4.jpg","Фото")</f>
      </c>
    </row>
    <row r="9601">
      <c r="A9601" s="7">
        <f>HYPERLINK("http://www.lingerieopt.ru/item/8436-hlopkovje-trusj-bokserj/","8436")</f>
      </c>
      <c r="B9601" s="8" t="s">
        <v>9158</v>
      </c>
      <c r="C9601" s="9">
        <v>605</v>
      </c>
      <c r="D9601" s="0">
        <v>1</v>
      </c>
      <c r="E9601" s="10">
        <f>HYPERLINK("http://www.lingerieopt.ru/images/original/0bbd9836-763d-4565-a675-657fcae430c4.jpg","Фото")</f>
      </c>
    </row>
    <row r="9602">
      <c r="A9602" s="7">
        <f>HYPERLINK("http://www.lingerieopt.ru/item/8436-hlopkovje-trusj-bokserj/","8436")</f>
      </c>
      <c r="B9602" s="8" t="s">
        <v>9159</v>
      </c>
      <c r="C9602" s="9">
        <v>605</v>
      </c>
      <c r="D9602" s="0">
        <v>1</v>
      </c>
      <c r="E9602" s="10">
        <f>HYPERLINK("http://www.lingerieopt.ru/images/original/0bbd9836-763d-4565-a675-657fcae430c4.jpg","Фото")</f>
      </c>
    </row>
    <row r="9603">
      <c r="A9603" s="7">
        <f>HYPERLINK("http://www.lingerieopt.ru/item/8436-hlopkovje-trusj-bokserj/","8436")</f>
      </c>
      <c r="B9603" s="8" t="s">
        <v>9160</v>
      </c>
      <c r="C9603" s="9">
        <v>605</v>
      </c>
      <c r="D9603" s="0">
        <v>1</v>
      </c>
      <c r="E9603" s="10">
        <f>HYPERLINK("http://www.lingerieopt.ru/images/original/0bbd9836-763d-4565-a675-657fcae430c4.jpg","Фото")</f>
      </c>
    </row>
    <row r="9604">
      <c r="A9604" s="7">
        <f>HYPERLINK("http://www.lingerieopt.ru/item/8436-hlopkovje-trusj-bokserj/","8436")</f>
      </c>
      <c r="B9604" s="8" t="s">
        <v>9161</v>
      </c>
      <c r="C9604" s="9">
        <v>605</v>
      </c>
      <c r="D9604" s="0">
        <v>1</v>
      </c>
      <c r="E9604" s="10">
        <f>HYPERLINK("http://www.lingerieopt.ru/images/original/0bbd9836-763d-4565-a675-657fcae430c4.jpg","Фото")</f>
      </c>
    </row>
    <row r="9605">
      <c r="A9605" s="7">
        <f>HYPERLINK("http://www.lingerieopt.ru/item/8436-hlopkovje-trusj-bokserj/","8436")</f>
      </c>
      <c r="B9605" s="8" t="s">
        <v>9162</v>
      </c>
      <c r="C9605" s="9">
        <v>605</v>
      </c>
      <c r="D9605" s="0">
        <v>1</v>
      </c>
      <c r="E9605" s="10">
        <f>HYPERLINK("http://www.lingerieopt.ru/images/original/0bbd9836-763d-4565-a675-657fcae430c4.jpg","Фото")</f>
      </c>
    </row>
    <row r="9606">
      <c r="A9606" s="7">
        <f>HYPERLINK("http://www.lingerieopt.ru/item/8436-hlopkovje-trusj-bokserj/","8436")</f>
      </c>
      <c r="B9606" s="8" t="s">
        <v>9163</v>
      </c>
      <c r="C9606" s="9">
        <v>605</v>
      </c>
      <c r="D9606" s="0">
        <v>1</v>
      </c>
      <c r="E9606" s="10">
        <f>HYPERLINK("http://www.lingerieopt.ru/images/original/0bbd9836-763d-4565-a675-657fcae430c4.jpg","Фото")</f>
      </c>
    </row>
    <row r="9607">
      <c r="A9607" s="7">
        <f>HYPERLINK("http://www.lingerieopt.ru/item/8436-hlopkovje-trusj-bokserj/","8436")</f>
      </c>
      <c r="B9607" s="8" t="s">
        <v>9164</v>
      </c>
      <c r="C9607" s="9">
        <v>605</v>
      </c>
      <c r="D9607" s="0">
        <v>1</v>
      </c>
      <c r="E9607" s="10">
        <f>HYPERLINK("http://www.lingerieopt.ru/images/original/0bbd9836-763d-4565-a675-657fcae430c4.jpg","Фото")</f>
      </c>
    </row>
    <row r="9608">
      <c r="A9608" s="7">
        <f>HYPERLINK("http://www.lingerieopt.ru/item/8436-hlopkovje-trusj-bokserj/","8436")</f>
      </c>
      <c r="B9608" s="8" t="s">
        <v>9165</v>
      </c>
      <c r="C9608" s="9">
        <v>605</v>
      </c>
      <c r="D9608" s="0">
        <v>1</v>
      </c>
      <c r="E9608" s="10">
        <f>HYPERLINK("http://www.lingerieopt.ru/images/original/0bbd9836-763d-4565-a675-657fcae430c4.jpg","Фото")</f>
      </c>
    </row>
    <row r="9609">
      <c r="A9609" s="7">
        <f>HYPERLINK("http://www.lingerieopt.ru/item/8436-hlopkovje-trusj-bokserj/","8436")</f>
      </c>
      <c r="B9609" s="8" t="s">
        <v>9166</v>
      </c>
      <c r="C9609" s="9">
        <v>605</v>
      </c>
      <c r="D9609" s="0">
        <v>3</v>
      </c>
      <c r="E9609" s="10">
        <f>HYPERLINK("http://www.lingerieopt.ru/images/original/0bbd9836-763d-4565-a675-657fcae430c4.jpg","Фото")</f>
      </c>
    </row>
    <row r="9610">
      <c r="A9610" s="7">
        <f>HYPERLINK("http://www.lingerieopt.ru/item/8436-hlopkovje-trusj-bokserj/","8436")</f>
      </c>
      <c r="B9610" s="8" t="s">
        <v>9167</v>
      </c>
      <c r="C9610" s="9">
        <v>605</v>
      </c>
      <c r="D9610" s="0">
        <v>3</v>
      </c>
      <c r="E9610" s="10">
        <f>HYPERLINK("http://www.lingerieopt.ru/images/original/0bbd9836-763d-4565-a675-657fcae430c4.jpg","Фото")</f>
      </c>
    </row>
    <row r="9611">
      <c r="A9611" s="7">
        <f>HYPERLINK("http://www.lingerieopt.ru/item/8436-hlopkovje-trusj-bokserj/","8436")</f>
      </c>
      <c r="B9611" s="8" t="s">
        <v>9168</v>
      </c>
      <c r="C9611" s="9">
        <v>605</v>
      </c>
      <c r="D9611" s="0">
        <v>3</v>
      </c>
      <c r="E9611" s="10">
        <f>HYPERLINK("http://www.lingerieopt.ru/images/original/0bbd9836-763d-4565-a675-657fcae430c4.jpg","Фото")</f>
      </c>
    </row>
    <row r="9612">
      <c r="A9612" s="7">
        <f>HYPERLINK("http://www.lingerieopt.ru/item/8436-hlopkovje-trusj-bokserj/","8436")</f>
      </c>
      <c r="B9612" s="8" t="s">
        <v>9169</v>
      </c>
      <c r="C9612" s="9">
        <v>605</v>
      </c>
      <c r="D9612" s="0">
        <v>1</v>
      </c>
      <c r="E9612" s="10">
        <f>HYPERLINK("http://www.lingerieopt.ru/images/original/0bbd9836-763d-4565-a675-657fcae430c4.jpg","Фото")</f>
      </c>
    </row>
    <row r="9613">
      <c r="A9613" s="7">
        <f>HYPERLINK("http://www.lingerieopt.ru/item/8436-hlopkovje-trusj-bokserj/","8436")</f>
      </c>
      <c r="B9613" s="8" t="s">
        <v>9170</v>
      </c>
      <c r="C9613" s="9">
        <v>605</v>
      </c>
      <c r="D9613" s="0">
        <v>1</v>
      </c>
      <c r="E9613" s="10">
        <f>HYPERLINK("http://www.lingerieopt.ru/images/original/0bbd9836-763d-4565-a675-657fcae430c4.jpg","Фото")</f>
      </c>
    </row>
    <row r="9614">
      <c r="A9614" s="7">
        <f>HYPERLINK("http://www.lingerieopt.ru/item/8436-hlopkovje-trusj-bokserj/","8436")</f>
      </c>
      <c r="B9614" s="8" t="s">
        <v>9171</v>
      </c>
      <c r="C9614" s="9">
        <v>605</v>
      </c>
      <c r="D9614" s="0">
        <v>3</v>
      </c>
      <c r="E9614" s="10">
        <f>HYPERLINK("http://www.lingerieopt.ru/images/original/0bbd9836-763d-4565-a675-657fcae430c4.jpg","Фото")</f>
      </c>
    </row>
    <row r="9615">
      <c r="A9615" s="7">
        <f>HYPERLINK("http://www.lingerieopt.ru/item/8436-hlopkovje-trusj-bokserj/","8436")</f>
      </c>
      <c r="B9615" s="8" t="s">
        <v>9172</v>
      </c>
      <c r="C9615" s="9">
        <v>605</v>
      </c>
      <c r="D9615" s="0">
        <v>3</v>
      </c>
      <c r="E9615" s="10">
        <f>HYPERLINK("http://www.lingerieopt.ru/images/original/0bbd9836-763d-4565-a675-657fcae430c4.jpg","Фото")</f>
      </c>
    </row>
    <row r="9616">
      <c r="A9616" s="7">
        <f>HYPERLINK("http://www.lingerieopt.ru/item/8436-hlopkovje-trusj-bokserj/","8436")</f>
      </c>
      <c r="B9616" s="8" t="s">
        <v>9173</v>
      </c>
      <c r="C9616" s="9">
        <v>605</v>
      </c>
      <c r="D9616" s="0">
        <v>1</v>
      </c>
      <c r="E9616" s="10">
        <f>HYPERLINK("http://www.lingerieopt.ru/images/original/0bbd9836-763d-4565-a675-657fcae430c4.jpg","Фото")</f>
      </c>
    </row>
    <row r="9617">
      <c r="A9617" s="7">
        <f>HYPERLINK("http://www.lingerieopt.ru/item/8436-hlopkovje-trusj-bokserj/","8436")</f>
      </c>
      <c r="B9617" s="8" t="s">
        <v>9174</v>
      </c>
      <c r="C9617" s="9">
        <v>605</v>
      </c>
      <c r="D9617" s="0">
        <v>3</v>
      </c>
      <c r="E9617" s="10">
        <f>HYPERLINK("http://www.lingerieopt.ru/images/original/0bbd9836-763d-4565-a675-657fcae430c4.jpg","Фото")</f>
      </c>
    </row>
    <row r="9618">
      <c r="A9618" s="7">
        <f>HYPERLINK("http://www.lingerieopt.ru/item/8436-hlopkovje-trusj-bokserj/","8436")</f>
      </c>
      <c r="B9618" s="8" t="s">
        <v>9175</v>
      </c>
      <c r="C9618" s="9">
        <v>605</v>
      </c>
      <c r="D9618" s="0">
        <v>3</v>
      </c>
      <c r="E9618" s="10">
        <f>HYPERLINK("http://www.lingerieopt.ru/images/original/0bbd9836-763d-4565-a675-657fcae430c4.jpg","Фото")</f>
      </c>
    </row>
    <row r="9619">
      <c r="A9619" s="7">
        <f>HYPERLINK("http://www.lingerieopt.ru/item/8436-hlopkovje-trusj-bokserj/","8436")</f>
      </c>
      <c r="B9619" s="8" t="s">
        <v>9176</v>
      </c>
      <c r="C9619" s="9">
        <v>605</v>
      </c>
      <c r="D9619" s="0">
        <v>3</v>
      </c>
      <c r="E9619" s="10">
        <f>HYPERLINK("http://www.lingerieopt.ru/images/original/0bbd9836-763d-4565-a675-657fcae430c4.jpg","Фото")</f>
      </c>
    </row>
    <row r="9620">
      <c r="A9620" s="7">
        <f>HYPERLINK("http://www.lingerieopt.ru/item/8436-hlopkovje-trusj-bokserj/","8436")</f>
      </c>
      <c r="B9620" s="8" t="s">
        <v>9177</v>
      </c>
      <c r="C9620" s="9">
        <v>605</v>
      </c>
      <c r="D9620" s="0">
        <v>3</v>
      </c>
      <c r="E9620" s="10">
        <f>HYPERLINK("http://www.lingerieopt.ru/images/original/0bbd9836-763d-4565-a675-657fcae430c4.jpg","Фото")</f>
      </c>
    </row>
    <row r="9621">
      <c r="A9621" s="7">
        <f>HYPERLINK("http://www.lingerieopt.ru/item/8436-hlopkovje-trusj-bokserj/","8436")</f>
      </c>
      <c r="B9621" s="8" t="s">
        <v>9178</v>
      </c>
      <c r="C9621" s="9">
        <v>605</v>
      </c>
      <c r="D9621" s="0">
        <v>0</v>
      </c>
      <c r="E9621" s="10">
        <f>HYPERLINK("http://www.lingerieopt.ru/images/original/0bbd9836-763d-4565-a675-657fcae430c4.jpg","Фото")</f>
      </c>
    </row>
    <row r="9622">
      <c r="A9622" s="7">
        <f>HYPERLINK("http://www.lingerieopt.ru/item/8436-hlopkovje-trusj-bokserj/","8436")</f>
      </c>
      <c r="B9622" s="8" t="s">
        <v>9179</v>
      </c>
      <c r="C9622" s="9">
        <v>605</v>
      </c>
      <c r="D9622" s="0">
        <v>1</v>
      </c>
      <c r="E9622" s="10">
        <f>HYPERLINK("http://www.lingerieopt.ru/images/original/0bbd9836-763d-4565-a675-657fcae430c4.jpg","Фото")</f>
      </c>
    </row>
    <row r="9623">
      <c r="A9623" s="7">
        <f>HYPERLINK("http://www.lingerieopt.ru/item/8436-hlopkovje-trusj-bokserj/","8436")</f>
      </c>
      <c r="B9623" s="8" t="s">
        <v>9180</v>
      </c>
      <c r="C9623" s="9">
        <v>605</v>
      </c>
      <c r="D9623" s="0">
        <v>1</v>
      </c>
      <c r="E9623" s="10">
        <f>HYPERLINK("http://www.lingerieopt.ru/images/original/0bbd9836-763d-4565-a675-657fcae430c4.jpg","Фото")</f>
      </c>
    </row>
    <row r="9624">
      <c r="A9624" s="7">
        <f>HYPERLINK("http://www.lingerieopt.ru/item/8436-hlopkovje-trusj-bokserj/","8436")</f>
      </c>
      <c r="B9624" s="8" t="s">
        <v>9181</v>
      </c>
      <c r="C9624" s="9">
        <v>605</v>
      </c>
      <c r="D9624" s="0">
        <v>6</v>
      </c>
      <c r="E9624" s="10">
        <f>HYPERLINK("http://www.lingerieopt.ru/images/original/0bbd9836-763d-4565-a675-657fcae430c4.jpg","Фото")</f>
      </c>
    </row>
    <row r="9625">
      <c r="A9625" s="7">
        <f>HYPERLINK("http://www.lingerieopt.ru/item/8436-hlopkovje-trusj-bokserj/","8436")</f>
      </c>
      <c r="B9625" s="8" t="s">
        <v>9182</v>
      </c>
      <c r="C9625" s="9">
        <v>605</v>
      </c>
      <c r="D9625" s="0">
        <v>3</v>
      </c>
      <c r="E9625" s="10">
        <f>HYPERLINK("http://www.lingerieopt.ru/images/original/0bbd9836-763d-4565-a675-657fcae430c4.jpg","Фото")</f>
      </c>
    </row>
    <row r="9626">
      <c r="A9626" s="7">
        <f>HYPERLINK("http://www.lingerieopt.ru/item/8436-hlopkovje-trusj-bokserj/","8436")</f>
      </c>
      <c r="B9626" s="8" t="s">
        <v>9183</v>
      </c>
      <c r="C9626" s="9">
        <v>605</v>
      </c>
      <c r="D9626" s="0">
        <v>3</v>
      </c>
      <c r="E9626" s="10">
        <f>HYPERLINK("http://www.lingerieopt.ru/images/original/0bbd9836-763d-4565-a675-657fcae430c4.jpg","Фото")</f>
      </c>
    </row>
    <row r="9627">
      <c r="A9627" s="7">
        <f>HYPERLINK("http://www.lingerieopt.ru/item/8436-hlopkovje-trusj-bokserj/","8436")</f>
      </c>
      <c r="B9627" s="8" t="s">
        <v>9184</v>
      </c>
      <c r="C9627" s="9">
        <v>605</v>
      </c>
      <c r="D9627" s="0">
        <v>1</v>
      </c>
      <c r="E9627" s="10">
        <f>HYPERLINK("http://www.lingerieopt.ru/images/original/0bbd9836-763d-4565-a675-657fcae430c4.jpg","Фото")</f>
      </c>
    </row>
    <row r="9628">
      <c r="A9628" s="7">
        <f>HYPERLINK("http://www.lingerieopt.ru/item/8436-hlopkovje-trusj-bokserj/","8436")</f>
      </c>
      <c r="B9628" s="8" t="s">
        <v>9185</v>
      </c>
      <c r="C9628" s="9">
        <v>605</v>
      </c>
      <c r="D9628" s="0">
        <v>3</v>
      </c>
      <c r="E9628" s="10">
        <f>HYPERLINK("http://www.lingerieopt.ru/images/original/0bbd9836-763d-4565-a675-657fcae430c4.jpg","Фото")</f>
      </c>
    </row>
    <row r="9629">
      <c r="A9629" s="7">
        <f>HYPERLINK("http://www.lingerieopt.ru/item/8436-hlopkovje-trusj-bokserj/","8436")</f>
      </c>
      <c r="B9629" s="8" t="s">
        <v>9186</v>
      </c>
      <c r="C9629" s="9">
        <v>605</v>
      </c>
      <c r="D9629" s="0">
        <v>3</v>
      </c>
      <c r="E9629" s="10">
        <f>HYPERLINK("http://www.lingerieopt.ru/images/original/0bbd9836-763d-4565-a675-657fcae430c4.jpg","Фото")</f>
      </c>
    </row>
    <row r="9630">
      <c r="A9630" s="7">
        <f>HYPERLINK("http://www.lingerieopt.ru/item/8436-hlopkovje-trusj-bokserj/","8436")</f>
      </c>
      <c r="B9630" s="8" t="s">
        <v>9187</v>
      </c>
      <c r="C9630" s="9">
        <v>605</v>
      </c>
      <c r="D9630" s="0">
        <v>1</v>
      </c>
      <c r="E9630" s="10">
        <f>HYPERLINK("http://www.lingerieopt.ru/images/original/0bbd9836-763d-4565-a675-657fcae430c4.jpg","Фото")</f>
      </c>
    </row>
    <row r="9631">
      <c r="A9631" s="7">
        <f>HYPERLINK("http://www.lingerieopt.ru/item/8436-hlopkovje-trusj-bokserj/","8436")</f>
      </c>
      <c r="B9631" s="8" t="s">
        <v>9188</v>
      </c>
      <c r="C9631" s="9">
        <v>605</v>
      </c>
      <c r="D9631" s="0">
        <v>3</v>
      </c>
      <c r="E9631" s="10">
        <f>HYPERLINK("http://www.lingerieopt.ru/images/original/0bbd9836-763d-4565-a675-657fcae430c4.jpg","Фото")</f>
      </c>
    </row>
    <row r="9632">
      <c r="A9632" s="7">
        <f>HYPERLINK("http://www.lingerieopt.ru/item/8436-hlopkovje-trusj-bokserj/","8436")</f>
      </c>
      <c r="B9632" s="8" t="s">
        <v>9189</v>
      </c>
      <c r="C9632" s="9">
        <v>605</v>
      </c>
      <c r="D9632" s="0">
        <v>3</v>
      </c>
      <c r="E9632" s="10">
        <f>HYPERLINK("http://www.lingerieopt.ru/images/original/0bbd9836-763d-4565-a675-657fcae430c4.jpg","Фото")</f>
      </c>
    </row>
    <row r="9633">
      <c r="A9633" s="7">
        <f>HYPERLINK("http://www.lingerieopt.ru/item/8436-hlopkovje-trusj-bokserj/","8436")</f>
      </c>
      <c r="B9633" s="8" t="s">
        <v>9190</v>
      </c>
      <c r="C9633" s="9">
        <v>605</v>
      </c>
      <c r="D9633" s="0">
        <v>3</v>
      </c>
      <c r="E9633" s="10">
        <f>HYPERLINK("http://www.lingerieopt.ru/images/original/0bbd9836-763d-4565-a675-657fcae430c4.jpg","Фото")</f>
      </c>
    </row>
    <row r="9634">
      <c r="A9634" s="7">
        <f>HYPERLINK("http://www.lingerieopt.ru/item/8436-hlopkovje-trusj-bokserj/","8436")</f>
      </c>
      <c r="B9634" s="8" t="s">
        <v>9191</v>
      </c>
      <c r="C9634" s="9">
        <v>605</v>
      </c>
      <c r="D9634" s="0">
        <v>3</v>
      </c>
      <c r="E9634" s="10">
        <f>HYPERLINK("http://www.lingerieopt.ru/images/original/0bbd9836-763d-4565-a675-657fcae430c4.jpg","Фото")</f>
      </c>
    </row>
    <row r="9635">
      <c r="A9635" s="7">
        <f>HYPERLINK("http://www.lingerieopt.ru/item/8436-hlopkovje-trusj-bokserj/","8436")</f>
      </c>
      <c r="B9635" s="8" t="s">
        <v>9192</v>
      </c>
      <c r="C9635" s="9">
        <v>605</v>
      </c>
      <c r="D9635" s="0">
        <v>3</v>
      </c>
      <c r="E9635" s="10">
        <f>HYPERLINK("http://www.lingerieopt.ru/images/original/0bbd9836-763d-4565-a675-657fcae430c4.jpg","Фото")</f>
      </c>
    </row>
    <row r="9636">
      <c r="A9636" s="7">
        <f>HYPERLINK("http://www.lingerieopt.ru/item/8436-hlopkovje-trusj-bokserj/","8436")</f>
      </c>
      <c r="B9636" s="8" t="s">
        <v>9193</v>
      </c>
      <c r="C9636" s="9">
        <v>605</v>
      </c>
      <c r="D9636" s="0">
        <v>3</v>
      </c>
      <c r="E9636" s="10">
        <f>HYPERLINK("http://www.lingerieopt.ru/images/original/0bbd9836-763d-4565-a675-657fcae430c4.jpg","Фото")</f>
      </c>
    </row>
    <row r="9637">
      <c r="A9637" s="7">
        <f>HYPERLINK("http://www.lingerieopt.ru/item/8436-hlopkovje-trusj-bokserj/","8436")</f>
      </c>
      <c r="B9637" s="8" t="s">
        <v>9194</v>
      </c>
      <c r="C9637" s="9">
        <v>605</v>
      </c>
      <c r="D9637" s="0">
        <v>1</v>
      </c>
      <c r="E9637" s="10">
        <f>HYPERLINK("http://www.lingerieopt.ru/images/original/0bbd9836-763d-4565-a675-657fcae430c4.jpg","Фото")</f>
      </c>
    </row>
    <row r="9638">
      <c r="A9638" s="7">
        <f>HYPERLINK("http://www.lingerieopt.ru/item/8436-hlopkovje-trusj-bokserj/","8436")</f>
      </c>
      <c r="B9638" s="8" t="s">
        <v>9195</v>
      </c>
      <c r="C9638" s="9">
        <v>605</v>
      </c>
      <c r="D9638" s="0">
        <v>3</v>
      </c>
      <c r="E9638" s="10">
        <f>HYPERLINK("http://www.lingerieopt.ru/images/original/0bbd9836-763d-4565-a675-657fcae430c4.jpg","Фото")</f>
      </c>
    </row>
    <row r="9639">
      <c r="A9639" s="7">
        <f>HYPERLINK("http://www.lingerieopt.ru/item/8436-hlopkovje-trusj-bokserj/","8436")</f>
      </c>
      <c r="B9639" s="8" t="s">
        <v>9196</v>
      </c>
      <c r="C9639" s="9">
        <v>605</v>
      </c>
      <c r="D9639" s="0">
        <v>6</v>
      </c>
      <c r="E9639" s="10">
        <f>HYPERLINK("http://www.lingerieopt.ru/images/original/0bbd9836-763d-4565-a675-657fcae430c4.jpg","Фото")</f>
      </c>
    </row>
    <row r="9640">
      <c r="A9640" s="7">
        <f>HYPERLINK("http://www.lingerieopt.ru/item/8436-hlopkovje-trusj-bokserj/","8436")</f>
      </c>
      <c r="B9640" s="8" t="s">
        <v>9197</v>
      </c>
      <c r="C9640" s="9">
        <v>605</v>
      </c>
      <c r="D9640" s="0">
        <v>3</v>
      </c>
      <c r="E9640" s="10">
        <f>HYPERLINK("http://www.lingerieopt.ru/images/original/0bbd9836-763d-4565-a675-657fcae430c4.jpg","Фото")</f>
      </c>
    </row>
    <row r="9641">
      <c r="A9641" s="7">
        <f>HYPERLINK("http://www.lingerieopt.ru/item/8436-hlopkovje-trusj-bokserj/","8436")</f>
      </c>
      <c r="B9641" s="8" t="s">
        <v>9198</v>
      </c>
      <c r="C9641" s="9">
        <v>605</v>
      </c>
      <c r="D9641" s="0">
        <v>3</v>
      </c>
      <c r="E9641" s="10">
        <f>HYPERLINK("http://www.lingerieopt.ru/images/original/0bbd9836-763d-4565-a675-657fcae430c4.jpg","Фото")</f>
      </c>
    </row>
    <row r="9642">
      <c r="A9642" s="7">
        <f>HYPERLINK("http://www.lingerieopt.ru/item/8436-hlopkovje-trusj-bokserj/","8436")</f>
      </c>
      <c r="B9642" s="8" t="s">
        <v>9199</v>
      </c>
      <c r="C9642" s="9">
        <v>605</v>
      </c>
      <c r="D9642" s="0">
        <v>3</v>
      </c>
      <c r="E9642" s="10">
        <f>HYPERLINK("http://www.lingerieopt.ru/images/original/0bbd9836-763d-4565-a675-657fcae430c4.jpg","Фото")</f>
      </c>
    </row>
    <row r="9643">
      <c r="A9643" s="7">
        <f>HYPERLINK("http://www.lingerieopt.ru/item/8436-hlopkovje-trusj-bokserj/","8436")</f>
      </c>
      <c r="B9643" s="8" t="s">
        <v>9200</v>
      </c>
      <c r="C9643" s="9">
        <v>605</v>
      </c>
      <c r="D9643" s="0">
        <v>1</v>
      </c>
      <c r="E9643" s="10">
        <f>HYPERLINK("http://www.lingerieopt.ru/images/original/0bbd9836-763d-4565-a675-657fcae430c4.jpg","Фото")</f>
      </c>
    </row>
    <row r="9644">
      <c r="A9644" s="7">
        <f>HYPERLINK("http://www.lingerieopt.ru/item/8436-hlopkovje-trusj-bokserj/","8436")</f>
      </c>
      <c r="B9644" s="8" t="s">
        <v>9201</v>
      </c>
      <c r="C9644" s="9">
        <v>605</v>
      </c>
      <c r="D9644" s="0">
        <v>3</v>
      </c>
      <c r="E9644" s="10">
        <f>HYPERLINK("http://www.lingerieopt.ru/images/original/0bbd9836-763d-4565-a675-657fcae430c4.jpg","Фото")</f>
      </c>
    </row>
    <row r="9645">
      <c r="A9645" s="7">
        <f>HYPERLINK("http://www.lingerieopt.ru/item/8437-hlopkovje-trusj-hipsj/","8437")</f>
      </c>
      <c r="B9645" s="8" t="s">
        <v>9202</v>
      </c>
      <c r="C9645" s="9">
        <v>423</v>
      </c>
      <c r="D9645" s="0">
        <v>3</v>
      </c>
      <c r="E9645" s="10">
        <f>HYPERLINK("http://www.lingerieopt.ru/images/original/32cdc032-f228-43e7-8599-e315ea1a868e.jpg","Фото")</f>
      </c>
    </row>
    <row r="9646">
      <c r="A9646" s="7">
        <f>HYPERLINK("http://www.lingerieopt.ru/item/8437-hlopkovje-trusj-hipsj/","8437")</f>
      </c>
      <c r="B9646" s="8" t="s">
        <v>9203</v>
      </c>
      <c r="C9646" s="9">
        <v>423</v>
      </c>
      <c r="D9646" s="0">
        <v>3</v>
      </c>
      <c r="E9646" s="10">
        <f>HYPERLINK("http://www.lingerieopt.ru/images/original/32cdc032-f228-43e7-8599-e315ea1a868e.jpg","Фото")</f>
      </c>
    </row>
    <row r="9647">
      <c r="A9647" s="7">
        <f>HYPERLINK("http://www.lingerieopt.ru/item/8437-hlopkovje-trusj-hipsj/","8437")</f>
      </c>
      <c r="B9647" s="8" t="s">
        <v>9204</v>
      </c>
      <c r="C9647" s="9">
        <v>423</v>
      </c>
      <c r="D9647" s="0">
        <v>3</v>
      </c>
      <c r="E9647" s="10">
        <f>HYPERLINK("http://www.lingerieopt.ru/images/original/32cdc032-f228-43e7-8599-e315ea1a868e.jpg","Фото")</f>
      </c>
    </row>
    <row r="9648">
      <c r="A9648" s="7">
        <f>HYPERLINK("http://www.lingerieopt.ru/item/8437-hlopkovje-trusj-hipsj/","8437")</f>
      </c>
      <c r="B9648" s="8" t="s">
        <v>9205</v>
      </c>
      <c r="C9648" s="9">
        <v>423</v>
      </c>
      <c r="D9648" s="0">
        <v>3</v>
      </c>
      <c r="E9648" s="10">
        <f>HYPERLINK("http://www.lingerieopt.ru/images/original/32cdc032-f228-43e7-8599-e315ea1a868e.jpg","Фото")</f>
      </c>
    </row>
    <row r="9649">
      <c r="A9649" s="7">
        <f>HYPERLINK("http://www.lingerieopt.ru/item/8437-hlopkovje-trusj-hipsj/","8437")</f>
      </c>
      <c r="B9649" s="8" t="s">
        <v>9206</v>
      </c>
      <c r="C9649" s="9">
        <v>423</v>
      </c>
      <c r="D9649" s="0">
        <v>1</v>
      </c>
      <c r="E9649" s="10">
        <f>HYPERLINK("http://www.lingerieopt.ru/images/original/32cdc032-f228-43e7-8599-e315ea1a868e.jpg","Фото")</f>
      </c>
    </row>
    <row r="9650">
      <c r="A9650" s="7">
        <f>HYPERLINK("http://www.lingerieopt.ru/item/8437-hlopkovje-trusj-hipsj/","8437")</f>
      </c>
      <c r="B9650" s="8" t="s">
        <v>9207</v>
      </c>
      <c r="C9650" s="9">
        <v>423</v>
      </c>
      <c r="D9650" s="0">
        <v>3</v>
      </c>
      <c r="E9650" s="10">
        <f>HYPERLINK("http://www.lingerieopt.ru/images/original/32cdc032-f228-43e7-8599-e315ea1a868e.jpg","Фото")</f>
      </c>
    </row>
    <row r="9651">
      <c r="A9651" s="7">
        <f>HYPERLINK("http://www.lingerieopt.ru/item/8437-hlopkovje-trusj-hipsj/","8437")</f>
      </c>
      <c r="B9651" s="8" t="s">
        <v>9208</v>
      </c>
      <c r="C9651" s="9">
        <v>423</v>
      </c>
      <c r="D9651" s="0">
        <v>3</v>
      </c>
      <c r="E9651" s="10">
        <f>HYPERLINK("http://www.lingerieopt.ru/images/original/32cdc032-f228-43e7-8599-e315ea1a868e.jpg","Фото")</f>
      </c>
    </row>
    <row r="9652">
      <c r="A9652" s="7">
        <f>HYPERLINK("http://www.lingerieopt.ru/item/8437-hlopkovje-trusj-hipsj/","8437")</f>
      </c>
      <c r="B9652" s="8" t="s">
        <v>9209</v>
      </c>
      <c r="C9652" s="9">
        <v>423</v>
      </c>
      <c r="D9652" s="0">
        <v>3</v>
      </c>
      <c r="E9652" s="10">
        <f>HYPERLINK("http://www.lingerieopt.ru/images/original/32cdc032-f228-43e7-8599-e315ea1a868e.jpg","Фото")</f>
      </c>
    </row>
    <row r="9653">
      <c r="A9653" s="7">
        <f>HYPERLINK("http://www.lingerieopt.ru/item/8437-hlopkovje-trusj-hipsj/","8437")</f>
      </c>
      <c r="B9653" s="8" t="s">
        <v>9210</v>
      </c>
      <c r="C9653" s="9">
        <v>423</v>
      </c>
      <c r="D9653" s="0">
        <v>3</v>
      </c>
      <c r="E9653" s="10">
        <f>HYPERLINK("http://www.lingerieopt.ru/images/original/32cdc032-f228-43e7-8599-e315ea1a868e.jpg","Фото")</f>
      </c>
    </row>
    <row r="9654">
      <c r="A9654" s="7">
        <f>HYPERLINK("http://www.lingerieopt.ru/item/8437-hlopkovje-trusj-hipsj/","8437")</f>
      </c>
      <c r="B9654" s="8" t="s">
        <v>9211</v>
      </c>
      <c r="C9654" s="9">
        <v>423</v>
      </c>
      <c r="D9654" s="0">
        <v>3</v>
      </c>
      <c r="E9654" s="10">
        <f>HYPERLINK("http://www.lingerieopt.ru/images/original/32cdc032-f228-43e7-8599-e315ea1a868e.jpg","Фото")</f>
      </c>
    </row>
    <row r="9655">
      <c r="A9655" s="7">
        <f>HYPERLINK("http://www.lingerieopt.ru/item/8437-hlopkovje-trusj-hipsj/","8437")</f>
      </c>
      <c r="B9655" s="8" t="s">
        <v>9212</v>
      </c>
      <c r="C9655" s="9">
        <v>423</v>
      </c>
      <c r="D9655" s="0">
        <v>3</v>
      </c>
      <c r="E9655" s="10">
        <f>HYPERLINK("http://www.lingerieopt.ru/images/original/32cdc032-f228-43e7-8599-e315ea1a868e.jpg","Фото")</f>
      </c>
    </row>
    <row r="9656">
      <c r="A9656" s="7">
        <f>HYPERLINK("http://www.lingerieopt.ru/item/8437-hlopkovje-trusj-hipsj/","8437")</f>
      </c>
      <c r="B9656" s="8" t="s">
        <v>9213</v>
      </c>
      <c r="C9656" s="9">
        <v>423</v>
      </c>
      <c r="D9656" s="0">
        <v>0</v>
      </c>
      <c r="E9656" s="10">
        <f>HYPERLINK("http://www.lingerieopt.ru/images/original/32cdc032-f228-43e7-8599-e315ea1a868e.jpg","Фото")</f>
      </c>
    </row>
    <row r="9657">
      <c r="A9657" s="7">
        <f>HYPERLINK("http://www.lingerieopt.ru/item/8437-hlopkovje-trusj-hipsj/","8437")</f>
      </c>
      <c r="B9657" s="8" t="s">
        <v>9214</v>
      </c>
      <c r="C9657" s="9">
        <v>423</v>
      </c>
      <c r="D9657" s="0">
        <v>0</v>
      </c>
      <c r="E9657" s="10">
        <f>HYPERLINK("http://www.lingerieopt.ru/images/original/32cdc032-f228-43e7-8599-e315ea1a868e.jpg","Фото")</f>
      </c>
    </row>
    <row r="9658">
      <c r="A9658" s="7">
        <f>HYPERLINK("http://www.lingerieopt.ru/item/8437-hlopkovje-trusj-hipsj/","8437")</f>
      </c>
      <c r="B9658" s="8" t="s">
        <v>9215</v>
      </c>
      <c r="C9658" s="9">
        <v>423</v>
      </c>
      <c r="D9658" s="0">
        <v>3</v>
      </c>
      <c r="E9658" s="10">
        <f>HYPERLINK("http://www.lingerieopt.ru/images/original/32cdc032-f228-43e7-8599-e315ea1a868e.jpg","Фото")</f>
      </c>
    </row>
    <row r="9659">
      <c r="A9659" s="7">
        <f>HYPERLINK("http://www.lingerieopt.ru/item/8437-hlopkovje-trusj-hipsj/","8437")</f>
      </c>
      <c r="B9659" s="8" t="s">
        <v>9216</v>
      </c>
      <c r="C9659" s="9">
        <v>423</v>
      </c>
      <c r="D9659" s="0">
        <v>0</v>
      </c>
      <c r="E9659" s="10">
        <f>HYPERLINK("http://www.lingerieopt.ru/images/original/32cdc032-f228-43e7-8599-e315ea1a868e.jpg","Фото")</f>
      </c>
    </row>
    <row r="9660">
      <c r="A9660" s="7">
        <f>HYPERLINK("http://www.lingerieopt.ru/item/8437-hlopkovje-trusj-hipsj/","8437")</f>
      </c>
      <c r="B9660" s="8" t="s">
        <v>9217</v>
      </c>
      <c r="C9660" s="9">
        <v>423</v>
      </c>
      <c r="D9660" s="0">
        <v>4</v>
      </c>
      <c r="E9660" s="10">
        <f>HYPERLINK("http://www.lingerieopt.ru/images/original/32cdc032-f228-43e7-8599-e315ea1a868e.jpg","Фото")</f>
      </c>
    </row>
    <row r="9661">
      <c r="A9661" s="7">
        <f>HYPERLINK("http://www.lingerieopt.ru/item/8437-hlopkovje-trusj-hipsj/","8437")</f>
      </c>
      <c r="B9661" s="8" t="s">
        <v>9218</v>
      </c>
      <c r="C9661" s="9">
        <v>423</v>
      </c>
      <c r="D9661" s="0">
        <v>0</v>
      </c>
      <c r="E9661" s="10">
        <f>HYPERLINK("http://www.lingerieopt.ru/images/original/32cdc032-f228-43e7-8599-e315ea1a868e.jpg","Фото")</f>
      </c>
    </row>
    <row r="9662">
      <c r="A9662" s="7">
        <f>HYPERLINK("http://www.lingerieopt.ru/item/8437-hlopkovje-trusj-hipsj/","8437")</f>
      </c>
      <c r="B9662" s="8" t="s">
        <v>9219</v>
      </c>
      <c r="C9662" s="9">
        <v>423</v>
      </c>
      <c r="D9662" s="0">
        <v>1</v>
      </c>
      <c r="E9662" s="10">
        <f>HYPERLINK("http://www.lingerieopt.ru/images/original/32cdc032-f228-43e7-8599-e315ea1a868e.jpg","Фото")</f>
      </c>
    </row>
    <row r="9663">
      <c r="A9663" s="7">
        <f>HYPERLINK("http://www.lingerieopt.ru/item/8437-hlopkovje-trusj-hipsj/","8437")</f>
      </c>
      <c r="B9663" s="8" t="s">
        <v>9220</v>
      </c>
      <c r="C9663" s="9">
        <v>423</v>
      </c>
      <c r="D9663" s="0">
        <v>1</v>
      </c>
      <c r="E9663" s="10">
        <f>HYPERLINK("http://www.lingerieopt.ru/images/original/32cdc032-f228-43e7-8599-e315ea1a868e.jpg","Фото")</f>
      </c>
    </row>
    <row r="9664">
      <c r="A9664" s="7">
        <f>HYPERLINK("http://www.lingerieopt.ru/item/8437-hlopkovje-trusj-hipsj/","8437")</f>
      </c>
      <c r="B9664" s="8" t="s">
        <v>9221</v>
      </c>
      <c r="C9664" s="9">
        <v>423</v>
      </c>
      <c r="D9664" s="0">
        <v>3</v>
      </c>
      <c r="E9664" s="10">
        <f>HYPERLINK("http://www.lingerieopt.ru/images/original/32cdc032-f228-43e7-8599-e315ea1a868e.jpg","Фото")</f>
      </c>
    </row>
    <row r="9665">
      <c r="A9665" s="7">
        <f>HYPERLINK("http://www.lingerieopt.ru/item/8437-hlopkovje-trusj-hipsj/","8437")</f>
      </c>
      <c r="B9665" s="8" t="s">
        <v>9222</v>
      </c>
      <c r="C9665" s="9">
        <v>423</v>
      </c>
      <c r="D9665" s="0">
        <v>1</v>
      </c>
      <c r="E9665" s="10">
        <f>HYPERLINK("http://www.lingerieopt.ru/images/original/32cdc032-f228-43e7-8599-e315ea1a868e.jpg","Фото")</f>
      </c>
    </row>
    <row r="9666">
      <c r="A9666" s="7">
        <f>HYPERLINK("http://www.lingerieopt.ru/item/8437-hlopkovje-trusj-hipsj/","8437")</f>
      </c>
      <c r="B9666" s="8" t="s">
        <v>9223</v>
      </c>
      <c r="C9666" s="9">
        <v>423</v>
      </c>
      <c r="D9666" s="0">
        <v>3</v>
      </c>
      <c r="E9666" s="10">
        <f>HYPERLINK("http://www.lingerieopt.ru/images/original/32cdc032-f228-43e7-8599-e315ea1a868e.jpg","Фото")</f>
      </c>
    </row>
    <row r="9667">
      <c r="A9667" s="7">
        <f>HYPERLINK("http://www.lingerieopt.ru/item/8437-hlopkovje-trusj-hipsj/","8437")</f>
      </c>
      <c r="B9667" s="8" t="s">
        <v>9224</v>
      </c>
      <c r="C9667" s="9">
        <v>423</v>
      </c>
      <c r="D9667" s="0">
        <v>3</v>
      </c>
      <c r="E9667" s="10">
        <f>HYPERLINK("http://www.lingerieopt.ru/images/original/32cdc032-f228-43e7-8599-e315ea1a868e.jpg","Фото")</f>
      </c>
    </row>
    <row r="9668">
      <c r="A9668" s="7">
        <f>HYPERLINK("http://www.lingerieopt.ru/item/8438-muzhskie-trusj-hipsj-s-logotipom-po-krugu/","8438")</f>
      </c>
      <c r="B9668" s="8" t="s">
        <v>9225</v>
      </c>
      <c r="C9668" s="9">
        <v>411</v>
      </c>
      <c r="D9668" s="0">
        <v>6</v>
      </c>
      <c r="E9668" s="10">
        <f>HYPERLINK("http://www.lingerieopt.ru/images/original/0112cbfe-26bc-4eb4-8411-0e4417eb6863.jpg","Фото")</f>
      </c>
    </row>
    <row r="9669">
      <c r="A9669" s="7">
        <f>HYPERLINK("http://www.lingerieopt.ru/item/8438-muzhskie-trusj-hipsj-s-logotipom-po-krugu/","8438")</f>
      </c>
      <c r="B9669" s="8" t="s">
        <v>9226</v>
      </c>
      <c r="C9669" s="9">
        <v>411</v>
      </c>
      <c r="D9669" s="0">
        <v>6</v>
      </c>
      <c r="E9669" s="10">
        <f>HYPERLINK("http://www.lingerieopt.ru/images/original/0112cbfe-26bc-4eb4-8411-0e4417eb6863.jpg","Фото")</f>
      </c>
    </row>
    <row r="9670">
      <c r="A9670" s="7">
        <f>HYPERLINK("http://www.lingerieopt.ru/item/8438-muzhskie-trusj-hipsj-s-logotipom-po-krugu/","8438")</f>
      </c>
      <c r="B9670" s="8" t="s">
        <v>9227</v>
      </c>
      <c r="C9670" s="9">
        <v>411</v>
      </c>
      <c r="D9670" s="0">
        <v>1</v>
      </c>
      <c r="E9670" s="10">
        <f>HYPERLINK("http://www.lingerieopt.ru/images/original/0112cbfe-26bc-4eb4-8411-0e4417eb6863.jpg","Фото")</f>
      </c>
    </row>
    <row r="9671">
      <c r="A9671" s="7">
        <f>HYPERLINK("http://www.lingerieopt.ru/item/8438-muzhskie-trusj-hipsj-s-logotipom-po-krugu/","8438")</f>
      </c>
      <c r="B9671" s="8" t="s">
        <v>9228</v>
      </c>
      <c r="C9671" s="9">
        <v>411</v>
      </c>
      <c r="D9671" s="0">
        <v>3</v>
      </c>
      <c r="E9671" s="10">
        <f>HYPERLINK("http://www.lingerieopt.ru/images/original/0112cbfe-26bc-4eb4-8411-0e4417eb6863.jpg","Фото")</f>
      </c>
    </row>
    <row r="9672">
      <c r="A9672" s="7">
        <f>HYPERLINK("http://www.lingerieopt.ru/item/8438-muzhskie-trusj-hipsj-s-logotipom-po-krugu/","8438")</f>
      </c>
      <c r="B9672" s="8" t="s">
        <v>9229</v>
      </c>
      <c r="C9672" s="9">
        <v>411</v>
      </c>
      <c r="D9672" s="0">
        <v>3</v>
      </c>
      <c r="E9672" s="10">
        <f>HYPERLINK("http://www.lingerieopt.ru/images/original/0112cbfe-26bc-4eb4-8411-0e4417eb6863.jpg","Фото")</f>
      </c>
    </row>
    <row r="9673">
      <c r="A9673" s="7">
        <f>HYPERLINK("http://www.lingerieopt.ru/item/8438-muzhskie-trusj-hipsj-s-logotipom-po-krugu/","8438")</f>
      </c>
      <c r="B9673" s="8" t="s">
        <v>9230</v>
      </c>
      <c r="C9673" s="9">
        <v>411</v>
      </c>
      <c r="D9673" s="0">
        <v>3</v>
      </c>
      <c r="E9673" s="10">
        <f>HYPERLINK("http://www.lingerieopt.ru/images/original/0112cbfe-26bc-4eb4-8411-0e4417eb6863.jpg","Фото")</f>
      </c>
    </row>
    <row r="9674">
      <c r="A9674" s="7">
        <f>HYPERLINK("http://www.lingerieopt.ru/item/8438-muzhskie-trusj-hipsj-s-logotipom-po-krugu/","8438")</f>
      </c>
      <c r="B9674" s="8" t="s">
        <v>9231</v>
      </c>
      <c r="C9674" s="9">
        <v>411</v>
      </c>
      <c r="D9674" s="0">
        <v>3</v>
      </c>
      <c r="E9674" s="10">
        <f>HYPERLINK("http://www.lingerieopt.ru/images/original/0112cbfe-26bc-4eb4-8411-0e4417eb6863.jpg","Фото")</f>
      </c>
    </row>
    <row r="9675">
      <c r="A9675" s="7">
        <f>HYPERLINK("http://www.lingerieopt.ru/item/8438-muzhskie-trusj-hipsj-s-logotipom-po-krugu/","8438")</f>
      </c>
      <c r="B9675" s="8" t="s">
        <v>9232</v>
      </c>
      <c r="C9675" s="9">
        <v>411</v>
      </c>
      <c r="D9675" s="0">
        <v>3</v>
      </c>
      <c r="E9675" s="10">
        <f>HYPERLINK("http://www.lingerieopt.ru/images/original/0112cbfe-26bc-4eb4-8411-0e4417eb6863.jpg","Фото")</f>
      </c>
    </row>
    <row r="9676">
      <c r="A9676" s="7">
        <f>HYPERLINK("http://www.lingerieopt.ru/item/8438-muzhskie-trusj-hipsj-s-logotipom-po-krugu/","8438")</f>
      </c>
      <c r="B9676" s="8" t="s">
        <v>9233</v>
      </c>
      <c r="C9676" s="9">
        <v>411</v>
      </c>
      <c r="D9676" s="0">
        <v>3</v>
      </c>
      <c r="E9676" s="10">
        <f>HYPERLINK("http://www.lingerieopt.ru/images/original/0112cbfe-26bc-4eb4-8411-0e4417eb6863.jpg","Фото")</f>
      </c>
    </row>
    <row r="9677">
      <c r="A9677" s="7">
        <f>HYPERLINK("http://www.lingerieopt.ru/item/8438-muzhskie-trusj-hipsj-s-logotipom-po-krugu/","8438")</f>
      </c>
      <c r="B9677" s="8" t="s">
        <v>9234</v>
      </c>
      <c r="C9677" s="9">
        <v>411</v>
      </c>
      <c r="D9677" s="0">
        <v>6</v>
      </c>
      <c r="E9677" s="10">
        <f>HYPERLINK("http://www.lingerieopt.ru/images/original/0112cbfe-26bc-4eb4-8411-0e4417eb6863.jpg","Фото")</f>
      </c>
    </row>
    <row r="9678">
      <c r="A9678" s="7">
        <f>HYPERLINK("http://www.lingerieopt.ru/item/8438-muzhskie-trusj-hipsj-s-logotipom-po-krugu/","8438")</f>
      </c>
      <c r="B9678" s="8" t="s">
        <v>9235</v>
      </c>
      <c r="C9678" s="9">
        <v>411</v>
      </c>
      <c r="D9678" s="0">
        <v>6</v>
      </c>
      <c r="E9678" s="10">
        <f>HYPERLINK("http://www.lingerieopt.ru/images/original/0112cbfe-26bc-4eb4-8411-0e4417eb6863.jpg","Фото")</f>
      </c>
    </row>
    <row r="9679">
      <c r="A9679" s="7">
        <f>HYPERLINK("http://www.lingerieopt.ru/item/8438-muzhskie-trusj-hipsj-s-logotipom-po-krugu/","8438")</f>
      </c>
      <c r="B9679" s="8" t="s">
        <v>9236</v>
      </c>
      <c r="C9679" s="9">
        <v>411</v>
      </c>
      <c r="D9679" s="0">
        <v>3</v>
      </c>
      <c r="E9679" s="10">
        <f>HYPERLINK("http://www.lingerieopt.ru/images/original/0112cbfe-26bc-4eb4-8411-0e4417eb6863.jpg","Фото")</f>
      </c>
    </row>
    <row r="9680">
      <c r="A9680" s="7">
        <f>HYPERLINK("http://www.lingerieopt.ru/item/8438-muzhskie-trusj-hipsj-s-logotipom-po-krugu/","8438")</f>
      </c>
      <c r="B9680" s="8" t="s">
        <v>9237</v>
      </c>
      <c r="C9680" s="9">
        <v>411</v>
      </c>
      <c r="D9680" s="0">
        <v>3</v>
      </c>
      <c r="E9680" s="10">
        <f>HYPERLINK("http://www.lingerieopt.ru/images/original/0112cbfe-26bc-4eb4-8411-0e4417eb6863.jpg","Фото")</f>
      </c>
    </row>
    <row r="9681">
      <c r="A9681" s="7">
        <f>HYPERLINK("http://www.lingerieopt.ru/item/8438-muzhskie-trusj-hipsj-s-logotipom-po-krugu/","8438")</f>
      </c>
      <c r="B9681" s="8" t="s">
        <v>9238</v>
      </c>
      <c r="C9681" s="9">
        <v>411</v>
      </c>
      <c r="D9681" s="0">
        <v>6</v>
      </c>
      <c r="E9681" s="10">
        <f>HYPERLINK("http://www.lingerieopt.ru/images/original/0112cbfe-26bc-4eb4-8411-0e4417eb6863.jpg","Фото")</f>
      </c>
    </row>
    <row r="9682">
      <c r="A9682" s="7">
        <f>HYPERLINK("http://www.lingerieopt.ru/item/8438-muzhskie-trusj-hipsj-s-logotipom-po-krugu/","8438")</f>
      </c>
      <c r="B9682" s="8" t="s">
        <v>9239</v>
      </c>
      <c r="C9682" s="9">
        <v>411</v>
      </c>
      <c r="D9682" s="0">
        <v>3</v>
      </c>
      <c r="E9682" s="10">
        <f>HYPERLINK("http://www.lingerieopt.ru/images/original/0112cbfe-26bc-4eb4-8411-0e4417eb6863.jpg","Фото")</f>
      </c>
    </row>
    <row r="9683">
      <c r="A9683" s="7">
        <f>HYPERLINK("http://www.lingerieopt.ru/item/8438-muzhskie-trusj-hipsj-s-logotipom-po-krugu/","8438")</f>
      </c>
      <c r="B9683" s="8" t="s">
        <v>9240</v>
      </c>
      <c r="C9683" s="9">
        <v>411</v>
      </c>
      <c r="D9683" s="0">
        <v>3</v>
      </c>
      <c r="E9683" s="10">
        <f>HYPERLINK("http://www.lingerieopt.ru/images/original/0112cbfe-26bc-4eb4-8411-0e4417eb6863.jpg","Фото")</f>
      </c>
    </row>
    <row r="9684">
      <c r="A9684" s="7">
        <f>HYPERLINK("http://www.lingerieopt.ru/item/8438-muzhskie-trusj-hipsj-s-logotipom-po-krugu/","8438")</f>
      </c>
      <c r="B9684" s="8" t="s">
        <v>9241</v>
      </c>
      <c r="C9684" s="9">
        <v>411</v>
      </c>
      <c r="D9684" s="0">
        <v>3</v>
      </c>
      <c r="E9684" s="10">
        <f>HYPERLINK("http://www.lingerieopt.ru/images/original/0112cbfe-26bc-4eb4-8411-0e4417eb6863.jpg","Фото")</f>
      </c>
    </row>
    <row r="9685">
      <c r="A9685" s="7">
        <f>HYPERLINK("http://www.lingerieopt.ru/item/8438-muzhskie-trusj-hipsj-s-logotipom-po-krugu/","8438")</f>
      </c>
      <c r="B9685" s="8" t="s">
        <v>9242</v>
      </c>
      <c r="C9685" s="9">
        <v>411</v>
      </c>
      <c r="D9685" s="0">
        <v>1</v>
      </c>
      <c r="E9685" s="10">
        <f>HYPERLINK("http://www.lingerieopt.ru/images/original/0112cbfe-26bc-4eb4-8411-0e4417eb6863.jpg","Фото")</f>
      </c>
    </row>
    <row r="9686">
      <c r="A9686" s="7">
        <f>HYPERLINK("http://www.lingerieopt.ru/item/8438-muzhskie-trusj-hipsj-s-logotipom-po-krugu/","8438")</f>
      </c>
      <c r="B9686" s="8" t="s">
        <v>9243</v>
      </c>
      <c r="C9686" s="9">
        <v>411</v>
      </c>
      <c r="D9686" s="0">
        <v>6</v>
      </c>
      <c r="E9686" s="10">
        <f>HYPERLINK("http://www.lingerieopt.ru/images/original/0112cbfe-26bc-4eb4-8411-0e4417eb6863.jpg","Фото")</f>
      </c>
    </row>
    <row r="9687">
      <c r="A9687" s="7">
        <f>HYPERLINK("http://www.lingerieopt.ru/item/8438-muzhskie-trusj-hipsj-s-logotipom-po-krugu/","8438")</f>
      </c>
      <c r="B9687" s="8" t="s">
        <v>9244</v>
      </c>
      <c r="C9687" s="9">
        <v>411</v>
      </c>
      <c r="D9687" s="0">
        <v>0</v>
      </c>
      <c r="E9687" s="10">
        <f>HYPERLINK("http://www.lingerieopt.ru/images/original/0112cbfe-26bc-4eb4-8411-0e4417eb6863.jpg","Фото")</f>
      </c>
    </row>
    <row r="9688">
      <c r="A9688" s="7">
        <f>HYPERLINK("http://www.lingerieopt.ru/item/8438-muzhskie-trusj-hipsj-s-logotipom-po-krugu/","8438")</f>
      </c>
      <c r="B9688" s="8" t="s">
        <v>9245</v>
      </c>
      <c r="C9688" s="9">
        <v>411</v>
      </c>
      <c r="D9688" s="0">
        <v>3</v>
      </c>
      <c r="E9688" s="10">
        <f>HYPERLINK("http://www.lingerieopt.ru/images/original/0112cbfe-26bc-4eb4-8411-0e4417eb6863.jpg","Фото")</f>
      </c>
    </row>
    <row r="9689">
      <c r="A9689" s="7">
        <f>HYPERLINK("http://www.lingerieopt.ru/item/8438-muzhskie-trusj-hipsj-s-logotipom-po-krugu/","8438")</f>
      </c>
      <c r="B9689" s="8" t="s">
        <v>9246</v>
      </c>
      <c r="C9689" s="9">
        <v>411</v>
      </c>
      <c r="D9689" s="0">
        <v>3</v>
      </c>
      <c r="E9689" s="10">
        <f>HYPERLINK("http://www.lingerieopt.ru/images/original/0112cbfe-26bc-4eb4-8411-0e4417eb6863.jpg","Фото")</f>
      </c>
    </row>
    <row r="9690">
      <c r="A9690" s="7">
        <f>HYPERLINK("http://www.lingerieopt.ru/item/8438-muzhskie-trusj-hipsj-s-logotipom-po-krugu/","8438")</f>
      </c>
      <c r="B9690" s="8" t="s">
        <v>9247</v>
      </c>
      <c r="C9690" s="9">
        <v>411</v>
      </c>
      <c r="D9690" s="0">
        <v>3</v>
      </c>
      <c r="E9690" s="10">
        <f>HYPERLINK("http://www.lingerieopt.ru/images/original/0112cbfe-26bc-4eb4-8411-0e4417eb6863.jpg","Фото")</f>
      </c>
    </row>
    <row r="9691">
      <c r="A9691" s="7">
        <f>HYPERLINK("http://www.lingerieopt.ru/item/8438-muzhskie-trusj-hipsj-s-logotipom-po-krugu/","8438")</f>
      </c>
      <c r="B9691" s="8" t="s">
        <v>9248</v>
      </c>
      <c r="C9691" s="9">
        <v>411</v>
      </c>
      <c r="D9691" s="0">
        <v>3</v>
      </c>
      <c r="E9691" s="10">
        <f>HYPERLINK("http://www.lingerieopt.ru/images/original/0112cbfe-26bc-4eb4-8411-0e4417eb6863.jpg","Фото")</f>
      </c>
    </row>
    <row r="9692">
      <c r="A9692" s="7">
        <f>HYPERLINK("http://www.lingerieopt.ru/item/8438-muzhskie-trusj-hipsj-s-logotipom-po-krugu/","8438")</f>
      </c>
      <c r="B9692" s="8" t="s">
        <v>9249</v>
      </c>
      <c r="C9692" s="9">
        <v>411</v>
      </c>
      <c r="D9692" s="0">
        <v>1</v>
      </c>
      <c r="E9692" s="10">
        <f>HYPERLINK("http://www.lingerieopt.ru/images/original/0112cbfe-26bc-4eb4-8411-0e4417eb6863.jpg","Фото")</f>
      </c>
    </row>
    <row r="9693">
      <c r="A9693" s="7">
        <f>HYPERLINK("http://www.lingerieopt.ru/item/8438-muzhskie-trusj-hipsj-s-logotipom-po-krugu/","8438")</f>
      </c>
      <c r="B9693" s="8" t="s">
        <v>9250</v>
      </c>
      <c r="C9693" s="9">
        <v>411</v>
      </c>
      <c r="D9693" s="0">
        <v>3</v>
      </c>
      <c r="E9693" s="10">
        <f>HYPERLINK("http://www.lingerieopt.ru/images/original/0112cbfe-26bc-4eb4-8411-0e4417eb6863.jpg","Фото")</f>
      </c>
    </row>
    <row r="9694">
      <c r="A9694" s="7">
        <f>HYPERLINK("http://www.lingerieopt.ru/item/8439-golubje-trusj-hipsj-s-serebristjm-poyasom/","8439")</f>
      </c>
      <c r="B9694" s="8" t="s">
        <v>9251</v>
      </c>
      <c r="C9694" s="9">
        <v>423</v>
      </c>
      <c r="D9694" s="0">
        <v>1</v>
      </c>
      <c r="E9694" s="10">
        <f>HYPERLINK("http://www.lingerieopt.ru/images/original/bcad1b39-bbd8-4cde-8a1f-4af6f24c030f.jpg","Фото")</f>
      </c>
    </row>
    <row r="9695">
      <c r="A9695" s="7">
        <f>HYPERLINK("http://www.lingerieopt.ru/item/8439-golubje-trusj-hipsj-s-serebristjm-poyasom/","8439")</f>
      </c>
      <c r="B9695" s="8" t="s">
        <v>9252</v>
      </c>
      <c r="C9695" s="9">
        <v>423</v>
      </c>
      <c r="D9695" s="0">
        <v>1</v>
      </c>
      <c r="E9695" s="10">
        <f>HYPERLINK("http://www.lingerieopt.ru/images/original/bcad1b39-bbd8-4cde-8a1f-4af6f24c030f.jpg","Фото")</f>
      </c>
    </row>
    <row r="9696">
      <c r="A9696" s="7">
        <f>HYPERLINK("http://www.lingerieopt.ru/item/8439-golubje-trusj-hipsj-s-serebristjm-poyasom/","8439")</f>
      </c>
      <c r="B9696" s="8" t="s">
        <v>9253</v>
      </c>
      <c r="C9696" s="9">
        <v>423</v>
      </c>
      <c r="D9696" s="0">
        <v>3</v>
      </c>
      <c r="E9696" s="10">
        <f>HYPERLINK("http://www.lingerieopt.ru/images/original/bcad1b39-bbd8-4cde-8a1f-4af6f24c030f.jpg","Фото")</f>
      </c>
    </row>
    <row r="9697">
      <c r="A9697" s="7">
        <f>HYPERLINK("http://www.lingerieopt.ru/item/8439-golubje-trusj-hipsj-s-serebristjm-poyasom/","8439")</f>
      </c>
      <c r="B9697" s="8" t="s">
        <v>9254</v>
      </c>
      <c r="C9697" s="9">
        <v>423</v>
      </c>
      <c r="D9697" s="0">
        <v>3</v>
      </c>
      <c r="E9697" s="10">
        <f>HYPERLINK("http://www.lingerieopt.ru/images/original/bcad1b39-bbd8-4cde-8a1f-4af6f24c030f.jpg","Фото")</f>
      </c>
    </row>
    <row r="9698">
      <c r="A9698" s="7">
        <f>HYPERLINK("http://www.lingerieopt.ru/item/8439-golubje-trusj-hipsj-s-serebristjm-poyasom/","8439")</f>
      </c>
      <c r="B9698" s="8" t="s">
        <v>9255</v>
      </c>
      <c r="C9698" s="9">
        <v>423</v>
      </c>
      <c r="D9698" s="0">
        <v>3</v>
      </c>
      <c r="E9698" s="10">
        <f>HYPERLINK("http://www.lingerieopt.ru/images/original/bcad1b39-bbd8-4cde-8a1f-4af6f24c030f.jpg","Фото")</f>
      </c>
    </row>
    <row r="9699">
      <c r="A9699" s="7">
        <f>HYPERLINK("http://www.lingerieopt.ru/item/8439-golubje-trusj-hipsj-s-serebristjm-poyasom/","8439")</f>
      </c>
      <c r="B9699" s="8" t="s">
        <v>9256</v>
      </c>
      <c r="C9699" s="9">
        <v>423</v>
      </c>
      <c r="D9699" s="0">
        <v>3</v>
      </c>
      <c r="E9699" s="10">
        <f>HYPERLINK("http://www.lingerieopt.ru/images/original/bcad1b39-bbd8-4cde-8a1f-4af6f24c030f.jpg","Фото")</f>
      </c>
    </row>
    <row r="9700">
      <c r="A9700" s="7">
        <f>HYPERLINK("http://www.lingerieopt.ru/item/8440-muzhskie-trusj-brifj-s-nizkoi-posadkoi/","8440")</f>
      </c>
      <c r="B9700" s="8" t="s">
        <v>9257</v>
      </c>
      <c r="C9700" s="9">
        <v>423</v>
      </c>
      <c r="D9700" s="0">
        <v>3</v>
      </c>
      <c r="E9700" s="10">
        <f>HYPERLINK("http://www.lingerieopt.ru/images/original/d7c305b0-bde2-48d6-92ae-c7acdaafabd9.jpg","Фото")</f>
      </c>
    </row>
    <row r="9701">
      <c r="A9701" s="7">
        <f>HYPERLINK("http://www.lingerieopt.ru/item/8440-muzhskie-trusj-brifj-s-nizkoi-posadkoi/","8440")</f>
      </c>
      <c r="B9701" s="8" t="s">
        <v>9258</v>
      </c>
      <c r="C9701" s="9">
        <v>423</v>
      </c>
      <c r="D9701" s="0">
        <v>3</v>
      </c>
      <c r="E9701" s="10">
        <f>HYPERLINK("http://www.lingerieopt.ru/images/original/d7c305b0-bde2-48d6-92ae-c7acdaafabd9.jpg","Фото")</f>
      </c>
    </row>
    <row r="9702">
      <c r="A9702" s="7">
        <f>HYPERLINK("http://www.lingerieopt.ru/item/8440-muzhskie-trusj-brifj-s-nizkoi-posadkoi/","8440")</f>
      </c>
      <c r="B9702" s="8" t="s">
        <v>9259</v>
      </c>
      <c r="C9702" s="9">
        <v>423</v>
      </c>
      <c r="D9702" s="0">
        <v>1</v>
      </c>
      <c r="E9702" s="10">
        <f>HYPERLINK("http://www.lingerieopt.ru/images/original/d7c305b0-bde2-48d6-92ae-c7acdaafabd9.jpg","Фото")</f>
      </c>
    </row>
    <row r="9703">
      <c r="A9703" s="7">
        <f>HYPERLINK("http://www.lingerieopt.ru/item/8440-muzhskie-trusj-brifj-s-nizkoi-posadkoi/","8440")</f>
      </c>
      <c r="B9703" s="8" t="s">
        <v>9260</v>
      </c>
      <c r="C9703" s="9">
        <v>423</v>
      </c>
      <c r="D9703" s="0">
        <v>3</v>
      </c>
      <c r="E9703" s="10">
        <f>HYPERLINK("http://www.lingerieopt.ru/images/original/d7c305b0-bde2-48d6-92ae-c7acdaafabd9.jpg","Фото")</f>
      </c>
    </row>
    <row r="9704">
      <c r="A9704" s="7">
        <f>HYPERLINK("http://www.lingerieopt.ru/item/8440-muzhskie-trusj-brifj-s-nizkoi-posadkoi/","8440")</f>
      </c>
      <c r="B9704" s="8" t="s">
        <v>9261</v>
      </c>
      <c r="C9704" s="9">
        <v>423</v>
      </c>
      <c r="D9704" s="0">
        <v>1</v>
      </c>
      <c r="E9704" s="10">
        <f>HYPERLINK("http://www.lingerieopt.ru/images/original/d7c305b0-bde2-48d6-92ae-c7acdaafabd9.jpg","Фото")</f>
      </c>
    </row>
    <row r="9705">
      <c r="A9705" s="7">
        <f>HYPERLINK("http://www.lingerieopt.ru/item/8440-muzhskie-trusj-brifj-s-nizkoi-posadkoi/","8440")</f>
      </c>
      <c r="B9705" s="8" t="s">
        <v>9262</v>
      </c>
      <c r="C9705" s="9">
        <v>423</v>
      </c>
      <c r="D9705" s="0">
        <v>0</v>
      </c>
      <c r="E9705" s="10">
        <f>HYPERLINK("http://www.lingerieopt.ru/images/original/d7c305b0-bde2-48d6-92ae-c7acdaafabd9.jpg","Фото")</f>
      </c>
    </row>
    <row r="9706">
      <c r="A9706" s="7">
        <f>HYPERLINK("http://www.lingerieopt.ru/item/8440-muzhskie-trusj-brifj-s-nizkoi-posadkoi/","8440")</f>
      </c>
      <c r="B9706" s="8" t="s">
        <v>9263</v>
      </c>
      <c r="C9706" s="9">
        <v>423</v>
      </c>
      <c r="D9706" s="0">
        <v>0</v>
      </c>
      <c r="E9706" s="10">
        <f>HYPERLINK("http://www.lingerieopt.ru/images/original/d7c305b0-bde2-48d6-92ae-c7acdaafabd9.jpg","Фото")</f>
      </c>
    </row>
    <row r="9707">
      <c r="A9707" s="7">
        <f>HYPERLINK("http://www.lingerieopt.ru/item/8440-muzhskie-trusj-brifj-s-nizkoi-posadkoi/","8440")</f>
      </c>
      <c r="B9707" s="8" t="s">
        <v>9264</v>
      </c>
      <c r="C9707" s="9">
        <v>423</v>
      </c>
      <c r="D9707" s="0">
        <v>3</v>
      </c>
      <c r="E9707" s="10">
        <f>HYPERLINK("http://www.lingerieopt.ru/images/original/d7c305b0-bde2-48d6-92ae-c7acdaafabd9.jpg","Фото")</f>
      </c>
    </row>
    <row r="9708">
      <c r="A9708" s="7">
        <f>HYPERLINK("http://www.lingerieopt.ru/item/8440-muzhskie-trusj-brifj-s-nizkoi-posadkoi/","8440")</f>
      </c>
      <c r="B9708" s="8" t="s">
        <v>9265</v>
      </c>
      <c r="C9708" s="9">
        <v>423</v>
      </c>
      <c r="D9708" s="0">
        <v>3</v>
      </c>
      <c r="E9708" s="10">
        <f>HYPERLINK("http://www.lingerieopt.ru/images/original/d7c305b0-bde2-48d6-92ae-c7acdaafabd9.jpg","Фото")</f>
      </c>
    </row>
    <row r="9709">
      <c r="A9709" s="7">
        <f>HYPERLINK("http://www.lingerieopt.ru/item/8440-muzhskie-trusj-brifj-s-nizkoi-posadkoi/","8440")</f>
      </c>
      <c r="B9709" s="8" t="s">
        <v>9266</v>
      </c>
      <c r="C9709" s="9">
        <v>423</v>
      </c>
      <c r="D9709" s="0">
        <v>3</v>
      </c>
      <c r="E9709" s="10">
        <f>HYPERLINK("http://www.lingerieopt.ru/images/original/d7c305b0-bde2-48d6-92ae-c7acdaafabd9.jpg","Фото")</f>
      </c>
    </row>
    <row r="9710">
      <c r="A9710" s="7">
        <f>HYPERLINK("http://www.lingerieopt.ru/item/8440-muzhskie-trusj-brifj-s-nizkoi-posadkoi/","8440")</f>
      </c>
      <c r="B9710" s="8" t="s">
        <v>9267</v>
      </c>
      <c r="C9710" s="9">
        <v>423</v>
      </c>
      <c r="D9710" s="0">
        <v>3</v>
      </c>
      <c r="E9710" s="10">
        <f>HYPERLINK("http://www.lingerieopt.ru/images/original/d7c305b0-bde2-48d6-92ae-c7acdaafabd9.jpg","Фото")</f>
      </c>
    </row>
    <row r="9711">
      <c r="A9711" s="7">
        <f>HYPERLINK("http://www.lingerieopt.ru/item/8440-muzhskie-trusj-brifj-s-nizkoi-posadkoi/","8440")</f>
      </c>
      <c r="B9711" s="8" t="s">
        <v>9268</v>
      </c>
      <c r="C9711" s="9">
        <v>423</v>
      </c>
      <c r="D9711" s="0">
        <v>3</v>
      </c>
      <c r="E9711" s="10">
        <f>HYPERLINK("http://www.lingerieopt.ru/images/original/d7c305b0-bde2-48d6-92ae-c7acdaafabd9.jpg","Фото")</f>
      </c>
    </row>
    <row r="9712">
      <c r="A9712" s="7">
        <f>HYPERLINK("http://www.lingerieopt.ru/item/8440-muzhskie-trusj-brifj-s-nizkoi-posadkoi/","8440")</f>
      </c>
      <c r="B9712" s="8" t="s">
        <v>9269</v>
      </c>
      <c r="C9712" s="9">
        <v>423</v>
      </c>
      <c r="D9712" s="0">
        <v>1</v>
      </c>
      <c r="E9712" s="10">
        <f>HYPERLINK("http://www.lingerieopt.ru/images/original/d7c305b0-bde2-48d6-92ae-c7acdaafabd9.jpg","Фото")</f>
      </c>
    </row>
    <row r="9713">
      <c r="A9713" s="7">
        <f>HYPERLINK("http://www.lingerieopt.ru/item/8440-muzhskie-trusj-brifj-s-nizkoi-posadkoi/","8440")</f>
      </c>
      <c r="B9713" s="8" t="s">
        <v>9270</v>
      </c>
      <c r="C9713" s="9">
        <v>423</v>
      </c>
      <c r="D9713" s="0">
        <v>3</v>
      </c>
      <c r="E9713" s="10">
        <f>HYPERLINK("http://www.lingerieopt.ru/images/original/d7c305b0-bde2-48d6-92ae-c7acdaafabd9.jpg","Фото")</f>
      </c>
    </row>
    <row r="9714">
      <c r="A9714" s="7">
        <f>HYPERLINK("http://www.lingerieopt.ru/item/8440-muzhskie-trusj-brifj-s-nizkoi-posadkoi/","8440")</f>
      </c>
      <c r="B9714" s="8" t="s">
        <v>9271</v>
      </c>
      <c r="C9714" s="9">
        <v>423</v>
      </c>
      <c r="D9714" s="0">
        <v>3</v>
      </c>
      <c r="E9714" s="10">
        <f>HYPERLINK("http://www.lingerieopt.ru/images/original/d7c305b0-bde2-48d6-92ae-c7acdaafabd9.jpg","Фото")</f>
      </c>
    </row>
    <row r="9715">
      <c r="A9715" s="7">
        <f>HYPERLINK("http://www.lingerieopt.ru/item/8440-muzhskie-trusj-brifj-s-nizkoi-posadkoi/","8440")</f>
      </c>
      <c r="B9715" s="8" t="s">
        <v>9272</v>
      </c>
      <c r="C9715" s="9">
        <v>423</v>
      </c>
      <c r="D9715" s="0">
        <v>3</v>
      </c>
      <c r="E9715" s="10">
        <f>HYPERLINK("http://www.lingerieopt.ru/images/original/d7c305b0-bde2-48d6-92ae-c7acdaafabd9.jpg","Фото")</f>
      </c>
    </row>
    <row r="9716">
      <c r="A9716" s="7">
        <f>HYPERLINK("http://www.lingerieopt.ru/item/8440-muzhskie-trusj-brifj-s-nizkoi-posadkoi/","8440")</f>
      </c>
      <c r="B9716" s="8" t="s">
        <v>9273</v>
      </c>
      <c r="C9716" s="9">
        <v>423</v>
      </c>
      <c r="D9716" s="0">
        <v>3</v>
      </c>
      <c r="E9716" s="10">
        <f>HYPERLINK("http://www.lingerieopt.ru/images/original/d7c305b0-bde2-48d6-92ae-c7acdaafabd9.jpg","Фото")</f>
      </c>
    </row>
    <row r="9717">
      <c r="A9717" s="7">
        <f>HYPERLINK("http://www.lingerieopt.ru/item/8440-muzhskie-trusj-brifj-s-nizkoi-posadkoi/","8440")</f>
      </c>
      <c r="B9717" s="8" t="s">
        <v>9274</v>
      </c>
      <c r="C9717" s="9">
        <v>423</v>
      </c>
      <c r="D9717" s="0">
        <v>3</v>
      </c>
      <c r="E9717" s="10">
        <f>HYPERLINK("http://www.lingerieopt.ru/images/original/d7c305b0-bde2-48d6-92ae-c7acdaafabd9.jpg","Фото")</f>
      </c>
    </row>
    <row r="9718">
      <c r="A9718" s="7">
        <f>HYPERLINK("http://www.lingerieopt.ru/item/8440-muzhskie-trusj-brifj-s-nizkoi-posadkoi/","8440")</f>
      </c>
      <c r="B9718" s="8" t="s">
        <v>9275</v>
      </c>
      <c r="C9718" s="9">
        <v>423</v>
      </c>
      <c r="D9718" s="0">
        <v>1</v>
      </c>
      <c r="E9718" s="10">
        <f>HYPERLINK("http://www.lingerieopt.ru/images/original/d7c305b0-bde2-48d6-92ae-c7acdaafabd9.jpg","Фото")</f>
      </c>
    </row>
    <row r="9719">
      <c r="A9719" s="7">
        <f>HYPERLINK("http://www.lingerieopt.ru/item/8440-muzhskie-trusj-brifj-s-nizkoi-posadkoi/","8440")</f>
      </c>
      <c r="B9719" s="8" t="s">
        <v>9276</v>
      </c>
      <c r="C9719" s="9">
        <v>423</v>
      </c>
      <c r="D9719" s="0">
        <v>3</v>
      </c>
      <c r="E9719" s="10">
        <f>HYPERLINK("http://www.lingerieopt.ru/images/original/d7c305b0-bde2-48d6-92ae-c7acdaafabd9.jpg","Фото")</f>
      </c>
    </row>
    <row r="9720">
      <c r="A9720" s="7">
        <f>HYPERLINK("http://www.lingerieopt.ru/item/8440-muzhskie-trusj-brifj-s-nizkoi-posadkoi/","8440")</f>
      </c>
      <c r="B9720" s="8" t="s">
        <v>9277</v>
      </c>
      <c r="C9720" s="9">
        <v>423</v>
      </c>
      <c r="D9720" s="0">
        <v>3</v>
      </c>
      <c r="E9720" s="10">
        <f>HYPERLINK("http://www.lingerieopt.ru/images/original/d7c305b0-bde2-48d6-92ae-c7acdaafabd9.jpg","Фото")</f>
      </c>
    </row>
    <row r="9721">
      <c r="A9721" s="7">
        <f>HYPERLINK("http://www.lingerieopt.ru/item/8440-muzhskie-trusj-brifj-s-nizkoi-posadkoi/","8440")</f>
      </c>
      <c r="B9721" s="8" t="s">
        <v>9278</v>
      </c>
      <c r="C9721" s="9">
        <v>423</v>
      </c>
      <c r="D9721" s="0">
        <v>3</v>
      </c>
      <c r="E9721" s="10">
        <f>HYPERLINK("http://www.lingerieopt.ru/images/original/d7c305b0-bde2-48d6-92ae-c7acdaafabd9.jpg","Фото")</f>
      </c>
    </row>
    <row r="9722">
      <c r="A9722" s="7">
        <f>HYPERLINK("http://www.lingerieopt.ru/item/8440-muzhskie-trusj-brifj-s-nizkoi-posadkoi/","8440")</f>
      </c>
      <c r="B9722" s="8" t="s">
        <v>9279</v>
      </c>
      <c r="C9722" s="9">
        <v>423</v>
      </c>
      <c r="D9722" s="0">
        <v>3</v>
      </c>
      <c r="E9722" s="10">
        <f>HYPERLINK("http://www.lingerieopt.ru/images/original/d7c305b0-bde2-48d6-92ae-c7acdaafabd9.jpg","Фото")</f>
      </c>
    </row>
    <row r="9723">
      <c r="A9723" s="7">
        <f>HYPERLINK("http://www.lingerieopt.ru/item/8440-muzhskie-trusj-brifj-s-nizkoi-posadkoi/","8440")</f>
      </c>
      <c r="B9723" s="8" t="s">
        <v>9280</v>
      </c>
      <c r="C9723" s="9">
        <v>423</v>
      </c>
      <c r="D9723" s="0">
        <v>1</v>
      </c>
      <c r="E9723" s="10">
        <f>HYPERLINK("http://www.lingerieopt.ru/images/original/d7c305b0-bde2-48d6-92ae-c7acdaafabd9.jpg","Фото")</f>
      </c>
    </row>
    <row r="9724">
      <c r="A9724" s="7">
        <f>HYPERLINK("http://www.lingerieopt.ru/item/8862-hlopkovje-muzhskie-trusj-hipsj/","8862")</f>
      </c>
      <c r="B9724" s="8" t="s">
        <v>9281</v>
      </c>
      <c r="C9724" s="9">
        <v>423</v>
      </c>
      <c r="D9724" s="0">
        <v>3</v>
      </c>
      <c r="E9724" s="10">
        <f>HYPERLINK("http://www.lingerieopt.ru/images/original/c5899aa3-0805-425d-a165-46d6b131ecda.jpg","Фото")</f>
      </c>
    </row>
    <row r="9725">
      <c r="A9725" s="7">
        <f>HYPERLINK("http://www.lingerieopt.ru/item/8862-hlopkovje-muzhskie-trusj-hipsj/","8862")</f>
      </c>
      <c r="B9725" s="8" t="s">
        <v>9282</v>
      </c>
      <c r="C9725" s="9">
        <v>423</v>
      </c>
      <c r="D9725" s="0">
        <v>3</v>
      </c>
      <c r="E9725" s="10">
        <f>HYPERLINK("http://www.lingerieopt.ru/images/original/c5899aa3-0805-425d-a165-46d6b131ecda.jpg","Фото")</f>
      </c>
    </row>
    <row r="9726">
      <c r="A9726" s="7">
        <f>HYPERLINK("http://www.lingerieopt.ru/item/8862-hlopkovje-muzhskie-trusj-hipsj/","8862")</f>
      </c>
      <c r="B9726" s="8" t="s">
        <v>9283</v>
      </c>
      <c r="C9726" s="9">
        <v>423</v>
      </c>
      <c r="D9726" s="0">
        <v>3</v>
      </c>
      <c r="E9726" s="10">
        <f>HYPERLINK("http://www.lingerieopt.ru/images/original/c5899aa3-0805-425d-a165-46d6b131ecda.jpg","Фото")</f>
      </c>
    </row>
    <row r="9727">
      <c r="A9727" s="7">
        <f>HYPERLINK("http://www.lingerieopt.ru/item/8862-hlopkovje-muzhskie-trusj-hipsj/","8862")</f>
      </c>
      <c r="B9727" s="8" t="s">
        <v>9284</v>
      </c>
      <c r="C9727" s="9">
        <v>423</v>
      </c>
      <c r="D9727" s="0">
        <v>3</v>
      </c>
      <c r="E9727" s="10">
        <f>HYPERLINK("http://www.lingerieopt.ru/images/original/c5899aa3-0805-425d-a165-46d6b131ecda.jpg","Фото")</f>
      </c>
    </row>
    <row r="9728">
      <c r="A9728" s="7">
        <f>HYPERLINK("http://www.lingerieopt.ru/item/8862-hlopkovje-muzhskie-trusj-hipsj/","8862")</f>
      </c>
      <c r="B9728" s="8" t="s">
        <v>9285</v>
      </c>
      <c r="C9728" s="9">
        <v>423</v>
      </c>
      <c r="D9728" s="0">
        <v>3</v>
      </c>
      <c r="E9728" s="10">
        <f>HYPERLINK("http://www.lingerieopt.ru/images/original/c5899aa3-0805-425d-a165-46d6b131ecda.jpg","Фото")</f>
      </c>
    </row>
    <row r="9729">
      <c r="A9729" s="7">
        <f>HYPERLINK("http://www.lingerieopt.ru/item/8863-hlopkovje-trusj-bokserj-s-nadpisyu-na-rezinke/","8863")</f>
      </c>
      <c r="B9729" s="8" t="s">
        <v>9286</v>
      </c>
      <c r="C9729" s="9">
        <v>423</v>
      </c>
      <c r="D9729" s="0">
        <v>6</v>
      </c>
      <c r="E9729" s="10">
        <f>HYPERLINK("http://www.lingerieopt.ru/images/original/63f14081-edd6-46b4-89ec-e2c852477a2c.jpg","Фото")</f>
      </c>
    </row>
    <row r="9730">
      <c r="A9730" s="7">
        <f>HYPERLINK("http://www.lingerieopt.ru/item/8863-hlopkovje-trusj-bokserj-s-nadpisyu-na-rezinke/","8863")</f>
      </c>
      <c r="B9730" s="8" t="s">
        <v>9287</v>
      </c>
      <c r="C9730" s="9">
        <v>423</v>
      </c>
      <c r="D9730" s="0">
        <v>1</v>
      </c>
      <c r="E9730" s="10">
        <f>HYPERLINK("http://www.lingerieopt.ru/images/original/63f14081-edd6-46b4-89ec-e2c852477a2c.jpg","Фото")</f>
      </c>
    </row>
    <row r="9731">
      <c r="A9731" s="7">
        <f>HYPERLINK("http://www.lingerieopt.ru/item/8863-hlopkovje-trusj-bokserj-s-nadpisyu-na-rezinke/","8863")</f>
      </c>
      <c r="B9731" s="8" t="s">
        <v>9288</v>
      </c>
      <c r="C9731" s="9">
        <v>423</v>
      </c>
      <c r="D9731" s="0">
        <v>3</v>
      </c>
      <c r="E9731" s="10">
        <f>HYPERLINK("http://www.lingerieopt.ru/images/original/63f14081-edd6-46b4-89ec-e2c852477a2c.jpg","Фото")</f>
      </c>
    </row>
    <row r="9732">
      <c r="A9732" s="7">
        <f>HYPERLINK("http://www.lingerieopt.ru/item/8863-hlopkovje-trusj-bokserj-s-nadpisyu-na-rezinke/","8863")</f>
      </c>
      <c r="B9732" s="8" t="s">
        <v>9289</v>
      </c>
      <c r="C9732" s="9">
        <v>423</v>
      </c>
      <c r="D9732" s="0">
        <v>3</v>
      </c>
      <c r="E9732" s="10">
        <f>HYPERLINK("http://www.lingerieopt.ru/images/original/63f14081-edd6-46b4-89ec-e2c852477a2c.jpg","Фото")</f>
      </c>
    </row>
    <row r="9733">
      <c r="A9733" s="7">
        <f>HYPERLINK("http://www.lingerieopt.ru/item/8863-hlopkovje-trusj-bokserj-s-nadpisyu-na-rezinke/","8863")</f>
      </c>
      <c r="B9733" s="8" t="s">
        <v>9290</v>
      </c>
      <c r="C9733" s="9">
        <v>423</v>
      </c>
      <c r="D9733" s="0">
        <v>3</v>
      </c>
      <c r="E9733" s="10">
        <f>HYPERLINK("http://www.lingerieopt.ru/images/original/63f14081-edd6-46b4-89ec-e2c852477a2c.jpg","Фото")</f>
      </c>
    </row>
    <row r="9734">
      <c r="A9734" s="7">
        <f>HYPERLINK("http://www.lingerieopt.ru/item/8863-hlopkovje-trusj-bokserj-s-nadpisyu-na-rezinke/","8863")</f>
      </c>
      <c r="B9734" s="8" t="s">
        <v>9291</v>
      </c>
      <c r="C9734" s="9">
        <v>423</v>
      </c>
      <c r="D9734" s="0">
        <v>3</v>
      </c>
      <c r="E9734" s="10">
        <f>HYPERLINK("http://www.lingerieopt.ru/images/original/63f14081-edd6-46b4-89ec-e2c852477a2c.jpg","Фото")</f>
      </c>
    </row>
    <row r="9735">
      <c r="A9735" s="7">
        <f>HYPERLINK("http://www.lingerieopt.ru/item/8864-muzhskie-hipsj-s-risunkom/","8864")</f>
      </c>
      <c r="B9735" s="8" t="s">
        <v>9292</v>
      </c>
      <c r="C9735" s="9">
        <v>423</v>
      </c>
      <c r="D9735" s="0">
        <v>0</v>
      </c>
      <c r="E9735" s="10">
        <f>HYPERLINK("http://www.lingerieopt.ru/images/original/00e6270f-3b4f-415b-a386-c2fd9c968c3d.jpg","Фото")</f>
      </c>
    </row>
    <row r="9736">
      <c r="A9736" s="7">
        <f>HYPERLINK("http://www.lingerieopt.ru/item/8864-muzhskie-hipsj-s-risunkom/","8864")</f>
      </c>
      <c r="B9736" s="8" t="s">
        <v>9293</v>
      </c>
      <c r="C9736" s="9">
        <v>423</v>
      </c>
      <c r="D9736" s="0">
        <v>0</v>
      </c>
      <c r="E9736" s="10">
        <f>HYPERLINK("http://www.lingerieopt.ru/images/original/00e6270f-3b4f-415b-a386-c2fd9c968c3d.jpg","Фото")</f>
      </c>
    </row>
    <row r="9737">
      <c r="A9737" s="7">
        <f>HYPERLINK("http://www.lingerieopt.ru/item/8864-muzhskie-hipsj-s-risunkom/","8864")</f>
      </c>
      <c r="B9737" s="8" t="s">
        <v>9294</v>
      </c>
      <c r="C9737" s="9">
        <v>423</v>
      </c>
      <c r="D9737" s="0">
        <v>3</v>
      </c>
      <c r="E9737" s="10">
        <f>HYPERLINK("http://www.lingerieopt.ru/images/original/00e6270f-3b4f-415b-a386-c2fd9c968c3d.jpg","Фото")</f>
      </c>
    </row>
    <row r="9738">
      <c r="A9738" s="7">
        <f>HYPERLINK("http://www.lingerieopt.ru/item/8865-muzhskie-trusj-hipsj-s-risunkom/","8865")</f>
      </c>
      <c r="B9738" s="8" t="s">
        <v>9295</v>
      </c>
      <c r="C9738" s="9">
        <v>423</v>
      </c>
      <c r="D9738" s="0">
        <v>0</v>
      </c>
      <c r="E9738" s="10">
        <f>HYPERLINK("http://www.lingerieopt.ru/images/original/5077cfba-696f-4f1b-b2fd-55f2bf0d29ec.jpg","Фото")</f>
      </c>
    </row>
    <row r="9739">
      <c r="A9739" s="7">
        <f>HYPERLINK("http://www.lingerieopt.ru/item/8865-muzhskie-trusj-hipsj-s-risunkom/","8865")</f>
      </c>
      <c r="B9739" s="8" t="s">
        <v>9296</v>
      </c>
      <c r="C9739" s="9">
        <v>423</v>
      </c>
      <c r="D9739" s="0">
        <v>0</v>
      </c>
      <c r="E9739" s="10">
        <f>HYPERLINK("http://www.lingerieopt.ru/images/original/5077cfba-696f-4f1b-b2fd-55f2bf0d29ec.jpg","Фото")</f>
      </c>
    </row>
    <row r="9740">
      <c r="A9740" s="7">
        <f>HYPERLINK("http://www.lingerieopt.ru/item/8865-muzhskie-trusj-hipsj-s-risunkom/","8865")</f>
      </c>
      <c r="B9740" s="8" t="s">
        <v>9297</v>
      </c>
      <c r="C9740" s="9">
        <v>423</v>
      </c>
      <c r="D9740" s="0">
        <v>1</v>
      </c>
      <c r="E9740" s="10">
        <f>HYPERLINK("http://www.lingerieopt.ru/images/original/5077cfba-696f-4f1b-b2fd-55f2bf0d29ec.jpg","Фото")</f>
      </c>
    </row>
    <row r="9741">
      <c r="A9741" s="7">
        <f>HYPERLINK("http://www.lingerieopt.ru/item/8866-muzhskie-trusj-hipsj-v-rubchik/","8866")</f>
      </c>
      <c r="B9741" s="8" t="s">
        <v>9298</v>
      </c>
      <c r="C9741" s="9">
        <v>423</v>
      </c>
      <c r="D9741" s="0">
        <v>3</v>
      </c>
      <c r="E9741" s="10">
        <f>HYPERLINK("http://www.lingerieopt.ru/images/original/8ab4bab7-7f96-4b33-a096-4d7ec47550d6.jpg","Фото")</f>
      </c>
    </row>
    <row r="9742">
      <c r="A9742" s="7">
        <f>HYPERLINK("http://www.lingerieopt.ru/item/8866-muzhskie-trusj-hipsj-v-rubchik/","8866")</f>
      </c>
      <c r="B9742" s="8" t="s">
        <v>9299</v>
      </c>
      <c r="C9742" s="9">
        <v>423</v>
      </c>
      <c r="D9742" s="0">
        <v>1</v>
      </c>
      <c r="E9742" s="10">
        <f>HYPERLINK("http://www.lingerieopt.ru/images/original/8ab4bab7-7f96-4b33-a096-4d7ec47550d6.jpg","Фото")</f>
      </c>
    </row>
    <row r="9743">
      <c r="A9743" s="7">
        <f>HYPERLINK("http://www.lingerieopt.ru/item/8867-semeinje-muzhskie-trusj-s-babochkami/","8867")</f>
      </c>
      <c r="B9743" s="8" t="s">
        <v>9300</v>
      </c>
      <c r="C9743" s="9">
        <v>526</v>
      </c>
      <c r="D9743" s="0">
        <v>6</v>
      </c>
      <c r="E9743" s="10">
        <f>HYPERLINK("http://www.lingerieopt.ru/images/original/8e364667-7bba-4010-ba24-d29e1196278c.jpg","Фото")</f>
      </c>
    </row>
    <row r="9744">
      <c r="A9744" s="7">
        <f>HYPERLINK("http://www.lingerieopt.ru/item/8867-semeinje-muzhskie-trusj-s-babochkami/","8867")</f>
      </c>
      <c r="B9744" s="8" t="s">
        <v>9301</v>
      </c>
      <c r="C9744" s="9">
        <v>526</v>
      </c>
      <c r="D9744" s="0">
        <v>6</v>
      </c>
      <c r="E9744" s="10">
        <f>HYPERLINK("http://www.lingerieopt.ru/images/original/8e364667-7bba-4010-ba24-d29e1196278c.jpg","Фото")</f>
      </c>
    </row>
    <row r="9745">
      <c r="A9745" s="7">
        <f>HYPERLINK("http://www.lingerieopt.ru/item/8867-semeinje-muzhskie-trusj-s-babochkami/","8867")</f>
      </c>
      <c r="B9745" s="8" t="s">
        <v>9302</v>
      </c>
      <c r="C9745" s="9">
        <v>526</v>
      </c>
      <c r="D9745" s="0">
        <v>3</v>
      </c>
      <c r="E9745" s="10">
        <f>HYPERLINK("http://www.lingerieopt.ru/images/original/8e364667-7bba-4010-ba24-d29e1196278c.jpg","Фото")</f>
      </c>
    </row>
    <row r="9746">
      <c r="A9746" s="7">
        <f>HYPERLINK("http://www.lingerieopt.ru/item/8876-muzhskie-trusj-bastien-s-otkrjtoi-zadnei-chastyu/","8876")</f>
      </c>
      <c r="B9746" s="8" t="s">
        <v>9303</v>
      </c>
      <c r="C9746" s="9">
        <v>597</v>
      </c>
      <c r="D9746" s="0">
        <v>1</v>
      </c>
      <c r="E9746" s="10">
        <f>HYPERLINK("http://www.lingerieopt.ru/images/original/a379b082-ece8-4a43-b7b3-80cf19f0a371.jpg","Фото")</f>
      </c>
    </row>
    <row r="9747">
      <c r="A9747" s="7">
        <f>HYPERLINK("http://www.lingerieopt.ru/item/8876-muzhskie-trusj-bastien-s-otkrjtoi-zadnei-chastyu/","8876")</f>
      </c>
      <c r="B9747" s="8" t="s">
        <v>9304</v>
      </c>
      <c r="C9747" s="9">
        <v>597</v>
      </c>
      <c r="D9747" s="0">
        <v>0</v>
      </c>
      <c r="E9747" s="10">
        <f>HYPERLINK("http://www.lingerieopt.ru/images/original/a379b082-ece8-4a43-b7b3-80cf19f0a371.jpg","Фото")</f>
      </c>
    </row>
    <row r="9748">
      <c r="A9748" s="7">
        <f>HYPERLINK("http://www.lingerieopt.ru/item/8876-muzhskie-trusj-bastien-s-otkrjtoi-zadnei-chastyu/","8876")</f>
      </c>
      <c r="B9748" s="8" t="s">
        <v>9305</v>
      </c>
      <c r="C9748" s="9">
        <v>597</v>
      </c>
      <c r="D9748" s="0">
        <v>3</v>
      </c>
      <c r="E9748" s="10">
        <f>HYPERLINK("http://www.lingerieopt.ru/images/original/a379b082-ece8-4a43-b7b3-80cf19f0a371.jpg","Фото")</f>
      </c>
    </row>
    <row r="9749">
      <c r="A9749" s="7">
        <f>HYPERLINK("http://www.lingerieopt.ru/item/8878-muzhskie-trusj-stringi-remi/","8878")</f>
      </c>
      <c r="B9749" s="8" t="s">
        <v>9306</v>
      </c>
      <c r="C9749" s="9">
        <v>597</v>
      </c>
      <c r="D9749" s="0">
        <v>5</v>
      </c>
      <c r="E9749" s="10">
        <f>HYPERLINK("http://www.lingerieopt.ru/images/original/bf0d6f9a-4db2-4dec-9d0f-f7b6c78b12ca.jpg","Фото")</f>
      </c>
    </row>
    <row r="9750">
      <c r="A9750" s="7">
        <f>HYPERLINK("http://www.lingerieopt.ru/item/8878-muzhskie-trusj-stringi-remi/","8878")</f>
      </c>
      <c r="B9750" s="8" t="s">
        <v>9307</v>
      </c>
      <c r="C9750" s="9">
        <v>597</v>
      </c>
      <c r="D9750" s="0">
        <v>4</v>
      </c>
      <c r="E9750" s="10">
        <f>HYPERLINK("http://www.lingerieopt.ru/images/original/bf0d6f9a-4db2-4dec-9d0f-f7b6c78b12ca.jpg","Фото")</f>
      </c>
    </row>
    <row r="9751">
      <c r="A9751" s="7">
        <f>HYPERLINK("http://www.lingerieopt.ru/item/8878-muzhskie-trusj-stringi-remi/","8878")</f>
      </c>
      <c r="B9751" s="8" t="s">
        <v>9308</v>
      </c>
      <c r="C9751" s="9">
        <v>597</v>
      </c>
      <c r="D9751" s="0">
        <v>4</v>
      </c>
      <c r="E9751" s="10">
        <f>HYPERLINK("http://www.lingerieopt.ru/images/original/bf0d6f9a-4db2-4dec-9d0f-f7b6c78b12ca.jpg","Фото")</f>
      </c>
    </row>
    <row r="9752">
      <c r="A9752" s="7">
        <f>HYPERLINK("http://www.lingerieopt.ru/item/8878-muzhskie-trusj-stringi-remi/","8878")</f>
      </c>
      <c r="B9752" s="8" t="s">
        <v>9309</v>
      </c>
      <c r="C9752" s="9">
        <v>597</v>
      </c>
      <c r="D9752" s="0">
        <v>3</v>
      </c>
      <c r="E9752" s="10">
        <f>HYPERLINK("http://www.lingerieopt.ru/images/original/bf0d6f9a-4db2-4dec-9d0f-f7b6c78b12ca.jpg","Фото")</f>
      </c>
    </row>
    <row r="9753">
      <c r="A9753" s="7">
        <f>HYPERLINK("http://www.lingerieopt.ru/item/8878-muzhskie-trusj-stringi-remi/","8878")</f>
      </c>
      <c r="B9753" s="8" t="s">
        <v>9310</v>
      </c>
      <c r="C9753" s="9">
        <v>597</v>
      </c>
      <c r="D9753" s="0">
        <v>3</v>
      </c>
      <c r="E9753" s="10">
        <f>HYPERLINK("http://www.lingerieopt.ru/images/original/bf0d6f9a-4db2-4dec-9d0f-f7b6c78b12ca.jpg","Фото")</f>
      </c>
    </row>
    <row r="9754">
      <c r="A9754" s="7">
        <f>HYPERLINK("http://www.lingerieopt.ru/item/8878-muzhskie-trusj-stringi-remi/","8878")</f>
      </c>
      <c r="B9754" s="8" t="s">
        <v>9311</v>
      </c>
      <c r="C9754" s="9">
        <v>597</v>
      </c>
      <c r="D9754" s="0">
        <v>2</v>
      </c>
      <c r="E9754" s="10">
        <f>HYPERLINK("http://www.lingerieopt.ru/images/original/bf0d6f9a-4db2-4dec-9d0f-f7b6c78b12ca.jpg","Фото")</f>
      </c>
    </row>
    <row r="9755">
      <c r="A9755" s="7">
        <f>HYPERLINK("http://www.lingerieopt.ru/item/8879-poluprozrachnje-muzhskie-trusj-stringi-yves/","8879")</f>
      </c>
      <c r="B9755" s="8" t="s">
        <v>9312</v>
      </c>
      <c r="C9755" s="9">
        <v>597</v>
      </c>
      <c r="D9755" s="0">
        <v>0</v>
      </c>
      <c r="E9755" s="10">
        <f>HYPERLINK("http://www.lingerieopt.ru/images/original/1c6833ac-87a0-4929-8813-c441ba6f4253.jpg","Фото")</f>
      </c>
    </row>
    <row r="9756">
      <c r="A9756" s="7">
        <f>HYPERLINK("http://www.lingerieopt.ru/item/8879-poluprozrachnje-muzhskie-trusj-stringi-yves/","8879")</f>
      </c>
      <c r="B9756" s="8" t="s">
        <v>9313</v>
      </c>
      <c r="C9756" s="9">
        <v>597</v>
      </c>
      <c r="D9756" s="0">
        <v>0</v>
      </c>
      <c r="E9756" s="10">
        <f>HYPERLINK("http://www.lingerieopt.ru/images/original/1c6833ac-87a0-4929-8813-c441ba6f4253.jpg","Фото")</f>
      </c>
    </row>
    <row r="9757">
      <c r="A9757" s="7">
        <f>HYPERLINK("http://www.lingerieopt.ru/item/8879-poluprozrachnje-muzhskie-trusj-stringi-yves/","8879")</f>
      </c>
      <c r="B9757" s="8" t="s">
        <v>9314</v>
      </c>
      <c r="C9757" s="9">
        <v>597</v>
      </c>
      <c r="D9757" s="0">
        <v>2</v>
      </c>
      <c r="E9757" s="10">
        <f>HYPERLINK("http://www.lingerieopt.ru/images/original/1c6833ac-87a0-4929-8813-c441ba6f4253.jpg","Фото")</f>
      </c>
    </row>
    <row r="9758">
      <c r="A9758" s="7">
        <f>HYPERLINK("http://www.lingerieopt.ru/item/8879-poluprozrachnje-muzhskie-trusj-stringi-yves/","8879")</f>
      </c>
      <c r="B9758" s="8" t="s">
        <v>9315</v>
      </c>
      <c r="C9758" s="9">
        <v>597</v>
      </c>
      <c r="D9758" s="0">
        <v>4</v>
      </c>
      <c r="E9758" s="10">
        <f>HYPERLINK("http://www.lingerieopt.ru/images/original/1c6833ac-87a0-4929-8813-c441ba6f4253.jpg","Фото")</f>
      </c>
    </row>
    <row r="9759">
      <c r="A9759" s="7">
        <f>HYPERLINK("http://www.lingerieopt.ru/item/8879-poluprozrachnje-muzhskie-trusj-stringi-yves/","8879")</f>
      </c>
      <c r="B9759" s="8" t="s">
        <v>9316</v>
      </c>
      <c r="C9759" s="9">
        <v>597</v>
      </c>
      <c r="D9759" s="0">
        <v>2</v>
      </c>
      <c r="E9759" s="10">
        <f>HYPERLINK("http://www.lingerieopt.ru/images/original/1c6833ac-87a0-4929-8813-c441ba6f4253.jpg","Фото")</f>
      </c>
    </row>
    <row r="9760">
      <c r="A9760" s="7">
        <f>HYPERLINK("http://www.lingerieopt.ru/item/8879-poluprozrachnje-muzhskie-trusj-stringi-yves/","8879")</f>
      </c>
      <c r="B9760" s="8" t="s">
        <v>9317</v>
      </c>
      <c r="C9760" s="9">
        <v>597</v>
      </c>
      <c r="D9760" s="0">
        <v>0</v>
      </c>
      <c r="E9760" s="10">
        <f>HYPERLINK("http://www.lingerieopt.ru/images/original/1c6833ac-87a0-4929-8813-c441ba6f4253.jpg","Фото")</f>
      </c>
    </row>
    <row r="9761">
      <c r="A9761" s="7">
        <f>HYPERLINK("http://www.lingerieopt.ru/item/8881-muzhskie-trusj-danny-s-otkrjtoi-zadnei-chastyu/","8881")</f>
      </c>
      <c r="B9761" s="8" t="s">
        <v>9318</v>
      </c>
      <c r="C9761" s="9">
        <v>597</v>
      </c>
      <c r="D9761" s="0">
        <v>4</v>
      </c>
      <c r="E9761" s="10">
        <f>HYPERLINK("http://www.lingerieopt.ru/images/original/1922fc33-ead9-4336-89b0-e73954504b06.jpg","Фото")</f>
      </c>
    </row>
    <row r="9762">
      <c r="A9762" s="7">
        <f>HYPERLINK("http://www.lingerieopt.ru/item/8881-muzhskie-trusj-danny-s-otkrjtoi-zadnei-chastyu/","8881")</f>
      </c>
      <c r="B9762" s="8" t="s">
        <v>9319</v>
      </c>
      <c r="C9762" s="9">
        <v>597</v>
      </c>
      <c r="D9762" s="0">
        <v>2</v>
      </c>
      <c r="E9762" s="10">
        <f>HYPERLINK("http://www.lingerieopt.ru/images/original/1922fc33-ead9-4336-89b0-e73954504b06.jpg","Фото")</f>
      </c>
    </row>
    <row r="9763">
      <c r="A9763" s="7">
        <f>HYPERLINK("http://www.lingerieopt.ru/item/8881-muzhskie-trusj-danny-s-otkrjtoi-zadnei-chastyu/","8881")</f>
      </c>
      <c r="B9763" s="8" t="s">
        <v>9320</v>
      </c>
      <c r="C9763" s="9">
        <v>597</v>
      </c>
      <c r="D9763" s="0">
        <v>2</v>
      </c>
      <c r="E9763" s="10">
        <f>HYPERLINK("http://www.lingerieopt.ru/images/original/1922fc33-ead9-4336-89b0-e73954504b06.jpg","Фото")</f>
      </c>
    </row>
    <row r="9764">
      <c r="A9764" s="7">
        <f>HYPERLINK("http://www.lingerieopt.ru/item/8882-muzhskie-poluprozrachnje-trusj-pascal/","8882")</f>
      </c>
      <c r="B9764" s="8" t="s">
        <v>9321</v>
      </c>
      <c r="C9764" s="9">
        <v>597</v>
      </c>
      <c r="D9764" s="0">
        <v>3</v>
      </c>
      <c r="E9764" s="10">
        <f>HYPERLINK("http://www.lingerieopt.ru/images/original/aa3e3a61-67d0-46d6-bb2c-36081f31c3e2.jpg","Фото")</f>
      </c>
    </row>
    <row r="9765">
      <c r="A9765" s="7">
        <f>HYPERLINK("http://www.lingerieopt.ru/item/8882-muzhskie-poluprozrachnje-trusj-pascal/","8882")</f>
      </c>
      <c r="B9765" s="8" t="s">
        <v>9322</v>
      </c>
      <c r="C9765" s="9">
        <v>597</v>
      </c>
      <c r="D9765" s="0">
        <v>1</v>
      </c>
      <c r="E9765" s="10">
        <f>HYPERLINK("http://www.lingerieopt.ru/images/original/aa3e3a61-67d0-46d6-bb2c-36081f31c3e2.jpg","Фото")</f>
      </c>
    </row>
    <row r="9766">
      <c r="A9766" s="7">
        <f>HYPERLINK("http://www.lingerieopt.ru/item/8882-muzhskie-poluprozrachnje-trusj-pascal/","8882")</f>
      </c>
      <c r="B9766" s="8" t="s">
        <v>9323</v>
      </c>
      <c r="C9766" s="9">
        <v>597</v>
      </c>
      <c r="D9766" s="0">
        <v>4</v>
      </c>
      <c r="E9766" s="10">
        <f>HYPERLINK("http://www.lingerieopt.ru/images/original/aa3e3a61-67d0-46d6-bb2c-36081f31c3e2.jpg","Фото")</f>
      </c>
    </row>
    <row r="9767">
      <c r="A9767" s="7">
        <f>HYPERLINK("http://www.lingerieopt.ru/item/8882-muzhskie-poluprozrachnje-trusj-pascal/","8882")</f>
      </c>
      <c r="B9767" s="8" t="s">
        <v>9324</v>
      </c>
      <c r="C9767" s="9">
        <v>597</v>
      </c>
      <c r="D9767" s="0">
        <v>3</v>
      </c>
      <c r="E9767" s="10">
        <f>HYPERLINK("http://www.lingerieopt.ru/images/original/aa3e3a61-67d0-46d6-bb2c-36081f31c3e2.jpg","Фото")</f>
      </c>
    </row>
    <row r="9768">
      <c r="A9768" s="7">
        <f>HYPERLINK("http://www.lingerieopt.ru/item/8882-muzhskie-poluprozrachnje-trusj-pascal/","8882")</f>
      </c>
      <c r="B9768" s="8" t="s">
        <v>9325</v>
      </c>
      <c r="C9768" s="9">
        <v>597</v>
      </c>
      <c r="D9768" s="0">
        <v>4</v>
      </c>
      <c r="E9768" s="10">
        <f>HYPERLINK("http://www.lingerieopt.ru/images/original/aa3e3a61-67d0-46d6-bb2c-36081f31c3e2.jpg","Фото")</f>
      </c>
    </row>
    <row r="9769">
      <c r="A9769" s="7">
        <f>HYPERLINK("http://www.lingerieopt.ru/item/8882-muzhskie-poluprozrachnje-trusj-pascal/","8882")</f>
      </c>
      <c r="B9769" s="8" t="s">
        <v>9326</v>
      </c>
      <c r="C9769" s="9">
        <v>597</v>
      </c>
      <c r="D9769" s="0">
        <v>0</v>
      </c>
      <c r="E9769" s="10">
        <f>HYPERLINK("http://www.lingerieopt.ru/images/original/aa3e3a61-67d0-46d6-bb2c-36081f31c3e2.jpg","Фото")</f>
      </c>
    </row>
    <row r="9770">
      <c r="A9770" s="7">
        <f>HYPERLINK("http://www.lingerieopt.ru/item/8882-muzhskie-poluprozrachnje-trusj-pascal/","8882")</f>
      </c>
      <c r="B9770" s="8" t="s">
        <v>9327</v>
      </c>
      <c r="C9770" s="9">
        <v>597</v>
      </c>
      <c r="D9770" s="0">
        <v>4</v>
      </c>
      <c r="E9770" s="10">
        <f>HYPERLINK("http://www.lingerieopt.ru/images/original/aa3e3a61-67d0-46d6-bb2c-36081f31c3e2.jpg","Фото")</f>
      </c>
    </row>
    <row r="9771">
      <c r="A9771" s="7">
        <f>HYPERLINK("http://www.lingerieopt.ru/item/8882-muzhskie-poluprozrachnje-trusj-pascal/","8882")</f>
      </c>
      <c r="B9771" s="8" t="s">
        <v>9328</v>
      </c>
      <c r="C9771" s="9">
        <v>597</v>
      </c>
      <c r="D9771" s="0">
        <v>5</v>
      </c>
      <c r="E9771" s="10">
        <f>HYPERLINK("http://www.lingerieopt.ru/images/original/aa3e3a61-67d0-46d6-bb2c-36081f31c3e2.jpg","Фото")</f>
      </c>
    </row>
    <row r="9772">
      <c r="A9772" s="7">
        <f>HYPERLINK("http://www.lingerieopt.ru/item/8882-muzhskie-poluprozrachnje-trusj-pascal/","8882")</f>
      </c>
      <c r="B9772" s="8" t="s">
        <v>9329</v>
      </c>
      <c r="C9772" s="9">
        <v>597</v>
      </c>
      <c r="D9772" s="0">
        <v>5</v>
      </c>
      <c r="E9772" s="10">
        <f>HYPERLINK("http://www.lingerieopt.ru/images/original/aa3e3a61-67d0-46d6-bb2c-36081f31c3e2.jpg","Фото")</f>
      </c>
    </row>
    <row r="9773">
      <c r="A9773" s="7">
        <f>HYPERLINK("http://www.lingerieopt.ru/item/8883-muzhskie-trusj-xavier-so-shnurovkoi/","8883")</f>
      </c>
      <c r="B9773" s="8" t="s">
        <v>9330</v>
      </c>
      <c r="C9773" s="9">
        <v>572</v>
      </c>
      <c r="D9773" s="0">
        <v>6</v>
      </c>
      <c r="E9773" s="10">
        <f>HYPERLINK("http://www.lingerieopt.ru/images/original/15820131-0f1c-4ae3-8469-e7c60d582893.jpg","Фото")</f>
      </c>
    </row>
    <row r="9774">
      <c r="A9774" s="7">
        <f>HYPERLINK("http://www.lingerieopt.ru/item/8883-muzhskie-trusj-xavier-so-shnurovkoi/","8883")</f>
      </c>
      <c r="B9774" s="8" t="s">
        <v>9331</v>
      </c>
      <c r="C9774" s="9">
        <v>572</v>
      </c>
      <c r="D9774" s="0">
        <v>0</v>
      </c>
      <c r="E9774" s="10">
        <f>HYPERLINK("http://www.lingerieopt.ru/images/original/15820131-0f1c-4ae3-8469-e7c60d582893.jpg","Фото")</f>
      </c>
    </row>
    <row r="9775">
      <c r="A9775" s="7">
        <f>HYPERLINK("http://www.lingerieopt.ru/item/8883-muzhskie-trusj-xavier-so-shnurovkoi/","8883")</f>
      </c>
      <c r="B9775" s="8" t="s">
        <v>9332</v>
      </c>
      <c r="C9775" s="9">
        <v>572</v>
      </c>
      <c r="D9775" s="0">
        <v>1</v>
      </c>
      <c r="E9775" s="10">
        <f>HYPERLINK("http://www.lingerieopt.ru/images/original/15820131-0f1c-4ae3-8469-e7c60d582893.jpg","Фото")</f>
      </c>
    </row>
    <row r="9776">
      <c r="A9776" s="7">
        <f>HYPERLINK("http://www.lingerieopt.ru/item/8883-muzhskie-trusj-xavier-so-shnurovkoi/","8883")</f>
      </c>
      <c r="B9776" s="8" t="s">
        <v>9333</v>
      </c>
      <c r="C9776" s="9">
        <v>572</v>
      </c>
      <c r="D9776" s="0">
        <v>4</v>
      </c>
      <c r="E9776" s="10">
        <f>HYPERLINK("http://www.lingerieopt.ru/images/original/15820131-0f1c-4ae3-8469-e7c60d582893.jpg","Фото")</f>
      </c>
    </row>
    <row r="9777">
      <c r="A9777" s="7">
        <f>HYPERLINK("http://www.lingerieopt.ru/item/8883-muzhskie-trusj-xavier-so-shnurovkoi/","8883")</f>
      </c>
      <c r="B9777" s="8" t="s">
        <v>9334</v>
      </c>
      <c r="C9777" s="9">
        <v>572</v>
      </c>
      <c r="D9777" s="0">
        <v>0</v>
      </c>
      <c r="E9777" s="10">
        <f>HYPERLINK("http://www.lingerieopt.ru/images/original/15820131-0f1c-4ae3-8469-e7c60d582893.jpg","Фото")</f>
      </c>
    </row>
    <row r="9778">
      <c r="A9778" s="7">
        <f>HYPERLINK("http://www.lingerieopt.ru/item/8883-muzhskie-trusj-xavier-so-shnurovkoi/","8883")</f>
      </c>
      <c r="B9778" s="8" t="s">
        <v>9335</v>
      </c>
      <c r="C9778" s="9">
        <v>572</v>
      </c>
      <c r="D9778" s="0">
        <v>0</v>
      </c>
      <c r="E9778" s="10">
        <f>HYPERLINK("http://www.lingerieopt.ru/images/original/15820131-0f1c-4ae3-8469-e7c60d582893.jpg","Фото")</f>
      </c>
    </row>
    <row r="9779">
      <c r="A9779" s="7">
        <f>HYPERLINK("http://www.lingerieopt.ru/item/8883-muzhskie-trusj-xavier-so-shnurovkoi/","8883")</f>
      </c>
      <c r="B9779" s="8" t="s">
        <v>9336</v>
      </c>
      <c r="C9779" s="9">
        <v>572</v>
      </c>
      <c r="D9779" s="0">
        <v>4</v>
      </c>
      <c r="E9779" s="10">
        <f>HYPERLINK("http://www.lingerieopt.ru/images/original/15820131-0f1c-4ae3-8469-e7c60d582893.jpg","Фото")</f>
      </c>
    </row>
    <row r="9780">
      <c r="A9780" s="7">
        <f>HYPERLINK("http://www.lingerieopt.ru/item/8883-muzhskie-trusj-xavier-so-shnurovkoi/","8883")</f>
      </c>
      <c r="B9780" s="8" t="s">
        <v>9337</v>
      </c>
      <c r="C9780" s="9">
        <v>572</v>
      </c>
      <c r="D9780" s="0">
        <v>1</v>
      </c>
      <c r="E9780" s="10">
        <f>HYPERLINK("http://www.lingerieopt.ru/images/original/15820131-0f1c-4ae3-8469-e7c60d582893.jpg","Фото")</f>
      </c>
    </row>
    <row r="9781">
      <c r="A9781" s="7">
        <f>HYPERLINK("http://www.lingerieopt.ru/item/8883-muzhskie-trusj-xavier-so-shnurovkoi/","8883")</f>
      </c>
      <c r="B9781" s="8" t="s">
        <v>9338</v>
      </c>
      <c r="C9781" s="9">
        <v>572</v>
      </c>
      <c r="D9781" s="0">
        <v>1</v>
      </c>
      <c r="E9781" s="10">
        <f>HYPERLINK("http://www.lingerieopt.ru/images/original/15820131-0f1c-4ae3-8469-e7c60d582893.jpg","Фото")</f>
      </c>
    </row>
    <row r="9782">
      <c r="A9782" s="7">
        <f>HYPERLINK("http://www.lingerieopt.ru/item/8884-kruzhevje-muzhskie-trusj-etienne/","8884")</f>
      </c>
      <c r="B9782" s="8" t="s">
        <v>9339</v>
      </c>
      <c r="C9782" s="9">
        <v>597</v>
      </c>
      <c r="D9782" s="0">
        <v>4</v>
      </c>
      <c r="E9782" s="10">
        <f>HYPERLINK("http://www.lingerieopt.ru/images/original/b1969e03-b69b-4510-9a50-1b41164a378a.jpg","Фото")</f>
      </c>
    </row>
    <row r="9783">
      <c r="A9783" s="7">
        <f>HYPERLINK("http://www.lingerieopt.ru/item/8884-kruzhevje-muzhskie-trusj-etienne/","8884")</f>
      </c>
      <c r="B9783" s="8" t="s">
        <v>9340</v>
      </c>
      <c r="C9783" s="9">
        <v>597</v>
      </c>
      <c r="D9783" s="0">
        <v>6</v>
      </c>
      <c r="E9783" s="10">
        <f>HYPERLINK("http://www.lingerieopt.ru/images/original/b1969e03-b69b-4510-9a50-1b41164a378a.jpg","Фото")</f>
      </c>
    </row>
    <row r="9784">
      <c r="A9784" s="7">
        <f>HYPERLINK("http://www.lingerieopt.ru/item/8884-kruzhevje-muzhskie-trusj-etienne/","8884")</f>
      </c>
      <c r="B9784" s="8" t="s">
        <v>9341</v>
      </c>
      <c r="C9784" s="9">
        <v>597</v>
      </c>
      <c r="D9784" s="0">
        <v>0</v>
      </c>
      <c r="E9784" s="10">
        <f>HYPERLINK("http://www.lingerieopt.ru/images/original/b1969e03-b69b-4510-9a50-1b41164a378a.jpg","Фото")</f>
      </c>
    </row>
    <row r="9785">
      <c r="A9785" s="7">
        <f>HYPERLINK("http://www.lingerieopt.ru/item/8885-muzhskie-trusj-setka-jerome/","8885")</f>
      </c>
      <c r="B9785" s="8" t="s">
        <v>9342</v>
      </c>
      <c r="C9785" s="9">
        <v>572</v>
      </c>
      <c r="D9785" s="0">
        <v>5</v>
      </c>
      <c r="E9785" s="10">
        <f>HYPERLINK("http://www.lingerieopt.ru/images/original/294a13e4-8344-4851-8c21-497c944166d6.jpg","Фото")</f>
      </c>
    </row>
    <row r="9786">
      <c r="A9786" s="7">
        <f>HYPERLINK("http://www.lingerieopt.ru/item/8885-muzhskie-trusj-setka-jerome/","8885")</f>
      </c>
      <c r="B9786" s="8" t="s">
        <v>9343</v>
      </c>
      <c r="C9786" s="9">
        <v>572</v>
      </c>
      <c r="D9786" s="0">
        <v>5</v>
      </c>
      <c r="E9786" s="10">
        <f>HYPERLINK("http://www.lingerieopt.ru/images/original/294a13e4-8344-4851-8c21-497c944166d6.jpg","Фото")</f>
      </c>
    </row>
    <row r="9787">
      <c r="A9787" s="7">
        <f>HYPERLINK("http://www.lingerieopt.ru/item/8885-muzhskie-trusj-setka-jerome/","8885")</f>
      </c>
      <c r="B9787" s="8" t="s">
        <v>9344</v>
      </c>
      <c r="C9787" s="9">
        <v>572</v>
      </c>
      <c r="D9787" s="0">
        <v>2</v>
      </c>
      <c r="E9787" s="10">
        <f>HYPERLINK("http://www.lingerieopt.ru/images/original/294a13e4-8344-4851-8c21-497c944166d6.jpg","Фото")</f>
      </c>
    </row>
    <row r="9788">
      <c r="A9788" s="7">
        <f>HYPERLINK("http://www.lingerieopt.ru/item/8886-muzhskie-trusj-manuel-s-prozrachnoi-zadnei-chastyu/","8886")</f>
      </c>
      <c r="B9788" s="8" t="s">
        <v>9345</v>
      </c>
      <c r="C9788" s="9">
        <v>597</v>
      </c>
      <c r="D9788" s="0">
        <v>3</v>
      </c>
      <c r="E9788" s="10">
        <f>HYPERLINK("http://www.lingerieopt.ru/images/original/dec442b7-16c8-460b-80ae-d238aa74e2ed.jpg","Фото")</f>
      </c>
    </row>
    <row r="9789">
      <c r="A9789" s="7">
        <f>HYPERLINK("http://www.lingerieopt.ru/item/8886-muzhskie-trusj-manuel-s-prozrachnoi-zadnei-chastyu/","8886")</f>
      </c>
      <c r="B9789" s="8" t="s">
        <v>9346</v>
      </c>
      <c r="C9789" s="9">
        <v>597</v>
      </c>
      <c r="D9789" s="0">
        <v>3</v>
      </c>
      <c r="E9789" s="10">
        <f>HYPERLINK("http://www.lingerieopt.ru/images/original/dec442b7-16c8-460b-80ae-d238aa74e2ed.jpg","Фото")</f>
      </c>
    </row>
    <row r="9790">
      <c r="A9790" s="7">
        <f>HYPERLINK("http://www.lingerieopt.ru/item/8886-muzhskie-trusj-manuel-s-prozrachnoi-zadnei-chastyu/","8886")</f>
      </c>
      <c r="B9790" s="8" t="s">
        <v>9347</v>
      </c>
      <c r="C9790" s="9">
        <v>597</v>
      </c>
      <c r="D9790" s="0">
        <v>0</v>
      </c>
      <c r="E9790" s="10">
        <f>HYPERLINK("http://www.lingerieopt.ru/images/original/dec442b7-16c8-460b-80ae-d238aa74e2ed.jpg","Фото")</f>
      </c>
    </row>
    <row r="9791">
      <c r="A9791" s="7">
        <f>HYPERLINK("http://www.lingerieopt.ru/item/8886-muzhskie-trusj-manuel-s-prozrachnoi-zadnei-chastyu/","8886")</f>
      </c>
      <c r="B9791" s="8" t="s">
        <v>9348</v>
      </c>
      <c r="C9791" s="9">
        <v>597</v>
      </c>
      <c r="D9791" s="0">
        <v>0</v>
      </c>
      <c r="E9791" s="10">
        <f>HYPERLINK("http://www.lingerieopt.ru/images/original/dec442b7-16c8-460b-80ae-d238aa74e2ed.jpg","Фото")</f>
      </c>
    </row>
    <row r="9792">
      <c r="A9792" s="7">
        <f>HYPERLINK("http://www.lingerieopt.ru/item/8886-muzhskie-trusj-manuel-s-prozrachnoi-zadnei-chastyu/","8886")</f>
      </c>
      <c r="B9792" s="8" t="s">
        <v>9349</v>
      </c>
      <c r="C9792" s="9">
        <v>597</v>
      </c>
      <c r="D9792" s="0">
        <v>3</v>
      </c>
      <c r="E9792" s="10">
        <f>HYPERLINK("http://www.lingerieopt.ru/images/original/dec442b7-16c8-460b-80ae-d238aa74e2ed.jpg","Фото")</f>
      </c>
    </row>
    <row r="9793">
      <c r="A9793" s="7">
        <f>HYPERLINK("http://www.lingerieopt.ru/item/8886-muzhskie-trusj-manuel-s-prozrachnoi-zadnei-chastyu/","8886")</f>
      </c>
      <c r="B9793" s="8" t="s">
        <v>9350</v>
      </c>
      <c r="C9793" s="9">
        <v>597</v>
      </c>
      <c r="D9793" s="0">
        <v>1</v>
      </c>
      <c r="E9793" s="10">
        <f>HYPERLINK("http://www.lingerieopt.ru/images/original/dec442b7-16c8-460b-80ae-d238aa74e2ed.jpg","Фото")</f>
      </c>
    </row>
    <row r="9794">
      <c r="A9794" s="7">
        <f>HYPERLINK("http://www.lingerieopt.ru/item/8886-muzhskie-trusj-manuel-s-prozrachnoi-zadnei-chastyu/","8886")</f>
      </c>
      <c r="B9794" s="8" t="s">
        <v>9351</v>
      </c>
      <c r="C9794" s="9">
        <v>597</v>
      </c>
      <c r="D9794" s="0">
        <v>0</v>
      </c>
      <c r="E9794" s="10">
        <f>HYPERLINK("http://www.lingerieopt.ru/images/original/dec442b7-16c8-460b-80ae-d238aa74e2ed.jpg","Фото")</f>
      </c>
    </row>
    <row r="9795">
      <c r="A9795" s="7">
        <f>HYPERLINK("http://www.lingerieopt.ru/item/8886-muzhskie-trusj-manuel-s-prozrachnoi-zadnei-chastyu/","8886")</f>
      </c>
      <c r="B9795" s="8" t="s">
        <v>9352</v>
      </c>
      <c r="C9795" s="9">
        <v>597</v>
      </c>
      <c r="D9795" s="0">
        <v>0</v>
      </c>
      <c r="E9795" s="10">
        <f>HYPERLINK("http://www.lingerieopt.ru/images/original/dec442b7-16c8-460b-80ae-d238aa74e2ed.jpg","Фото")</f>
      </c>
    </row>
    <row r="9796">
      <c r="A9796" s="7">
        <f>HYPERLINK("http://www.lingerieopt.ru/item/8886-muzhskie-trusj-manuel-s-prozrachnoi-zadnei-chastyu/","8886")</f>
      </c>
      <c r="B9796" s="8" t="s">
        <v>9353</v>
      </c>
      <c r="C9796" s="9">
        <v>597</v>
      </c>
      <c r="D9796" s="0">
        <v>0</v>
      </c>
      <c r="E9796" s="10">
        <f>HYPERLINK("http://www.lingerieopt.ru/images/original/dec442b7-16c8-460b-80ae-d238aa74e2ed.jpg","Фото")</f>
      </c>
    </row>
    <row r="9797">
      <c r="A9797" s="7">
        <f>HYPERLINK("http://www.lingerieopt.ru/item/8902-serje-tonkie-muzhskie-trusj-hipsj/","8902")</f>
      </c>
      <c r="B9797" s="8" t="s">
        <v>9354</v>
      </c>
      <c r="C9797" s="9">
        <v>423</v>
      </c>
      <c r="D9797" s="0">
        <v>6</v>
      </c>
      <c r="E9797" s="10">
        <f>HYPERLINK("http://www.lingerieopt.ru/images/original/6cf22057-487b-4597-b6ba-96faccb2e981.jpg","Фото")</f>
      </c>
    </row>
    <row r="9798">
      <c r="A9798" s="7">
        <f>HYPERLINK("http://www.lingerieopt.ru/item/8902-serje-tonkie-muzhskie-trusj-hipsj/","8902")</f>
      </c>
      <c r="B9798" s="8" t="s">
        <v>9355</v>
      </c>
      <c r="C9798" s="9">
        <v>423</v>
      </c>
      <c r="D9798" s="0">
        <v>3</v>
      </c>
      <c r="E9798" s="10">
        <f>HYPERLINK("http://www.lingerieopt.ru/images/original/6cf22057-487b-4597-b6ba-96faccb2e981.jpg","Фото")</f>
      </c>
    </row>
    <row r="9799">
      <c r="A9799" s="7">
        <f>HYPERLINK("http://www.lingerieopt.ru/item/8902-serje-tonkie-muzhskie-trusj-hipsj/","8902")</f>
      </c>
      <c r="B9799" s="8" t="s">
        <v>9356</v>
      </c>
      <c r="C9799" s="9">
        <v>423</v>
      </c>
      <c r="D9799" s="0">
        <v>3</v>
      </c>
      <c r="E9799" s="10">
        <f>HYPERLINK("http://www.lingerieopt.ru/images/original/6cf22057-487b-4597-b6ba-96faccb2e981.jpg","Фото")</f>
      </c>
    </row>
    <row r="9800">
      <c r="A9800" s="7">
        <f>HYPERLINK("http://www.lingerieopt.ru/item/8903-kruzhevnje-muzhskie-trusj-hipsj-s-cvetochnjm-uzorom/","8903")</f>
      </c>
      <c r="B9800" s="8" t="s">
        <v>9357</v>
      </c>
      <c r="C9800" s="9">
        <v>423</v>
      </c>
      <c r="D9800" s="0">
        <v>0</v>
      </c>
      <c r="E9800" s="10">
        <f>HYPERLINK("http://www.lingerieopt.ru/images/original/e3bdb14c-603a-4021-8aa2-be3d458ca24e.jpg","Фото")</f>
      </c>
    </row>
    <row r="9801">
      <c r="A9801" s="7">
        <f>HYPERLINK("http://www.lingerieopt.ru/item/8903-kruzhevnje-muzhskie-trusj-hipsj-s-cvetochnjm-uzorom/","8903")</f>
      </c>
      <c r="B9801" s="8" t="s">
        <v>9358</v>
      </c>
      <c r="C9801" s="9">
        <v>423</v>
      </c>
      <c r="D9801" s="0">
        <v>0</v>
      </c>
      <c r="E9801" s="10">
        <f>HYPERLINK("http://www.lingerieopt.ru/images/original/e3bdb14c-603a-4021-8aa2-be3d458ca24e.jpg","Фото")</f>
      </c>
    </row>
    <row r="9802">
      <c r="A9802" s="7">
        <f>HYPERLINK("http://www.lingerieopt.ru/item/8903-kruzhevnje-muzhskie-trusj-hipsj-s-cvetochnjm-uzorom/","8903")</f>
      </c>
      <c r="B9802" s="8" t="s">
        <v>9359</v>
      </c>
      <c r="C9802" s="9">
        <v>423</v>
      </c>
      <c r="D9802" s="0">
        <v>2</v>
      </c>
      <c r="E9802" s="10">
        <f>HYPERLINK("http://www.lingerieopt.ru/images/original/e3bdb14c-603a-4021-8aa2-be3d458ca24e.jpg","Фото")</f>
      </c>
    </row>
    <row r="9803">
      <c r="A9803" s="7">
        <f>HYPERLINK("http://www.lingerieopt.ru/item/8904-muzhskie-trusj-hipsj-s-krupnjm-cvetochnjm-printom/","8904")</f>
      </c>
      <c r="B9803" s="8" t="s">
        <v>9360</v>
      </c>
      <c r="C9803" s="9">
        <v>572</v>
      </c>
      <c r="D9803" s="0">
        <v>3</v>
      </c>
      <c r="E9803" s="10">
        <f>HYPERLINK("http://www.lingerieopt.ru/images/original/01e06af9-50d8-4c32-b9b7-9ccf9fbd0d94.jpg","Фото")</f>
      </c>
    </row>
    <row r="9804">
      <c r="A9804" s="7">
        <f>HYPERLINK("http://www.lingerieopt.ru/item/8904-muzhskie-trusj-hipsj-s-krupnjm-cvetochnjm-printom/","8904")</f>
      </c>
      <c r="B9804" s="8" t="s">
        <v>9361</v>
      </c>
      <c r="C9804" s="9">
        <v>572</v>
      </c>
      <c r="D9804" s="0">
        <v>3</v>
      </c>
      <c r="E9804" s="10">
        <f>HYPERLINK("http://www.lingerieopt.ru/images/original/01e06af9-50d8-4c32-b9b7-9ccf9fbd0d94.jpg","Фото")</f>
      </c>
    </row>
    <row r="9805">
      <c r="A9805" s="7">
        <f>HYPERLINK("http://www.lingerieopt.ru/item/8904-muzhskie-trusj-hipsj-s-krupnjm-cvetochnjm-printom/","8904")</f>
      </c>
      <c r="B9805" s="8" t="s">
        <v>9362</v>
      </c>
      <c r="C9805" s="9">
        <v>572</v>
      </c>
      <c r="D9805" s="0">
        <v>3</v>
      </c>
      <c r="E9805" s="10">
        <f>HYPERLINK("http://www.lingerieopt.ru/images/original/01e06af9-50d8-4c32-b9b7-9ccf9fbd0d94.jpg","Фото")</f>
      </c>
    </row>
    <row r="9806">
      <c r="A9806" s="7">
        <f>HYPERLINK("http://www.lingerieopt.ru/item/8905-semeinje-muzhskie-trusj-s-cvetami-i-babochkami/","8905")</f>
      </c>
      <c r="B9806" s="8" t="s">
        <v>9363</v>
      </c>
      <c r="C9806" s="9">
        <v>637</v>
      </c>
      <c r="D9806" s="0">
        <v>0</v>
      </c>
      <c r="E9806" s="10">
        <f>HYPERLINK("http://www.lingerieopt.ru/images/original/1bc66f27-1b1a-4735-925d-4ac053593572.jpg","Фото")</f>
      </c>
    </row>
    <row r="9807">
      <c r="A9807" s="7">
        <f>HYPERLINK("http://www.lingerieopt.ru/item/8905-semeinje-muzhskie-trusj-s-cvetami-i-babochkami/","8905")</f>
      </c>
      <c r="B9807" s="8" t="s">
        <v>9364</v>
      </c>
      <c r="C9807" s="9">
        <v>637</v>
      </c>
      <c r="D9807" s="0">
        <v>1</v>
      </c>
      <c r="E9807" s="10">
        <f>HYPERLINK("http://www.lingerieopt.ru/images/original/1bc66f27-1b1a-4735-925d-4ac053593572.jpg","Фото")</f>
      </c>
    </row>
    <row r="9808">
      <c r="A9808" s="7">
        <f>HYPERLINK("http://www.lingerieopt.ru/item/8905-semeinje-muzhskie-trusj-s-cvetami-i-babochkami/","8905")</f>
      </c>
      <c r="B9808" s="8" t="s">
        <v>9365</v>
      </c>
      <c r="C9808" s="9">
        <v>637</v>
      </c>
      <c r="D9808" s="0">
        <v>1</v>
      </c>
      <c r="E9808" s="10">
        <f>HYPERLINK("http://www.lingerieopt.ru/images/original/1bc66f27-1b1a-4735-925d-4ac053593572.jpg","Фото")</f>
      </c>
    </row>
    <row r="9809">
      <c r="A9809" s="7">
        <f>HYPERLINK("http://www.lingerieopt.ru/item/8949-bezhevje-semeinje-trusj-v-cvetochek/","8949")</f>
      </c>
      <c r="B9809" s="8" t="s">
        <v>9366</v>
      </c>
      <c r="C9809" s="9">
        <v>637</v>
      </c>
      <c r="D9809" s="0">
        <v>1</v>
      </c>
      <c r="E9809" s="10">
        <f>HYPERLINK("http://www.lingerieopt.ru/images/original/b7f4966b-d1f4-435b-a6b1-a5bd3d93e077.jpg","Фото")</f>
      </c>
    </row>
    <row r="9810">
      <c r="A9810" s="7">
        <f>HYPERLINK("http://www.lingerieopt.ru/item/8949-bezhevje-semeinje-trusj-v-cvetochek/","8949")</f>
      </c>
      <c r="B9810" s="8" t="s">
        <v>9367</v>
      </c>
      <c r="C9810" s="9">
        <v>637</v>
      </c>
      <c r="D9810" s="0">
        <v>3</v>
      </c>
      <c r="E9810" s="10">
        <f>HYPERLINK("http://www.lingerieopt.ru/images/original/b7f4966b-d1f4-435b-a6b1-a5bd3d93e077.jpg","Фото")</f>
      </c>
    </row>
    <row r="9811">
      <c r="A9811" s="7">
        <f>HYPERLINK("http://www.lingerieopt.ru/item/8949-bezhevje-semeinje-trusj-v-cvetochek/","8949")</f>
      </c>
      <c r="B9811" s="8" t="s">
        <v>9368</v>
      </c>
      <c r="C9811" s="9">
        <v>637</v>
      </c>
      <c r="D9811" s="0">
        <v>0</v>
      </c>
      <c r="E9811" s="10">
        <f>HYPERLINK("http://www.lingerieopt.ru/images/original/b7f4966b-d1f4-435b-a6b1-a5bd3d93e077.jpg","Фото")</f>
      </c>
    </row>
    <row r="9812">
      <c r="A9812" s="7">
        <f>HYPERLINK("http://www.lingerieopt.ru/item/8950-semeinje-trusj-v-cvetochek-s-vjshivkoi/","8950")</f>
      </c>
      <c r="B9812" s="8" t="s">
        <v>9369</v>
      </c>
      <c r="C9812" s="9">
        <v>637</v>
      </c>
      <c r="D9812" s="0">
        <v>2</v>
      </c>
      <c r="E9812" s="10">
        <f>HYPERLINK("http://www.lingerieopt.ru/images/original/37575448-22fe-49f3-af83-099c8f030c66.jpg","Фото")</f>
      </c>
    </row>
    <row r="9813">
      <c r="A9813" s="7">
        <f>HYPERLINK("http://www.lingerieopt.ru/item/8950-semeinje-trusj-v-cvetochek-s-vjshivkoi/","8950")</f>
      </c>
      <c r="B9813" s="8" t="s">
        <v>9370</v>
      </c>
      <c r="C9813" s="9">
        <v>637</v>
      </c>
      <c r="D9813" s="0">
        <v>1</v>
      </c>
      <c r="E9813" s="10">
        <f>HYPERLINK("http://www.lingerieopt.ru/images/original/37575448-22fe-49f3-af83-099c8f030c66.jpg","Фото")</f>
      </c>
    </row>
    <row r="9814">
      <c r="A9814" s="7">
        <f>HYPERLINK("http://www.lingerieopt.ru/item/8950-semeinje-trusj-v-cvetochek-s-vjshivkoi/","8950")</f>
      </c>
      <c r="B9814" s="8" t="s">
        <v>9371</v>
      </c>
      <c r="C9814" s="9">
        <v>637</v>
      </c>
      <c r="D9814" s="0">
        <v>1</v>
      </c>
      <c r="E9814" s="10">
        <f>HYPERLINK("http://www.lingerieopt.ru/images/original/37575448-22fe-49f3-af83-099c8f030c66.jpg","Фото")</f>
      </c>
    </row>
    <row r="9815">
      <c r="A9815" s="7">
        <f>HYPERLINK("http://www.lingerieopt.ru/item/9043-chernje-muzhskie-stringi-iz-materiala-pod-kozhu/","9043")</f>
      </c>
      <c r="B9815" s="8" t="s">
        <v>9372</v>
      </c>
      <c r="C9815" s="9">
        <v>611</v>
      </c>
      <c r="D9815" s="0">
        <v>0</v>
      </c>
      <c r="E9815" s="10">
        <f>HYPERLINK("http://www.lingerieopt.ru/images/original/c2121461-224a-490b-866d-90dd34eda04a.jpg","Фото")</f>
      </c>
    </row>
    <row r="9816">
      <c r="A9816" s="7">
        <f>HYPERLINK("http://www.lingerieopt.ru/item/9043-chernje-muzhskie-stringi-iz-materiala-pod-kozhu/","9043")</f>
      </c>
      <c r="B9816" s="8" t="s">
        <v>9373</v>
      </c>
      <c r="C9816" s="9">
        <v>611</v>
      </c>
      <c r="D9816" s="0">
        <v>0</v>
      </c>
      <c r="E9816" s="10">
        <f>HYPERLINK("http://www.lingerieopt.ru/images/original/c2121461-224a-490b-866d-90dd34eda04a.jpg","Фото")</f>
      </c>
    </row>
    <row r="9817">
      <c r="A9817" s="7">
        <f>HYPERLINK("http://www.lingerieopt.ru/item/9043-chernje-muzhskie-stringi-iz-materiala-pod-kozhu/","9043")</f>
      </c>
      <c r="B9817" s="8" t="s">
        <v>9374</v>
      </c>
      <c r="C9817" s="9">
        <v>611</v>
      </c>
      <c r="D9817" s="0">
        <v>2</v>
      </c>
      <c r="E9817" s="10">
        <f>HYPERLINK("http://www.lingerieopt.ru/images/original/c2121461-224a-490b-866d-90dd34eda04a.jpg","Фото")</f>
      </c>
    </row>
    <row r="9818">
      <c r="A9818" s="7">
        <f>HYPERLINK("http://www.lingerieopt.ru/item/9476-muzhskie-trusj-stringi-gerry/","9476")</f>
      </c>
      <c r="B9818" s="8" t="s">
        <v>9375</v>
      </c>
      <c r="C9818" s="9">
        <v>450</v>
      </c>
      <c r="D9818" s="0">
        <v>4</v>
      </c>
      <c r="E9818" s="10">
        <f>HYPERLINK("http://www.lingerieopt.ru/images/original/142df312-be23-4a5d-928d-7ea5e0f0eb8e.jpg","Фото")</f>
      </c>
    </row>
    <row r="9819">
      <c r="A9819" s="7">
        <f>HYPERLINK("http://www.lingerieopt.ru/item/9476-muzhskie-trusj-stringi-gerry/","9476")</f>
      </c>
      <c r="B9819" s="8" t="s">
        <v>9376</v>
      </c>
      <c r="C9819" s="9">
        <v>450</v>
      </c>
      <c r="D9819" s="0">
        <v>6</v>
      </c>
      <c r="E9819" s="10">
        <f>HYPERLINK("http://www.lingerieopt.ru/images/original/142df312-be23-4a5d-928d-7ea5e0f0eb8e.jpg","Фото")</f>
      </c>
    </row>
    <row r="9820">
      <c r="A9820" s="7">
        <f>HYPERLINK("http://www.lingerieopt.ru/item/9476-muzhskie-trusj-stringi-gerry/","9476")</f>
      </c>
      <c r="B9820" s="8" t="s">
        <v>9377</v>
      </c>
      <c r="C9820" s="9">
        <v>450</v>
      </c>
      <c r="D9820" s="0">
        <v>4</v>
      </c>
      <c r="E9820" s="10">
        <f>HYPERLINK("http://www.lingerieopt.ru/images/original/142df312-be23-4a5d-928d-7ea5e0f0eb8e.jpg","Фото")</f>
      </c>
    </row>
    <row r="9821">
      <c r="A9821" s="7">
        <f>HYPERLINK("http://www.lingerieopt.ru/item/9476-muzhskie-trusj-stringi-gerry/","9476")</f>
      </c>
      <c r="B9821" s="8" t="s">
        <v>9378</v>
      </c>
      <c r="C9821" s="9">
        <v>450</v>
      </c>
      <c r="D9821" s="0">
        <v>5</v>
      </c>
      <c r="E9821" s="10">
        <f>HYPERLINK("http://www.lingerieopt.ru/images/original/142df312-be23-4a5d-928d-7ea5e0f0eb8e.jpg","Фото")</f>
      </c>
    </row>
    <row r="9822">
      <c r="A9822" s="7">
        <f>HYPERLINK("http://www.lingerieopt.ru/item/9477-trusj-stringi-dexter-s-effektom-mokroi-tkani/","9477")</f>
      </c>
      <c r="B9822" s="8" t="s">
        <v>9379</v>
      </c>
      <c r="C9822" s="9">
        <v>500</v>
      </c>
      <c r="D9822" s="0">
        <v>5</v>
      </c>
      <c r="E9822" s="10">
        <f>HYPERLINK("http://www.lingerieopt.ru/images/original/89211690-a25e-40f9-acdd-c4b5410886f1.jpg","Фото")</f>
      </c>
    </row>
    <row r="9823">
      <c r="A9823" s="7">
        <f>HYPERLINK("http://www.lingerieopt.ru/item/9477-trusj-stringi-dexter-s-effektom-mokroi-tkani/","9477")</f>
      </c>
      <c r="B9823" s="8" t="s">
        <v>9380</v>
      </c>
      <c r="C9823" s="9">
        <v>500</v>
      </c>
      <c r="D9823" s="0">
        <v>7</v>
      </c>
      <c r="E9823" s="10">
        <f>HYPERLINK("http://www.lingerieopt.ru/images/original/89211690-a25e-40f9-acdd-c4b5410886f1.jpg","Фото")</f>
      </c>
    </row>
    <row r="9824">
      <c r="A9824" s="7">
        <f>HYPERLINK("http://www.lingerieopt.ru/item/9477-trusj-stringi-dexter-s-effektom-mokroi-tkani/","9477")</f>
      </c>
      <c r="B9824" s="8" t="s">
        <v>9381</v>
      </c>
      <c r="C9824" s="9">
        <v>500</v>
      </c>
      <c r="D9824" s="0">
        <v>5</v>
      </c>
      <c r="E9824" s="10">
        <f>HYPERLINK("http://www.lingerieopt.ru/images/original/89211690-a25e-40f9-acdd-c4b5410886f1.jpg","Фото")</f>
      </c>
    </row>
    <row r="9825">
      <c r="A9825" s="7">
        <f>HYPERLINK("http://www.lingerieopt.ru/item/9477-trusj-stringi-dexter-s-effektom-mokroi-tkani/","9477")</f>
      </c>
      <c r="B9825" s="8" t="s">
        <v>9382</v>
      </c>
      <c r="C9825" s="9">
        <v>500</v>
      </c>
      <c r="D9825" s="0">
        <v>5</v>
      </c>
      <c r="E9825" s="10">
        <f>HYPERLINK("http://www.lingerieopt.ru/images/original/89211690-a25e-40f9-acdd-c4b5410886f1.jpg","Фото")</f>
      </c>
    </row>
    <row r="9826">
      <c r="A9826" s="7">
        <f>HYPERLINK("http://www.lingerieopt.ru/item/9478-trusiki-stringi-oficianta-justin-v-komplekte-s-babochkoi-na-sheyu/","9478")</f>
      </c>
      <c r="B9826" s="8" t="s">
        <v>9383</v>
      </c>
      <c r="C9826" s="9">
        <v>602</v>
      </c>
      <c r="D9826" s="0">
        <v>6</v>
      </c>
      <c r="E9826" s="10">
        <f>HYPERLINK("http://www.lingerieopt.ru/images/original/5c2b8370-9dea-4f17-be95-b3489bb2546c.jpg","Фото")</f>
      </c>
    </row>
    <row r="9827">
      <c r="A9827" s="7">
        <f>HYPERLINK("http://www.lingerieopt.ru/item/9478-trusiki-stringi-oficianta-justin-v-komplekte-s-babochkoi-na-sheyu/","9478")</f>
      </c>
      <c r="B9827" s="8" t="s">
        <v>9384</v>
      </c>
      <c r="C9827" s="9">
        <v>602</v>
      </c>
      <c r="D9827" s="0">
        <v>5</v>
      </c>
      <c r="E9827" s="10">
        <f>HYPERLINK("http://www.lingerieopt.ru/images/original/5c2b8370-9dea-4f17-be95-b3489bb2546c.jpg","Фото")</f>
      </c>
    </row>
    <row r="9828">
      <c r="A9828" s="7">
        <f>HYPERLINK("http://www.lingerieopt.ru/item/9478-trusiki-stringi-oficianta-justin-v-komplekte-s-babochkoi-na-sheyu/","9478")</f>
      </c>
      <c r="B9828" s="8" t="s">
        <v>9385</v>
      </c>
      <c r="C9828" s="9">
        <v>602</v>
      </c>
      <c r="D9828" s="0">
        <v>3</v>
      </c>
      <c r="E9828" s="10">
        <f>HYPERLINK("http://www.lingerieopt.ru/images/original/5c2b8370-9dea-4f17-be95-b3489bb2546c.jpg","Фото")</f>
      </c>
    </row>
    <row r="9829">
      <c r="A9829" s="7">
        <f>HYPERLINK("http://www.lingerieopt.ru/item/9478-trusiki-stringi-oficianta-justin-v-komplekte-s-babochkoi-na-sheyu/","9478")</f>
      </c>
      <c r="B9829" s="8" t="s">
        <v>9386</v>
      </c>
      <c r="C9829" s="9">
        <v>602</v>
      </c>
      <c r="D9829" s="0">
        <v>6</v>
      </c>
      <c r="E9829" s="10">
        <f>HYPERLINK("http://www.lingerieopt.ru/images/original/5c2b8370-9dea-4f17-be95-b3489bb2546c.jpg","Фото")</f>
      </c>
    </row>
    <row r="9830">
      <c r="A9830" s="7">
        <f>HYPERLINK("http://www.lingerieopt.ru/item/9684-fioletovje-muzhskie-trusj-slipj/","9684")</f>
      </c>
      <c r="B9830" s="8" t="s">
        <v>9387</v>
      </c>
      <c r="C9830" s="9">
        <v>624</v>
      </c>
      <c r="D9830" s="0">
        <v>6</v>
      </c>
      <c r="E9830" s="10">
        <f>HYPERLINK("http://www.lingerieopt.ru/images/original/98ac685e-382f-489c-b634-3e3a9b778335.jpg","Фото")</f>
      </c>
    </row>
    <row r="9831">
      <c r="A9831" s="7">
        <f>HYPERLINK("http://www.lingerieopt.ru/item/9684-fioletovje-muzhskie-trusj-slipj/","9684")</f>
      </c>
      <c r="B9831" s="8" t="s">
        <v>9388</v>
      </c>
      <c r="C9831" s="9">
        <v>624</v>
      </c>
      <c r="D9831" s="0">
        <v>5</v>
      </c>
      <c r="E9831" s="10">
        <f>HYPERLINK("http://www.lingerieopt.ru/images/original/98ac685e-382f-489c-b634-3e3a9b778335.jpg","Фото")</f>
      </c>
    </row>
    <row r="9832">
      <c r="A9832" s="7">
        <f>HYPERLINK("http://www.lingerieopt.ru/item/9684-fioletovje-muzhskie-trusj-slipj/","9684")</f>
      </c>
      <c r="B9832" s="8" t="s">
        <v>9389</v>
      </c>
      <c r="C9832" s="9">
        <v>624</v>
      </c>
      <c r="D9832" s="0">
        <v>4</v>
      </c>
      <c r="E9832" s="10">
        <f>HYPERLINK("http://www.lingerieopt.ru/images/original/98ac685e-382f-489c-b634-3e3a9b778335.jpg","Фото")</f>
      </c>
    </row>
    <row r="9833">
      <c r="A9833" s="7">
        <f>HYPERLINK("http://www.lingerieopt.ru/item/9742-muzhskie-trusj-laurent/","9742")</f>
      </c>
      <c r="B9833" s="8" t="s">
        <v>9390</v>
      </c>
      <c r="C9833" s="9">
        <v>572</v>
      </c>
      <c r="D9833" s="0">
        <v>6</v>
      </c>
      <c r="E9833" s="10">
        <f>HYPERLINK("http://www.lingerieopt.ru/images/original/2e97dfd1-8b53-4353-963a-965822a9fdac.jpg","Фото")</f>
      </c>
    </row>
    <row r="9834">
      <c r="A9834" s="7">
        <f>HYPERLINK("http://www.lingerieopt.ru/item/9742-muzhskie-trusj-laurent/","9742")</f>
      </c>
      <c r="B9834" s="8" t="s">
        <v>9391</v>
      </c>
      <c r="C9834" s="9">
        <v>572</v>
      </c>
      <c r="D9834" s="0">
        <v>5</v>
      </c>
      <c r="E9834" s="10">
        <f>HYPERLINK("http://www.lingerieopt.ru/images/original/2e97dfd1-8b53-4353-963a-965822a9fdac.jpg","Фото")</f>
      </c>
    </row>
    <row r="9835">
      <c r="A9835" s="7">
        <f>HYPERLINK("http://www.lingerieopt.ru/item/9742-muzhskie-trusj-laurent/","9742")</f>
      </c>
      <c r="B9835" s="8" t="s">
        <v>9392</v>
      </c>
      <c r="C9835" s="9">
        <v>572</v>
      </c>
      <c r="D9835" s="0">
        <v>2</v>
      </c>
      <c r="E9835" s="10">
        <f>HYPERLINK("http://www.lingerieopt.ru/images/original/2e97dfd1-8b53-4353-963a-965822a9fdac.jpg","Фото")</f>
      </c>
    </row>
    <row r="9836">
      <c r="A9836" s="7">
        <f>HYPERLINK("http://www.lingerieopt.ru/item/9742-muzhskie-trusj-laurent/","9742")</f>
      </c>
      <c r="B9836" s="8" t="s">
        <v>9393</v>
      </c>
      <c r="C9836" s="9">
        <v>572</v>
      </c>
      <c r="D9836" s="0">
        <v>4</v>
      </c>
      <c r="E9836" s="10">
        <f>HYPERLINK("http://www.lingerieopt.ru/images/original/2e97dfd1-8b53-4353-963a-965822a9fdac.jpg","Фото")</f>
      </c>
    </row>
    <row r="9837">
      <c r="A9837" s="7">
        <f>HYPERLINK("http://www.lingerieopt.ru/item/9742-muzhskie-trusj-laurent/","9742")</f>
      </c>
      <c r="B9837" s="8" t="s">
        <v>9394</v>
      </c>
      <c r="C9837" s="9">
        <v>572</v>
      </c>
      <c r="D9837" s="0">
        <v>4</v>
      </c>
      <c r="E9837" s="10">
        <f>HYPERLINK("http://www.lingerieopt.ru/images/original/2e97dfd1-8b53-4353-963a-965822a9fdac.jpg","Фото")</f>
      </c>
    </row>
    <row r="9838">
      <c r="A9838" s="7">
        <f>HYPERLINK("http://www.lingerieopt.ru/item/9742-muzhskie-trusj-laurent/","9742")</f>
      </c>
      <c r="B9838" s="8" t="s">
        <v>9395</v>
      </c>
      <c r="C9838" s="9">
        <v>572</v>
      </c>
      <c r="D9838" s="0">
        <v>2</v>
      </c>
      <c r="E9838" s="10">
        <f>HYPERLINK("http://www.lingerieopt.ru/images/original/2e97dfd1-8b53-4353-963a-965822a9fdac.jpg","Фото")</f>
      </c>
    </row>
    <row r="9839">
      <c r="A9839" s="7">
        <f>HYPERLINK("http://www.lingerieopt.ru/item/9744-trusj-shortj-oficianta/","9744")</f>
      </c>
      <c r="B9839" s="8" t="s">
        <v>9396</v>
      </c>
      <c r="C9839" s="9">
        <v>936</v>
      </c>
      <c r="D9839" s="0">
        <v>5</v>
      </c>
      <c r="E9839" s="10">
        <f>HYPERLINK("http://www.lingerieopt.ru/images/original/48e8379a-2bff-4de2-abde-8d23937d85a6.jpg","Фото")</f>
      </c>
    </row>
    <row r="9840">
      <c r="A9840" s="7">
        <f>HYPERLINK("http://www.lingerieopt.ru/item/9744-trusj-shortj-oficianta/","9744")</f>
      </c>
      <c r="B9840" s="8" t="s">
        <v>9397</v>
      </c>
      <c r="C9840" s="9">
        <v>936</v>
      </c>
      <c r="D9840" s="0">
        <v>6</v>
      </c>
      <c r="E9840" s="10">
        <f>HYPERLINK("http://www.lingerieopt.ru/images/original/48e8379a-2bff-4de2-abde-8d23937d85a6.jpg","Фото")</f>
      </c>
    </row>
    <row r="9841">
      <c r="A9841" s="7">
        <f>HYPERLINK("http://www.lingerieopt.ru/item/9744-trusj-shortj-oficianta/","9744")</f>
      </c>
      <c r="B9841" s="8" t="s">
        <v>9398</v>
      </c>
      <c r="C9841" s="9">
        <v>936</v>
      </c>
      <c r="D9841" s="0">
        <v>5</v>
      </c>
      <c r="E9841" s="10">
        <f>HYPERLINK("http://www.lingerieopt.ru/images/original/48e8379a-2bff-4de2-abde-8d23937d85a6.jpg","Фото")</f>
      </c>
    </row>
    <row r="9842">
      <c r="A9842" s="7">
        <f>HYPERLINK("http://www.lingerieopt.ru/item/10205-trusiki-oficianta-s-aksessuarami/","10205")</f>
      </c>
      <c r="B9842" s="8" t="s">
        <v>9399</v>
      </c>
      <c r="C9842" s="9">
        <v>804</v>
      </c>
      <c r="D9842" s="0">
        <v>6</v>
      </c>
      <c r="E9842" s="10">
        <f>HYPERLINK("http://www.lingerieopt.ru/images/original/de02b2ed-e714-4823-bce7-ad249e121d7e.jpg","Фото")</f>
      </c>
    </row>
    <row r="9843">
      <c r="A9843" s="7">
        <f>HYPERLINK("http://www.lingerieopt.ru/item/10205-trusiki-oficianta-s-aksessuarami/","10205")</f>
      </c>
      <c r="B9843" s="8" t="s">
        <v>9400</v>
      </c>
      <c r="C9843" s="9">
        <v>804</v>
      </c>
      <c r="D9843" s="0">
        <v>5</v>
      </c>
      <c r="E9843" s="10">
        <f>HYPERLINK("http://www.lingerieopt.ru/images/original/de02b2ed-e714-4823-bce7-ad249e121d7e.jpg","Фото")</f>
      </c>
    </row>
    <row r="9844">
      <c r="A9844" s="7">
        <f>HYPERLINK("http://www.lingerieopt.ru/item/10205-trusiki-oficianta-s-aksessuarami/","10205")</f>
      </c>
      <c r="B9844" s="8" t="s">
        <v>9401</v>
      </c>
      <c r="C9844" s="9">
        <v>804</v>
      </c>
      <c r="D9844" s="0">
        <v>5</v>
      </c>
      <c r="E9844" s="10">
        <f>HYPERLINK("http://www.lingerieopt.ru/images/original/de02b2ed-e714-4823-bce7-ad249e121d7e.jpg","Фото")</f>
      </c>
    </row>
    <row r="9845">
      <c r="A9845" s="7">
        <f>HYPERLINK("http://www.lingerieopt.ru/item/10208-prozrachnje-po-bokam-trusj-shortj-s-wet-effektom/","10208")</f>
      </c>
      <c r="B9845" s="8" t="s">
        <v>9402</v>
      </c>
      <c r="C9845" s="9">
        <v>636</v>
      </c>
      <c r="D9845" s="0">
        <v>4</v>
      </c>
      <c r="E9845" s="10">
        <f>HYPERLINK("http://www.lingerieopt.ru/images/original/e317176a-6378-4521-85ef-719981172ae1.jpg","Фото")</f>
      </c>
    </row>
    <row r="9846">
      <c r="A9846" s="7">
        <f>HYPERLINK("http://www.lingerieopt.ru/item/10208-prozrachnje-po-bokam-trusj-shortj-s-wet-effektom/","10208")</f>
      </c>
      <c r="B9846" s="8" t="s">
        <v>9403</v>
      </c>
      <c r="C9846" s="9">
        <v>636</v>
      </c>
      <c r="D9846" s="0">
        <v>4</v>
      </c>
      <c r="E9846" s="10">
        <f>HYPERLINK("http://www.lingerieopt.ru/images/original/e317176a-6378-4521-85ef-719981172ae1.jpg","Фото")</f>
      </c>
    </row>
    <row r="9847">
      <c r="A9847" s="7">
        <f>HYPERLINK("http://www.lingerieopt.ru/item/10208-prozrachnje-po-bokam-trusj-shortj-s-wet-effektom/","10208")</f>
      </c>
      <c r="B9847" s="8" t="s">
        <v>9404</v>
      </c>
      <c r="C9847" s="9">
        <v>636</v>
      </c>
      <c r="D9847" s="0">
        <v>6</v>
      </c>
      <c r="E9847" s="10">
        <f>HYPERLINK("http://www.lingerieopt.ru/images/original/e317176a-6378-4521-85ef-719981172ae1.jpg","Фото")</f>
      </c>
    </row>
    <row r="9848">
      <c r="A9848" s="7">
        <f>HYPERLINK("http://www.lingerieopt.ru/item/10284-muzhskie-trusj-bokserj-s-aljm-bantom/","10284")</f>
      </c>
      <c r="B9848" s="8" t="s">
        <v>9405</v>
      </c>
      <c r="C9848" s="9">
        <v>744</v>
      </c>
      <c r="D9848" s="0">
        <v>5</v>
      </c>
      <c r="E9848" s="10">
        <f>HYPERLINK("http://www.lingerieopt.ru/images/original/25500e12-68a8-47c7-b61d-e98e0a16ecb6.jpg","Фото")</f>
      </c>
    </row>
    <row r="9849">
      <c r="A9849" s="7">
        <f>HYPERLINK("http://www.lingerieopt.ru/item/10284-muzhskie-trusj-bokserj-s-aljm-bantom/","10284")</f>
      </c>
      <c r="B9849" s="8" t="s">
        <v>9406</v>
      </c>
      <c r="C9849" s="9">
        <v>744</v>
      </c>
      <c r="D9849" s="0">
        <v>5</v>
      </c>
      <c r="E9849" s="10">
        <f>HYPERLINK("http://www.lingerieopt.ru/images/original/25500e12-68a8-47c7-b61d-e98e0a16ecb6.jpg","Фото")</f>
      </c>
    </row>
    <row r="9850">
      <c r="A9850" s="7">
        <f>HYPERLINK("http://www.lingerieopt.ru/item/10284-muzhskie-trusj-bokserj-s-aljm-bantom/","10284")</f>
      </c>
      <c r="B9850" s="8" t="s">
        <v>9407</v>
      </c>
      <c r="C9850" s="9">
        <v>744</v>
      </c>
      <c r="D9850" s="0">
        <v>5</v>
      </c>
      <c r="E9850" s="10">
        <f>HYPERLINK("http://www.lingerieopt.ru/images/original/25500e12-68a8-47c7-b61d-e98e0a16ecb6.jpg","Фото")</f>
      </c>
    </row>
    <row r="9851">
      <c r="A9851" s="7">
        <f>HYPERLINK("http://www.lingerieopt.ru/item/10285-bokserj-s-serebristoi-vstavkoi-pod-zmeinuyu-kozhu/","10285")</f>
      </c>
      <c r="B9851" s="8" t="s">
        <v>9408</v>
      </c>
      <c r="C9851" s="9">
        <v>784</v>
      </c>
      <c r="D9851" s="0">
        <v>0</v>
      </c>
      <c r="E9851" s="10">
        <f>HYPERLINK("http://www.lingerieopt.ru/images/original/626b8727-ad8c-49bd-a2c2-da0f90f5a8d6.jpg","Фото")</f>
      </c>
    </row>
    <row r="9852">
      <c r="A9852" s="7">
        <f>HYPERLINK("http://www.lingerieopt.ru/item/10285-bokserj-s-serebristoi-vstavkoi-pod-zmeinuyu-kozhu/","10285")</f>
      </c>
      <c r="B9852" s="8" t="s">
        <v>9409</v>
      </c>
      <c r="C9852" s="9">
        <v>784</v>
      </c>
      <c r="D9852" s="0">
        <v>3</v>
      </c>
      <c r="E9852" s="10">
        <f>HYPERLINK("http://www.lingerieopt.ru/images/original/626b8727-ad8c-49bd-a2c2-da0f90f5a8d6.jpg","Фото")</f>
      </c>
    </row>
    <row r="9853">
      <c r="A9853" s="7">
        <f>HYPERLINK("http://www.lingerieopt.ru/item/10300-azhurnje-muzhskie-trusj-stringi/","10300")</f>
      </c>
      <c r="B9853" s="8" t="s">
        <v>9410</v>
      </c>
      <c r="C9853" s="9">
        <v>533</v>
      </c>
      <c r="D9853" s="0">
        <v>3</v>
      </c>
      <c r="E9853" s="10">
        <f>HYPERLINK("http://www.lingerieopt.ru/images/original/dad7a823-f207-4c7b-8272-b420a27177ce.jpg","Фото")</f>
      </c>
    </row>
    <row r="9854">
      <c r="A9854" s="7">
        <f>HYPERLINK("http://www.lingerieopt.ru/item/10300-azhurnje-muzhskie-trusj-stringi/","10300")</f>
      </c>
      <c r="B9854" s="8" t="s">
        <v>9411</v>
      </c>
      <c r="C9854" s="9">
        <v>533</v>
      </c>
      <c r="D9854" s="0">
        <v>1</v>
      </c>
      <c r="E9854" s="10">
        <f>HYPERLINK("http://www.lingerieopt.ru/images/original/dad7a823-f207-4c7b-8272-b420a27177ce.jpg","Фото")</f>
      </c>
    </row>
    <row r="9855">
      <c r="A9855" s="7">
        <f>HYPERLINK("http://www.lingerieopt.ru/item/10300-azhurnje-muzhskie-trusj-stringi/","10300")</f>
      </c>
      <c r="B9855" s="8" t="s">
        <v>9412</v>
      </c>
      <c r="C9855" s="9">
        <v>533</v>
      </c>
      <c r="D9855" s="0">
        <v>1</v>
      </c>
      <c r="E9855" s="10">
        <f>HYPERLINK("http://www.lingerieopt.ru/images/original/dad7a823-f207-4c7b-8272-b420a27177ce.jpg","Фото")</f>
      </c>
    </row>
    <row r="9856">
      <c r="A9856" s="7">
        <f>HYPERLINK("http://www.lingerieopt.ru/item/10300-azhurnje-muzhskie-trusj-stringi/","10300")</f>
      </c>
      <c r="B9856" s="8" t="s">
        <v>9413</v>
      </c>
      <c r="C9856" s="9">
        <v>533</v>
      </c>
      <c r="D9856" s="0">
        <v>0</v>
      </c>
      <c r="E9856" s="10">
        <f>HYPERLINK("http://www.lingerieopt.ru/images/original/dad7a823-f207-4c7b-8272-b420a27177ce.jpg","Фото")</f>
      </c>
    </row>
    <row r="9857">
      <c r="A9857" s="7">
        <f>HYPERLINK("http://www.lingerieopt.ru/item/10300-azhurnje-muzhskie-trusj-stringi/","10300")</f>
      </c>
      <c r="B9857" s="8" t="s">
        <v>9414</v>
      </c>
      <c r="C9857" s="9">
        <v>533</v>
      </c>
      <c r="D9857" s="0">
        <v>1</v>
      </c>
      <c r="E9857" s="10">
        <f>HYPERLINK("http://www.lingerieopt.ru/images/original/dad7a823-f207-4c7b-8272-b420a27177ce.jpg","Фото")</f>
      </c>
    </row>
    <row r="9858">
      <c r="A9858" s="7">
        <f>HYPERLINK("http://www.lingerieopt.ru/item/10301-ekstravagantnje-muzhskie-trusj-slipj/","10301")</f>
      </c>
      <c r="B9858" s="8" t="s">
        <v>9415</v>
      </c>
      <c r="C9858" s="9">
        <v>591</v>
      </c>
      <c r="D9858" s="0">
        <v>0</v>
      </c>
      <c r="E9858" s="10">
        <f>HYPERLINK("http://www.lingerieopt.ru/images/original/81c7afcc-4a2d-4284-b9f1-e145172a3900.jpg","Фото")</f>
      </c>
    </row>
    <row r="9859">
      <c r="A9859" s="7">
        <f>HYPERLINK("http://www.lingerieopt.ru/item/10301-ekstravagantnje-muzhskie-trusj-slipj/","10301")</f>
      </c>
      <c r="B9859" s="8" t="s">
        <v>9416</v>
      </c>
      <c r="C9859" s="9">
        <v>591</v>
      </c>
      <c r="D9859" s="0">
        <v>0</v>
      </c>
      <c r="E9859" s="10">
        <f>HYPERLINK("http://www.lingerieopt.ru/images/original/81c7afcc-4a2d-4284-b9f1-e145172a3900.jpg","Фото")</f>
      </c>
    </row>
    <row r="9860">
      <c r="A9860" s="7">
        <f>HYPERLINK("http://www.lingerieopt.ru/item/10301-ekstravagantnje-muzhskie-trusj-slipj/","10301")</f>
      </c>
      <c r="B9860" s="8" t="s">
        <v>9417</v>
      </c>
      <c r="C9860" s="9">
        <v>591</v>
      </c>
      <c r="D9860" s="0">
        <v>3</v>
      </c>
      <c r="E9860" s="10">
        <f>HYPERLINK("http://www.lingerieopt.ru/images/original/81c7afcc-4a2d-4284-b9f1-e145172a3900.jpg","Фото")</f>
      </c>
    </row>
    <row r="9861">
      <c r="A9861" s="7">
        <f>HYPERLINK("http://www.lingerieopt.ru/item/10301-ekstravagantnje-muzhskie-trusj-slipj/","10301")</f>
      </c>
      <c r="B9861" s="8" t="s">
        <v>9418</v>
      </c>
      <c r="C9861" s="9">
        <v>591</v>
      </c>
      <c r="D9861" s="0">
        <v>0</v>
      </c>
      <c r="E9861" s="10">
        <f>HYPERLINK("http://www.lingerieopt.ru/images/original/81c7afcc-4a2d-4284-b9f1-e145172a3900.jpg","Фото")</f>
      </c>
    </row>
    <row r="9862">
      <c r="A9862" s="7">
        <f>HYPERLINK("http://www.lingerieopt.ru/item/10301-ekstravagantnje-muzhskie-trusj-slipj/","10301")</f>
      </c>
      <c r="B9862" s="8" t="s">
        <v>9419</v>
      </c>
      <c r="C9862" s="9">
        <v>591</v>
      </c>
      <c r="D9862" s="0">
        <v>0</v>
      </c>
      <c r="E9862" s="10">
        <f>HYPERLINK("http://www.lingerieopt.ru/images/original/81c7afcc-4a2d-4284-b9f1-e145172a3900.jpg","Фото")</f>
      </c>
    </row>
    <row r="9863">
      <c r="A9863" s="7">
        <f>HYPERLINK("http://www.lingerieopt.ru/item/10303-hlopkovje-trusj-bokserj-svobodnogo-pokroya/","10303")</f>
      </c>
      <c r="B9863" s="8" t="s">
        <v>9420</v>
      </c>
      <c r="C9863" s="9">
        <v>604</v>
      </c>
      <c r="D9863" s="0">
        <v>3</v>
      </c>
      <c r="E9863" s="10">
        <f>HYPERLINK("http://www.lingerieopt.ru/images/original/f8ddf703-bdfa-4dd3-8369-8038fdfcd41c.jpg","Фото")</f>
      </c>
    </row>
    <row r="9864">
      <c r="A9864" s="7">
        <f>HYPERLINK("http://www.lingerieopt.ru/item/10303-hlopkovje-trusj-bokserj-svobodnogo-pokroya/","10303")</f>
      </c>
      <c r="B9864" s="8" t="s">
        <v>9421</v>
      </c>
      <c r="C9864" s="9">
        <v>604</v>
      </c>
      <c r="D9864" s="0">
        <v>3</v>
      </c>
      <c r="E9864" s="10">
        <f>HYPERLINK("http://www.lingerieopt.ru/images/original/f8ddf703-bdfa-4dd3-8369-8038fdfcd41c.jpg","Фото")</f>
      </c>
    </row>
    <row r="9865">
      <c r="A9865" s="7">
        <f>HYPERLINK("http://www.lingerieopt.ru/item/10303-hlopkovje-trusj-bokserj-svobodnogo-pokroya/","10303")</f>
      </c>
      <c r="B9865" s="8" t="s">
        <v>9422</v>
      </c>
      <c r="C9865" s="9">
        <v>604</v>
      </c>
      <c r="D9865" s="0">
        <v>3</v>
      </c>
      <c r="E9865" s="10">
        <f>HYPERLINK("http://www.lingerieopt.ru/images/original/f8ddf703-bdfa-4dd3-8369-8038fdfcd41c.jpg","Фото")</f>
      </c>
    </row>
    <row r="9866">
      <c r="A9866" s="7">
        <f>HYPERLINK("http://www.lingerieopt.ru/item/10303-hlopkovje-trusj-bokserj-svobodnogo-pokroya/","10303")</f>
      </c>
      <c r="B9866" s="8" t="s">
        <v>9423</v>
      </c>
      <c r="C9866" s="9">
        <v>604</v>
      </c>
      <c r="D9866" s="0">
        <v>3</v>
      </c>
      <c r="E9866" s="10">
        <f>HYPERLINK("http://www.lingerieopt.ru/images/original/f8ddf703-bdfa-4dd3-8369-8038fdfcd41c.jpg","Фото")</f>
      </c>
    </row>
    <row r="9867">
      <c r="A9867" s="7">
        <f>HYPERLINK("http://www.lingerieopt.ru/item/10303-hlopkovje-trusj-bokserj-svobodnogo-pokroya/","10303")</f>
      </c>
      <c r="B9867" s="8" t="s">
        <v>9424</v>
      </c>
      <c r="C9867" s="9">
        <v>604</v>
      </c>
      <c r="D9867" s="0">
        <v>3</v>
      </c>
      <c r="E9867" s="10">
        <f>HYPERLINK("http://www.lingerieopt.ru/images/original/f8ddf703-bdfa-4dd3-8369-8038fdfcd41c.jpg","Фото")</f>
      </c>
    </row>
    <row r="9868">
      <c r="A9868" s="7">
        <f>HYPERLINK("http://www.lingerieopt.ru/item/10303-hlopkovje-trusj-bokserj-svobodnogo-pokroya/","10303")</f>
      </c>
      <c r="B9868" s="8" t="s">
        <v>9425</v>
      </c>
      <c r="C9868" s="9">
        <v>604</v>
      </c>
      <c r="D9868" s="0">
        <v>3</v>
      </c>
      <c r="E9868" s="10">
        <f>HYPERLINK("http://www.lingerieopt.ru/images/original/f8ddf703-bdfa-4dd3-8369-8038fdfcd41c.jpg","Фото")</f>
      </c>
    </row>
    <row r="9869">
      <c r="A9869" s="7">
        <f>HYPERLINK("http://www.lingerieopt.ru/item/10303-hlopkovje-trusj-bokserj-svobodnogo-pokroya/","10303")</f>
      </c>
      <c r="B9869" s="8" t="s">
        <v>9426</v>
      </c>
      <c r="C9869" s="9">
        <v>604</v>
      </c>
      <c r="D9869" s="0">
        <v>1</v>
      </c>
      <c r="E9869" s="10">
        <f>HYPERLINK("http://www.lingerieopt.ru/images/original/f8ddf703-bdfa-4dd3-8369-8038fdfcd41c.jpg","Фото")</f>
      </c>
    </row>
    <row r="9870">
      <c r="A9870" s="7">
        <f>HYPERLINK("http://www.lingerieopt.ru/item/10303-hlopkovje-trusj-bokserj-svobodnogo-pokroya/","10303")</f>
      </c>
      <c r="B9870" s="8" t="s">
        <v>9427</v>
      </c>
      <c r="C9870" s="9">
        <v>604</v>
      </c>
      <c r="D9870" s="0">
        <v>1</v>
      </c>
      <c r="E9870" s="10">
        <f>HYPERLINK("http://www.lingerieopt.ru/images/original/f8ddf703-bdfa-4dd3-8369-8038fdfcd41c.jpg","Фото")</f>
      </c>
    </row>
    <row r="9871">
      <c r="A9871" s="7">
        <f>HYPERLINK("http://www.lingerieopt.ru/item/10303-hlopkovje-trusj-bokserj-svobodnogo-pokroya/","10303")</f>
      </c>
      <c r="B9871" s="8" t="s">
        <v>9428</v>
      </c>
      <c r="C9871" s="9">
        <v>604</v>
      </c>
      <c r="D9871" s="0">
        <v>1</v>
      </c>
      <c r="E9871" s="10">
        <f>HYPERLINK("http://www.lingerieopt.ru/images/original/f8ddf703-bdfa-4dd3-8369-8038fdfcd41c.jpg","Фото")</f>
      </c>
    </row>
    <row r="9872">
      <c r="A9872" s="7">
        <f>HYPERLINK("http://www.lingerieopt.ru/item/10303-hlopkovje-trusj-bokserj-svobodnogo-pokroya/","10303")</f>
      </c>
      <c r="B9872" s="8" t="s">
        <v>9429</v>
      </c>
      <c r="C9872" s="9">
        <v>604</v>
      </c>
      <c r="D9872" s="0">
        <v>1</v>
      </c>
      <c r="E9872" s="10">
        <f>HYPERLINK("http://www.lingerieopt.ru/images/original/f8ddf703-bdfa-4dd3-8369-8038fdfcd41c.jpg","Фото")</f>
      </c>
    </row>
    <row r="9873">
      <c r="A9873" s="7">
        <f>HYPERLINK("http://www.lingerieopt.ru/item/10303-hlopkovje-trusj-bokserj-svobodnogo-pokroya/","10303")</f>
      </c>
      <c r="B9873" s="8" t="s">
        <v>9430</v>
      </c>
      <c r="C9873" s="9">
        <v>604</v>
      </c>
      <c r="D9873" s="0">
        <v>3</v>
      </c>
      <c r="E9873" s="10">
        <f>HYPERLINK("http://www.lingerieopt.ru/images/original/f8ddf703-bdfa-4dd3-8369-8038fdfcd41c.jpg","Фото")</f>
      </c>
    </row>
    <row r="9874">
      <c r="A9874" s="7">
        <f>HYPERLINK("http://www.lingerieopt.ru/item/10303-hlopkovje-trusj-bokserj-svobodnogo-pokroya/","10303")</f>
      </c>
      <c r="B9874" s="8" t="s">
        <v>9431</v>
      </c>
      <c r="C9874" s="9">
        <v>604</v>
      </c>
      <c r="D9874" s="0">
        <v>3</v>
      </c>
      <c r="E9874" s="10">
        <f>HYPERLINK("http://www.lingerieopt.ru/images/original/f8ddf703-bdfa-4dd3-8369-8038fdfcd41c.jpg","Фото")</f>
      </c>
    </row>
    <row r="9875">
      <c r="A9875" s="7">
        <f>HYPERLINK("http://www.lingerieopt.ru/item/10303-hlopkovje-trusj-bokserj-svobodnogo-pokroya/","10303")</f>
      </c>
      <c r="B9875" s="8" t="s">
        <v>9432</v>
      </c>
      <c r="C9875" s="9">
        <v>604</v>
      </c>
      <c r="D9875" s="0">
        <v>1</v>
      </c>
      <c r="E9875" s="10">
        <f>HYPERLINK("http://www.lingerieopt.ru/images/original/f8ddf703-bdfa-4dd3-8369-8038fdfcd41c.jpg","Фото")</f>
      </c>
    </row>
    <row r="9876">
      <c r="A9876" s="7">
        <f>HYPERLINK("http://www.lingerieopt.ru/item/10303-hlopkovje-trusj-bokserj-svobodnogo-pokroya/","10303")</f>
      </c>
      <c r="B9876" s="8" t="s">
        <v>9433</v>
      </c>
      <c r="C9876" s="9">
        <v>604</v>
      </c>
      <c r="D9876" s="0">
        <v>3</v>
      </c>
      <c r="E9876" s="10">
        <f>HYPERLINK("http://www.lingerieopt.ru/images/original/f8ddf703-bdfa-4dd3-8369-8038fdfcd41c.jpg","Фото")</f>
      </c>
    </row>
    <row r="9877">
      <c r="A9877" s="7">
        <f>HYPERLINK("http://www.lingerieopt.ru/item/10303-hlopkovje-trusj-bokserj-svobodnogo-pokroya/","10303")</f>
      </c>
      <c r="B9877" s="8" t="s">
        <v>9434</v>
      </c>
      <c r="C9877" s="9">
        <v>604</v>
      </c>
      <c r="D9877" s="0">
        <v>3</v>
      </c>
      <c r="E9877" s="10">
        <f>HYPERLINK("http://www.lingerieopt.ru/images/original/f8ddf703-bdfa-4dd3-8369-8038fdfcd41c.jpg","Фото")</f>
      </c>
    </row>
    <row r="9878">
      <c r="A9878" s="7">
        <f>HYPERLINK("http://www.lingerieopt.ru/item/10303-hlopkovje-trusj-bokserj-svobodnogo-pokroya/","10303")</f>
      </c>
      <c r="B9878" s="8" t="s">
        <v>9435</v>
      </c>
      <c r="C9878" s="9">
        <v>604</v>
      </c>
      <c r="D9878" s="0">
        <v>3</v>
      </c>
      <c r="E9878" s="10">
        <f>HYPERLINK("http://www.lingerieopt.ru/images/original/f8ddf703-bdfa-4dd3-8369-8038fdfcd41c.jpg","Фото")</f>
      </c>
    </row>
    <row r="9879">
      <c r="A9879" s="7">
        <f>HYPERLINK("http://www.lingerieopt.ru/item/10584-bokserj-s-otkrjtjmi-yagodicami/","10584")</f>
      </c>
      <c r="B9879" s="8" t="s">
        <v>9436</v>
      </c>
      <c r="C9879" s="9">
        <v>877</v>
      </c>
      <c r="D9879" s="0">
        <v>6</v>
      </c>
      <c r="E9879" s="10">
        <f>HYPERLINK("http://www.lingerieopt.ru/images/original/3fe25d86-9811-475b-aef6-a9b29d864e33.jpg","Фото")</f>
      </c>
    </row>
    <row r="9880">
      <c r="A9880" s="7">
        <f>HYPERLINK("http://www.lingerieopt.ru/item/10584-bokserj-s-otkrjtjmi-yagodicami/","10584")</f>
      </c>
      <c r="B9880" s="8" t="s">
        <v>9437</v>
      </c>
      <c r="C9880" s="9">
        <v>877</v>
      </c>
      <c r="D9880" s="0">
        <v>10</v>
      </c>
      <c r="E9880" s="10">
        <f>HYPERLINK("http://www.lingerieopt.ru/images/original/3fe25d86-9811-475b-aef6-a9b29d864e33.jpg","Фото")</f>
      </c>
    </row>
    <row r="9881">
      <c r="A9881" s="7">
        <f>HYPERLINK("http://www.lingerieopt.ru/item/10585-originalnje-bokserj-s-yarkoi-otdelkoi-po-krayu/","10585")</f>
      </c>
      <c r="B9881" s="8" t="s">
        <v>9438</v>
      </c>
      <c r="C9881" s="9">
        <v>892</v>
      </c>
      <c r="D9881" s="0">
        <v>7</v>
      </c>
      <c r="E9881" s="10">
        <f>HYPERLINK("http://www.lingerieopt.ru/images/original/b765c0dc-4e9a-4dba-945e-80c30a6c64a8.jpg","Фото")</f>
      </c>
    </row>
    <row r="9882">
      <c r="A9882" s="7">
        <f>HYPERLINK("http://www.lingerieopt.ru/item/10585-originalnje-bokserj-s-yarkoi-otdelkoi-po-krayu/","10585")</f>
      </c>
      <c r="B9882" s="8" t="s">
        <v>9439</v>
      </c>
      <c r="C9882" s="9">
        <v>892</v>
      </c>
      <c r="D9882" s="0">
        <v>1</v>
      </c>
      <c r="E9882" s="10">
        <f>HYPERLINK("http://www.lingerieopt.ru/images/original/b765c0dc-4e9a-4dba-945e-80c30a6c64a8.jpg","Фото")</f>
      </c>
    </row>
    <row r="9883">
      <c r="A9883" s="7">
        <f>HYPERLINK("http://www.lingerieopt.ru/item/10715-poluprozrachnje-trusiki-shortj-mateo/","10715")</f>
      </c>
      <c r="B9883" s="8" t="s">
        <v>9440</v>
      </c>
      <c r="C9883" s="9">
        <v>636</v>
      </c>
      <c r="D9883" s="0">
        <v>5</v>
      </c>
      <c r="E9883" s="10">
        <f>HYPERLINK("http://www.lingerieopt.ru/images/original/50710d9f-d48c-4772-af09-c1f9566c47ae.jpg","Фото")</f>
      </c>
    </row>
    <row r="9884">
      <c r="A9884" s="7">
        <f>HYPERLINK("http://www.lingerieopt.ru/item/10715-poluprozrachnje-trusiki-shortj-mateo/","10715")</f>
      </c>
      <c r="B9884" s="8" t="s">
        <v>9441</v>
      </c>
      <c r="C9884" s="9">
        <v>636</v>
      </c>
      <c r="D9884" s="0">
        <v>5</v>
      </c>
      <c r="E9884" s="10">
        <f>HYPERLINK("http://www.lingerieopt.ru/images/original/50710d9f-d48c-4772-af09-c1f9566c47ae.jpg","Фото")</f>
      </c>
    </row>
    <row r="9885">
      <c r="A9885" s="7">
        <f>HYPERLINK("http://www.lingerieopt.ru/item/10715-poluprozrachnje-trusiki-shortj-mateo/","10715")</f>
      </c>
      <c r="B9885" s="8" t="s">
        <v>9442</v>
      </c>
      <c r="C9885" s="9">
        <v>636</v>
      </c>
      <c r="D9885" s="0">
        <v>1</v>
      </c>
      <c r="E9885" s="10">
        <f>HYPERLINK("http://www.lingerieopt.ru/images/original/50710d9f-d48c-4772-af09-c1f9566c47ae.jpg","Фото")</f>
      </c>
    </row>
    <row r="9886">
      <c r="A9886" s="7">
        <f>HYPERLINK("http://www.lingerieopt.ru/item/10715-poluprozrachnje-trusiki-shortj-mateo/","10715")</f>
      </c>
      <c r="B9886" s="8" t="s">
        <v>9443</v>
      </c>
      <c r="C9886" s="9">
        <v>636</v>
      </c>
      <c r="D9886" s="0">
        <v>8</v>
      </c>
      <c r="E9886" s="10">
        <f>HYPERLINK("http://www.lingerieopt.ru/images/original/50710d9f-d48c-4772-af09-c1f9566c47ae.jpg","Фото")</f>
      </c>
    </row>
    <row r="9887">
      <c r="A9887" s="7">
        <f>HYPERLINK("http://www.lingerieopt.ru/item/10715-poluprozrachnje-trusiki-shortj-mateo/","10715")</f>
      </c>
      <c r="B9887" s="8" t="s">
        <v>9444</v>
      </c>
      <c r="C9887" s="9">
        <v>636</v>
      </c>
      <c r="D9887" s="0">
        <v>0</v>
      </c>
      <c r="E9887" s="10">
        <f>HYPERLINK("http://www.lingerieopt.ru/images/original/50710d9f-d48c-4772-af09-c1f9566c47ae.jpg","Фото")</f>
      </c>
    </row>
    <row r="9888">
      <c r="A9888" s="7">
        <f>HYPERLINK("http://www.lingerieopt.ru/item/10715-poluprozrachnje-trusiki-shortj-mateo/","10715")</f>
      </c>
      <c r="B9888" s="8" t="s">
        <v>9445</v>
      </c>
      <c r="C9888" s="9">
        <v>636</v>
      </c>
      <c r="D9888" s="0">
        <v>2</v>
      </c>
      <c r="E9888" s="10">
        <f>HYPERLINK("http://www.lingerieopt.ru/images/original/50710d9f-d48c-4772-af09-c1f9566c47ae.jpg","Фото")</f>
      </c>
    </row>
    <row r="9889">
      <c r="A9889" s="7">
        <f>HYPERLINK("http://www.lingerieopt.ru/item/10715-poluprozrachnje-trusiki-shortj-mateo/","10715")</f>
      </c>
      <c r="B9889" s="8" t="s">
        <v>9446</v>
      </c>
      <c r="C9889" s="9">
        <v>636</v>
      </c>
      <c r="D9889" s="0">
        <v>8</v>
      </c>
      <c r="E9889" s="10">
        <f>HYPERLINK("http://www.lingerieopt.ru/images/original/50710d9f-d48c-4772-af09-c1f9566c47ae.jpg","Фото")</f>
      </c>
    </row>
    <row r="9890">
      <c r="A9890" s="7">
        <f>HYPERLINK("http://www.lingerieopt.ru/item/10715-poluprozrachnje-trusiki-shortj-mateo/","10715")</f>
      </c>
      <c r="B9890" s="8" t="s">
        <v>9447</v>
      </c>
      <c r="C9890" s="9">
        <v>636</v>
      </c>
      <c r="D9890" s="0">
        <v>6</v>
      </c>
      <c r="E9890" s="10">
        <f>HYPERLINK("http://www.lingerieopt.ru/images/original/50710d9f-d48c-4772-af09-c1f9566c47ae.jpg","Фото")</f>
      </c>
    </row>
    <row r="9891">
      <c r="A9891" s="7">
        <f>HYPERLINK("http://www.lingerieopt.ru/item/10715-poluprozrachnje-trusiki-shortj-mateo/","10715")</f>
      </c>
      <c r="B9891" s="8" t="s">
        <v>9448</v>
      </c>
      <c r="C9891" s="9">
        <v>636</v>
      </c>
      <c r="D9891" s="0">
        <v>8</v>
      </c>
      <c r="E9891" s="10">
        <f>HYPERLINK("http://www.lingerieopt.ru/images/original/50710d9f-d48c-4772-af09-c1f9566c47ae.jpg","Фото")</f>
      </c>
    </row>
    <row r="9892">
      <c r="A9892" s="7">
        <f>HYPERLINK("http://www.lingerieopt.ru/item/10726-muzhskie-trusj-slipj-s-kontrastnoi-rezinkoi/","10726")</f>
      </c>
      <c r="B9892" s="8" t="s">
        <v>9449</v>
      </c>
      <c r="C9892" s="9">
        <v>505</v>
      </c>
      <c r="D9892" s="0">
        <v>3</v>
      </c>
      <c r="E9892" s="10">
        <f>HYPERLINK("http://www.lingerieopt.ru/images/original/8f388678-f54b-4761-b8a2-d082c0d6baf3.jpg","Фото")</f>
      </c>
    </row>
    <row r="9893">
      <c r="A9893" s="7">
        <f>HYPERLINK("http://www.lingerieopt.ru/item/10726-muzhskie-trusj-slipj-s-kontrastnoi-rezinkoi/","10726")</f>
      </c>
      <c r="B9893" s="8" t="s">
        <v>9450</v>
      </c>
      <c r="C9893" s="9">
        <v>505</v>
      </c>
      <c r="D9893" s="0">
        <v>3</v>
      </c>
      <c r="E9893" s="10">
        <f>HYPERLINK("http://www.lingerieopt.ru/images/original/8f388678-f54b-4761-b8a2-d082c0d6baf3.jpg","Фото")</f>
      </c>
    </row>
    <row r="9894">
      <c r="A9894" s="7">
        <f>HYPERLINK("http://www.lingerieopt.ru/item/10726-muzhskie-trusj-slipj-s-kontrastnoi-rezinkoi/","10726")</f>
      </c>
      <c r="B9894" s="8" t="s">
        <v>9451</v>
      </c>
      <c r="C9894" s="9">
        <v>505</v>
      </c>
      <c r="D9894" s="0">
        <v>1</v>
      </c>
      <c r="E9894" s="10">
        <f>HYPERLINK("http://www.lingerieopt.ru/images/original/8f388678-f54b-4761-b8a2-d082c0d6baf3.jpg","Фото")</f>
      </c>
    </row>
    <row r="9895">
      <c r="A9895" s="7">
        <f>HYPERLINK("http://www.lingerieopt.ru/item/10726-muzhskie-trusj-slipj-s-kontrastnoi-rezinkoi/","10726")</f>
      </c>
      <c r="B9895" s="8" t="s">
        <v>9452</v>
      </c>
      <c r="C9895" s="9">
        <v>505</v>
      </c>
      <c r="D9895" s="0">
        <v>1</v>
      </c>
      <c r="E9895" s="10">
        <f>HYPERLINK("http://www.lingerieopt.ru/images/original/8f388678-f54b-4761-b8a2-d082c0d6baf3.jpg","Фото")</f>
      </c>
    </row>
    <row r="9896">
      <c r="A9896" s="7">
        <f>HYPERLINK("http://www.lingerieopt.ru/item/10726-muzhskie-trusj-slipj-s-kontrastnoi-rezinkoi/","10726")</f>
      </c>
      <c r="B9896" s="8" t="s">
        <v>9453</v>
      </c>
      <c r="C9896" s="9">
        <v>505</v>
      </c>
      <c r="D9896" s="0">
        <v>3</v>
      </c>
      <c r="E9896" s="10">
        <f>HYPERLINK("http://www.lingerieopt.ru/images/original/8f388678-f54b-4761-b8a2-d082c0d6baf3.jpg","Фото")</f>
      </c>
    </row>
    <row r="9897">
      <c r="A9897" s="7">
        <f>HYPERLINK("http://www.lingerieopt.ru/item/10726-muzhskie-trusj-slipj-s-kontrastnoi-rezinkoi/","10726")</f>
      </c>
      <c r="B9897" s="8" t="s">
        <v>9454</v>
      </c>
      <c r="C9897" s="9">
        <v>505</v>
      </c>
      <c r="D9897" s="0">
        <v>1</v>
      </c>
      <c r="E9897" s="10">
        <f>HYPERLINK("http://www.lingerieopt.ru/images/original/8f388678-f54b-4761-b8a2-d082c0d6baf3.jpg","Фото")</f>
      </c>
    </row>
    <row r="9898">
      <c r="A9898" s="7">
        <f>HYPERLINK("http://www.lingerieopt.ru/item/10726-muzhskie-trusj-slipj-s-kontrastnoi-rezinkoi/","10726")</f>
      </c>
      <c r="B9898" s="8" t="s">
        <v>9455</v>
      </c>
      <c r="C9898" s="9">
        <v>505</v>
      </c>
      <c r="D9898" s="0">
        <v>1</v>
      </c>
      <c r="E9898" s="10">
        <f>HYPERLINK("http://www.lingerieopt.ru/images/original/8f388678-f54b-4761-b8a2-d082c0d6baf3.jpg","Фото")</f>
      </c>
    </row>
    <row r="9899">
      <c r="A9899" s="7">
        <f>HYPERLINK("http://www.lingerieopt.ru/item/10726-muzhskie-trusj-slipj-s-kontrastnoi-rezinkoi/","10726")</f>
      </c>
      <c r="B9899" s="8" t="s">
        <v>9456</v>
      </c>
      <c r="C9899" s="9">
        <v>505</v>
      </c>
      <c r="D9899" s="0">
        <v>1</v>
      </c>
      <c r="E9899" s="10">
        <f>HYPERLINK("http://www.lingerieopt.ru/images/original/8f388678-f54b-4761-b8a2-d082c0d6baf3.jpg","Фото")</f>
      </c>
    </row>
    <row r="9900">
      <c r="A9900" s="7">
        <f>HYPERLINK("http://www.lingerieopt.ru/item/10726-muzhskie-trusj-slipj-s-kontrastnoi-rezinkoi/","10726")</f>
      </c>
      <c r="B9900" s="8" t="s">
        <v>9457</v>
      </c>
      <c r="C9900" s="9">
        <v>505</v>
      </c>
      <c r="D9900" s="0">
        <v>1</v>
      </c>
      <c r="E9900" s="10">
        <f>HYPERLINK("http://www.lingerieopt.ru/images/original/8f388678-f54b-4761-b8a2-d082c0d6baf3.jpg","Фото")</f>
      </c>
    </row>
    <row r="9901">
      <c r="A9901" s="7">
        <f>HYPERLINK("http://www.lingerieopt.ru/item/10726-muzhskie-trusj-slipj-s-kontrastnoi-rezinkoi/","10726")</f>
      </c>
      <c r="B9901" s="8" t="s">
        <v>9458</v>
      </c>
      <c r="C9901" s="9">
        <v>505</v>
      </c>
      <c r="D9901" s="0">
        <v>1</v>
      </c>
      <c r="E9901" s="10">
        <f>HYPERLINK("http://www.lingerieopt.ru/images/original/8f388678-f54b-4761-b8a2-d082c0d6baf3.jpg","Фото")</f>
      </c>
    </row>
    <row r="9902">
      <c r="A9902" s="7">
        <f>HYPERLINK("http://www.lingerieopt.ru/item/10727-trusj-bokserj-s-nizkoi-posadkoi/","10727")</f>
      </c>
      <c r="B9902" s="8" t="s">
        <v>9459</v>
      </c>
      <c r="C9902" s="9">
        <v>648</v>
      </c>
      <c r="D9902" s="0">
        <v>1</v>
      </c>
      <c r="E9902" s="10">
        <f>HYPERLINK("http://www.lingerieopt.ru/images/original/f24e9c59-85df-4c4b-825c-20fe0ef3c0bc.jpg","Фото")</f>
      </c>
    </row>
    <row r="9903">
      <c r="A9903" s="7">
        <f>HYPERLINK("http://www.lingerieopt.ru/item/10727-trusj-bokserj-s-nizkoi-posadkoi/","10727")</f>
      </c>
      <c r="B9903" s="8" t="s">
        <v>9460</v>
      </c>
      <c r="C9903" s="9">
        <v>648</v>
      </c>
      <c r="D9903" s="0">
        <v>1</v>
      </c>
      <c r="E9903" s="10">
        <f>HYPERLINK("http://www.lingerieopt.ru/images/original/f24e9c59-85df-4c4b-825c-20fe0ef3c0bc.jpg","Фото")</f>
      </c>
    </row>
    <row r="9904">
      <c r="A9904" s="7">
        <f>HYPERLINK("http://www.lingerieopt.ru/item/10727-trusj-bokserj-s-nizkoi-posadkoi/","10727")</f>
      </c>
      <c r="B9904" s="8" t="s">
        <v>9461</v>
      </c>
      <c r="C9904" s="9">
        <v>648</v>
      </c>
      <c r="D9904" s="0">
        <v>3</v>
      </c>
      <c r="E9904" s="10">
        <f>HYPERLINK("http://www.lingerieopt.ru/images/original/f24e9c59-85df-4c4b-825c-20fe0ef3c0bc.jpg","Фото")</f>
      </c>
    </row>
    <row r="9905">
      <c r="A9905" s="7">
        <f>HYPERLINK("http://www.lingerieopt.ru/item/10727-trusj-bokserj-s-nizkoi-posadkoi/","10727")</f>
      </c>
      <c r="B9905" s="8" t="s">
        <v>9462</v>
      </c>
      <c r="C9905" s="9">
        <v>648</v>
      </c>
      <c r="D9905" s="0">
        <v>1</v>
      </c>
      <c r="E9905" s="10">
        <f>HYPERLINK("http://www.lingerieopt.ru/images/original/f24e9c59-85df-4c4b-825c-20fe0ef3c0bc.jpg","Фото")</f>
      </c>
    </row>
    <row r="9906">
      <c r="A9906" s="7">
        <f>HYPERLINK("http://www.lingerieopt.ru/item/10727-trusj-bokserj-s-nizkoi-posadkoi/","10727")</f>
      </c>
      <c r="B9906" s="8" t="s">
        <v>9463</v>
      </c>
      <c r="C9906" s="9">
        <v>648</v>
      </c>
      <c r="D9906" s="0">
        <v>1</v>
      </c>
      <c r="E9906" s="10">
        <f>HYPERLINK("http://www.lingerieopt.ru/images/original/f24e9c59-85df-4c4b-825c-20fe0ef3c0bc.jpg","Фото")</f>
      </c>
    </row>
    <row r="9907">
      <c r="A9907" s="7">
        <f>HYPERLINK("http://www.lingerieopt.ru/item/10727-trusj-bokserj-s-nizkoi-posadkoi/","10727")</f>
      </c>
      <c r="B9907" s="8" t="s">
        <v>9464</v>
      </c>
      <c r="C9907" s="9">
        <v>648</v>
      </c>
      <c r="D9907" s="0">
        <v>3</v>
      </c>
      <c r="E9907" s="10">
        <f>HYPERLINK("http://www.lingerieopt.ru/images/original/f24e9c59-85df-4c4b-825c-20fe0ef3c0bc.jpg","Фото")</f>
      </c>
    </row>
    <row r="9908">
      <c r="A9908" s="7">
        <f>HYPERLINK("http://www.lingerieopt.ru/item/10727-trusj-bokserj-s-nizkoi-posadkoi/","10727")</f>
      </c>
      <c r="B9908" s="8" t="s">
        <v>9465</v>
      </c>
      <c r="C9908" s="9">
        <v>648</v>
      </c>
      <c r="D9908" s="0">
        <v>1</v>
      </c>
      <c r="E9908" s="10">
        <f>HYPERLINK("http://www.lingerieopt.ru/images/original/f24e9c59-85df-4c4b-825c-20fe0ef3c0bc.jpg","Фото")</f>
      </c>
    </row>
    <row r="9909">
      <c r="A9909" s="7">
        <f>HYPERLINK("http://www.lingerieopt.ru/item/10727-trusj-bokserj-s-nizkoi-posadkoi/","10727")</f>
      </c>
      <c r="B9909" s="8" t="s">
        <v>9466</v>
      </c>
      <c r="C9909" s="9">
        <v>648</v>
      </c>
      <c r="D9909" s="0">
        <v>1</v>
      </c>
      <c r="E9909" s="10">
        <f>HYPERLINK("http://www.lingerieopt.ru/images/original/f24e9c59-85df-4c4b-825c-20fe0ef3c0bc.jpg","Фото")</f>
      </c>
    </row>
    <row r="9910">
      <c r="A9910" s="7">
        <f>HYPERLINK("http://www.lingerieopt.ru/item/10727-trusj-bokserj-s-nizkoi-posadkoi/","10727")</f>
      </c>
      <c r="B9910" s="8" t="s">
        <v>9467</v>
      </c>
      <c r="C9910" s="9">
        <v>648</v>
      </c>
      <c r="D9910" s="0">
        <v>1</v>
      </c>
      <c r="E9910" s="10">
        <f>HYPERLINK("http://www.lingerieopt.ru/images/original/f24e9c59-85df-4c4b-825c-20fe0ef3c0bc.jpg","Фото")</f>
      </c>
    </row>
    <row r="9911">
      <c r="A9911" s="7">
        <f>HYPERLINK("http://www.lingerieopt.ru/item/10727-trusj-bokserj-s-nizkoi-posadkoi/","10727")</f>
      </c>
      <c r="B9911" s="8" t="s">
        <v>9468</v>
      </c>
      <c r="C9911" s="9">
        <v>648</v>
      </c>
      <c r="D9911" s="0">
        <v>3</v>
      </c>
      <c r="E9911" s="10">
        <f>HYPERLINK("http://www.lingerieopt.ru/images/original/f24e9c59-85df-4c4b-825c-20fe0ef3c0bc.jpg","Фото")</f>
      </c>
    </row>
    <row r="9912">
      <c r="A9912" s="7">
        <f>HYPERLINK("http://www.lingerieopt.ru/item/10728-trusj-bokserj-s-kletchatjm-poyaskom/","10728")</f>
      </c>
      <c r="B9912" s="8" t="s">
        <v>9469</v>
      </c>
      <c r="C9912" s="9">
        <v>630</v>
      </c>
      <c r="D9912" s="0">
        <v>1</v>
      </c>
      <c r="E9912" s="10">
        <f>HYPERLINK("http://www.lingerieopt.ru/images/original/a2d0c5b6-f174-4dc5-a29a-d0a32038d679.jpg","Фото")</f>
      </c>
    </row>
    <row r="9913">
      <c r="A9913" s="7">
        <f>HYPERLINK("http://www.lingerieopt.ru/item/10728-trusj-bokserj-s-kletchatjm-poyaskom/","10728")</f>
      </c>
      <c r="B9913" s="8" t="s">
        <v>9470</v>
      </c>
      <c r="C9913" s="9">
        <v>630</v>
      </c>
      <c r="D9913" s="0">
        <v>1</v>
      </c>
      <c r="E9913" s="10">
        <f>HYPERLINK("http://www.lingerieopt.ru/images/original/a2d0c5b6-f174-4dc5-a29a-d0a32038d679.jpg","Фото")</f>
      </c>
    </row>
    <row r="9914">
      <c r="A9914" s="7">
        <f>HYPERLINK("http://www.lingerieopt.ru/item/10728-trusj-bokserj-s-kletchatjm-poyaskom/","10728")</f>
      </c>
      <c r="B9914" s="8" t="s">
        <v>9471</v>
      </c>
      <c r="C9914" s="9">
        <v>630</v>
      </c>
      <c r="D9914" s="0">
        <v>1</v>
      </c>
      <c r="E9914" s="10">
        <f>HYPERLINK("http://www.lingerieopt.ru/images/original/a2d0c5b6-f174-4dc5-a29a-d0a32038d679.jpg","Фото")</f>
      </c>
    </row>
    <row r="9915">
      <c r="A9915" s="7">
        <f>HYPERLINK("http://www.lingerieopt.ru/item/10728-trusj-bokserj-s-kletchatjm-poyaskom/","10728")</f>
      </c>
      <c r="B9915" s="8" t="s">
        <v>9472</v>
      </c>
      <c r="C9915" s="9">
        <v>630</v>
      </c>
      <c r="D9915" s="0">
        <v>1</v>
      </c>
      <c r="E9915" s="10">
        <f>HYPERLINK("http://www.lingerieopt.ru/images/original/a2d0c5b6-f174-4dc5-a29a-d0a32038d679.jpg","Фото")</f>
      </c>
    </row>
    <row r="9916">
      <c r="A9916" s="7">
        <f>HYPERLINK("http://www.lingerieopt.ru/item/10728-trusj-bokserj-s-kletchatjm-poyaskom/","10728")</f>
      </c>
      <c r="B9916" s="8" t="s">
        <v>9473</v>
      </c>
      <c r="C9916" s="9">
        <v>630</v>
      </c>
      <c r="D9916" s="0">
        <v>3</v>
      </c>
      <c r="E9916" s="10">
        <f>HYPERLINK("http://www.lingerieopt.ru/images/original/a2d0c5b6-f174-4dc5-a29a-d0a32038d679.jpg","Фото")</f>
      </c>
    </row>
    <row r="9917">
      <c r="A9917" s="7">
        <f>HYPERLINK("http://www.lingerieopt.ru/item/10729-muzhskie-bokserj-rokoko-s-zavitkami/","10729")</f>
      </c>
      <c r="B9917" s="8" t="s">
        <v>9474</v>
      </c>
      <c r="C9917" s="9">
        <v>720</v>
      </c>
      <c r="D9917" s="0">
        <v>1</v>
      </c>
      <c r="E9917" s="10">
        <f>HYPERLINK("http://www.lingerieopt.ru/images/original/7b65a5ab-4359-4497-ad72-c33bc9706fbb.jpg","Фото")</f>
      </c>
    </row>
    <row r="9918">
      <c r="A9918" s="7">
        <f>HYPERLINK("http://www.lingerieopt.ru/item/10729-muzhskie-bokserj-rokoko-s-zavitkami/","10729")</f>
      </c>
      <c r="B9918" s="8" t="s">
        <v>9475</v>
      </c>
      <c r="C9918" s="9">
        <v>720</v>
      </c>
      <c r="D9918" s="0">
        <v>3</v>
      </c>
      <c r="E9918" s="10">
        <f>HYPERLINK("http://www.lingerieopt.ru/images/original/7b65a5ab-4359-4497-ad72-c33bc9706fbb.jpg","Фото")</f>
      </c>
    </row>
    <row r="9919">
      <c r="A9919" s="7">
        <f>HYPERLINK("http://www.lingerieopt.ru/item/10729-muzhskie-bokserj-rokoko-s-zavitkami/","10729")</f>
      </c>
      <c r="B9919" s="8" t="s">
        <v>9476</v>
      </c>
      <c r="C9919" s="9">
        <v>720</v>
      </c>
      <c r="D9919" s="0">
        <v>1</v>
      </c>
      <c r="E9919" s="10">
        <f>HYPERLINK("http://www.lingerieopt.ru/images/original/7b65a5ab-4359-4497-ad72-c33bc9706fbb.jpg","Фото")</f>
      </c>
    </row>
    <row r="9920">
      <c r="A9920" s="7">
        <f>HYPERLINK("http://www.lingerieopt.ru/item/10729-muzhskie-bokserj-rokoko-s-zavitkami/","10729")</f>
      </c>
      <c r="B9920" s="8" t="s">
        <v>9477</v>
      </c>
      <c r="C9920" s="9">
        <v>720</v>
      </c>
      <c r="D9920" s="0">
        <v>3</v>
      </c>
      <c r="E9920" s="10">
        <f>HYPERLINK("http://www.lingerieopt.ru/images/original/7b65a5ab-4359-4497-ad72-c33bc9706fbb.jpg","Фото")</f>
      </c>
    </row>
    <row r="9921">
      <c r="A9921" s="7">
        <f>HYPERLINK("http://www.lingerieopt.ru/item/10729-muzhskie-bokserj-rokoko-s-zavitkami/","10729")</f>
      </c>
      <c r="B9921" s="8" t="s">
        <v>9478</v>
      </c>
      <c r="C9921" s="9">
        <v>720</v>
      </c>
      <c r="D9921" s="0">
        <v>3</v>
      </c>
      <c r="E9921" s="10">
        <f>HYPERLINK("http://www.lingerieopt.ru/images/original/7b65a5ab-4359-4497-ad72-c33bc9706fbb.jpg","Фото")</f>
      </c>
    </row>
    <row r="9922">
      <c r="A9922" s="7">
        <f>HYPERLINK("http://www.lingerieopt.ru/item/10731-muzhskie-trusj-stringi-na-shirokoi-rezinke/","10731")</f>
      </c>
      <c r="B9922" s="8" t="s">
        <v>9479</v>
      </c>
      <c r="C9922" s="9">
        <v>620</v>
      </c>
      <c r="D9922" s="0">
        <v>3</v>
      </c>
      <c r="E9922" s="10">
        <f>HYPERLINK("http://www.lingerieopt.ru/images/original/09b301c3-5092-4ad8-9e7e-638c02493fa1.jpg","Фото")</f>
      </c>
    </row>
    <row r="9923">
      <c r="A9923" s="7">
        <f>HYPERLINK("http://www.lingerieopt.ru/item/10731-muzhskie-trusj-stringi-na-shirokoi-rezinke/","10731")</f>
      </c>
      <c r="B9923" s="8" t="s">
        <v>9480</v>
      </c>
      <c r="C9923" s="9">
        <v>620</v>
      </c>
      <c r="D9923" s="0">
        <v>3</v>
      </c>
      <c r="E9923" s="10">
        <f>HYPERLINK("http://www.lingerieopt.ru/images/original/09b301c3-5092-4ad8-9e7e-638c02493fa1.jpg","Фото")</f>
      </c>
    </row>
    <row r="9924">
      <c r="A9924" s="7">
        <f>HYPERLINK("http://www.lingerieopt.ru/item/10731-muzhskie-trusj-stringi-na-shirokoi-rezinke/","10731")</f>
      </c>
      <c r="B9924" s="8" t="s">
        <v>9481</v>
      </c>
      <c r="C9924" s="9">
        <v>620</v>
      </c>
      <c r="D9924" s="0">
        <v>3</v>
      </c>
      <c r="E9924" s="10">
        <f>HYPERLINK("http://www.lingerieopt.ru/images/original/09b301c3-5092-4ad8-9e7e-638c02493fa1.jpg","Фото")</f>
      </c>
    </row>
    <row r="9925">
      <c r="A9925" s="7">
        <f>HYPERLINK("http://www.lingerieopt.ru/item/10731-muzhskie-trusj-stringi-na-shirokoi-rezinke/","10731")</f>
      </c>
      <c r="B9925" s="8" t="s">
        <v>9482</v>
      </c>
      <c r="C9925" s="9">
        <v>620</v>
      </c>
      <c r="D9925" s="0">
        <v>1</v>
      </c>
      <c r="E9925" s="10">
        <f>HYPERLINK("http://www.lingerieopt.ru/images/original/09b301c3-5092-4ad8-9e7e-638c02493fa1.jpg","Фото")</f>
      </c>
    </row>
    <row r="9926">
      <c r="A9926" s="7">
        <f>HYPERLINK("http://www.lingerieopt.ru/item/10732-trusiki-stringi-iz-mikromodala-v-rubchik/","10732")</f>
      </c>
      <c r="B9926" s="8" t="s">
        <v>9483</v>
      </c>
      <c r="C9926" s="9">
        <v>429</v>
      </c>
      <c r="D9926" s="0">
        <v>1</v>
      </c>
      <c r="E9926" s="10">
        <f>HYPERLINK("http://www.lingerieopt.ru/images/original/cdc04353-525f-4e8d-8042-19863c7bc9c8.jpg","Фото")</f>
      </c>
    </row>
    <row r="9927">
      <c r="A9927" s="7">
        <f>HYPERLINK("http://www.lingerieopt.ru/item/10732-trusiki-stringi-iz-mikromodala-v-rubchik/","10732")</f>
      </c>
      <c r="B9927" s="8" t="s">
        <v>9484</v>
      </c>
      <c r="C9927" s="9">
        <v>429</v>
      </c>
      <c r="D9927" s="0">
        <v>3</v>
      </c>
      <c r="E9927" s="10">
        <f>HYPERLINK("http://www.lingerieopt.ru/images/original/cdc04353-525f-4e8d-8042-19863c7bc9c8.jpg","Фото")</f>
      </c>
    </row>
    <row r="9928">
      <c r="A9928" s="7">
        <f>HYPERLINK("http://www.lingerieopt.ru/item/10732-trusiki-stringi-iz-mikromodala-v-rubchik/","10732")</f>
      </c>
      <c r="B9928" s="8" t="s">
        <v>9485</v>
      </c>
      <c r="C9928" s="9">
        <v>429</v>
      </c>
      <c r="D9928" s="0">
        <v>2</v>
      </c>
      <c r="E9928" s="10">
        <f>HYPERLINK("http://www.lingerieopt.ru/images/original/cdc04353-525f-4e8d-8042-19863c7bc9c8.jpg","Фото")</f>
      </c>
    </row>
    <row r="9929">
      <c r="A9929" s="7">
        <f>HYPERLINK("http://www.lingerieopt.ru/item/10732-trusiki-stringi-iz-mikromodala-v-rubchik/","10732")</f>
      </c>
      <c r="B9929" s="8" t="s">
        <v>9486</v>
      </c>
      <c r="C9929" s="9">
        <v>429</v>
      </c>
      <c r="D9929" s="0">
        <v>3</v>
      </c>
      <c r="E9929" s="10">
        <f>HYPERLINK("http://www.lingerieopt.ru/images/original/cdc04353-525f-4e8d-8042-19863c7bc9c8.jpg","Фото")</f>
      </c>
    </row>
    <row r="9930">
      <c r="A9930" s="7">
        <f>HYPERLINK("http://www.lingerieopt.ru/item/10732-trusiki-stringi-iz-mikromodala-v-rubchik/","10732")</f>
      </c>
      <c r="B9930" s="8" t="s">
        <v>9487</v>
      </c>
      <c r="C9930" s="9">
        <v>429</v>
      </c>
      <c r="D9930" s="0">
        <v>1</v>
      </c>
      <c r="E9930" s="10">
        <f>HYPERLINK("http://www.lingerieopt.ru/images/original/cdc04353-525f-4e8d-8042-19863c7bc9c8.jpg","Фото")</f>
      </c>
    </row>
    <row r="9931">
      <c r="A9931" s="7">
        <f>HYPERLINK("http://www.lingerieopt.ru/item/10732-trusiki-stringi-iz-mikromodala-v-rubchik/","10732")</f>
      </c>
      <c r="B9931" s="8" t="s">
        <v>9488</v>
      </c>
      <c r="C9931" s="9">
        <v>429</v>
      </c>
      <c r="D9931" s="0">
        <v>3</v>
      </c>
      <c r="E9931" s="10">
        <f>HYPERLINK("http://www.lingerieopt.ru/images/original/cdc04353-525f-4e8d-8042-19863c7bc9c8.jpg","Фото")</f>
      </c>
    </row>
    <row r="9932">
      <c r="A9932" s="7">
        <f>HYPERLINK("http://www.lingerieopt.ru/item/10732-trusiki-stringi-iz-mikromodala-v-rubchik/","10732")</f>
      </c>
      <c r="B9932" s="8" t="s">
        <v>9489</v>
      </c>
      <c r="C9932" s="9">
        <v>429</v>
      </c>
      <c r="D9932" s="0">
        <v>0</v>
      </c>
      <c r="E9932" s="10">
        <f>HYPERLINK("http://www.lingerieopt.ru/images/original/cdc04353-525f-4e8d-8042-19863c7bc9c8.jpg","Фото")</f>
      </c>
    </row>
    <row r="9933">
      <c r="A9933" s="7">
        <f>HYPERLINK("http://www.lingerieopt.ru/item/10732-trusiki-stringi-iz-mikromodala-v-rubchik/","10732")</f>
      </c>
      <c r="B9933" s="8" t="s">
        <v>9490</v>
      </c>
      <c r="C9933" s="9">
        <v>429</v>
      </c>
      <c r="D9933" s="0">
        <v>3</v>
      </c>
      <c r="E9933" s="10">
        <f>HYPERLINK("http://www.lingerieopt.ru/images/original/cdc04353-525f-4e8d-8042-19863c7bc9c8.jpg","Фото")</f>
      </c>
    </row>
    <row r="9934">
      <c r="A9934" s="7">
        <f>HYPERLINK("http://www.lingerieopt.ru/item/10733-bokserj-iz-poluprozrachnoi-hlopkovo-modalnoi-tkani/","10733")</f>
      </c>
      <c r="B9934" s="8" t="s">
        <v>9491</v>
      </c>
      <c r="C9934" s="9">
        <v>702</v>
      </c>
      <c r="D9934" s="0">
        <v>3</v>
      </c>
      <c r="E9934" s="10">
        <f>HYPERLINK("http://www.lingerieopt.ru/images/original/c3ff60f4-f4d1-4fd0-8812-d04538ef6f92.jpg","Фото")</f>
      </c>
    </row>
    <row r="9935">
      <c r="A9935" s="7">
        <f>HYPERLINK("http://www.lingerieopt.ru/item/10733-bokserj-iz-poluprozrachnoi-hlopkovo-modalnoi-tkani/","10733")</f>
      </c>
      <c r="B9935" s="8" t="s">
        <v>9492</v>
      </c>
      <c r="C9935" s="9">
        <v>702</v>
      </c>
      <c r="D9935" s="0">
        <v>1</v>
      </c>
      <c r="E9935" s="10">
        <f>HYPERLINK("http://www.lingerieopt.ru/images/original/c3ff60f4-f4d1-4fd0-8812-d04538ef6f92.jpg","Фото")</f>
      </c>
    </row>
    <row r="9936">
      <c r="A9936" s="7">
        <f>HYPERLINK("http://www.lingerieopt.ru/item/10733-bokserj-iz-poluprozrachnoi-hlopkovo-modalnoi-tkani/","10733")</f>
      </c>
      <c r="B9936" s="8" t="s">
        <v>9493</v>
      </c>
      <c r="C9936" s="9">
        <v>702</v>
      </c>
      <c r="D9936" s="0">
        <v>1</v>
      </c>
      <c r="E9936" s="10">
        <f>HYPERLINK("http://www.lingerieopt.ru/images/original/c3ff60f4-f4d1-4fd0-8812-d04538ef6f92.jpg","Фото")</f>
      </c>
    </row>
    <row r="9937">
      <c r="A9937" s="7">
        <f>HYPERLINK("http://www.lingerieopt.ru/item/10733-bokserj-iz-poluprozrachnoi-hlopkovo-modalnoi-tkani/","10733")</f>
      </c>
      <c r="B9937" s="8" t="s">
        <v>9494</v>
      </c>
      <c r="C9937" s="9">
        <v>702</v>
      </c>
      <c r="D9937" s="0">
        <v>3</v>
      </c>
      <c r="E9937" s="10">
        <f>HYPERLINK("http://www.lingerieopt.ru/images/original/c3ff60f4-f4d1-4fd0-8812-d04538ef6f92.jpg","Фото")</f>
      </c>
    </row>
    <row r="9938">
      <c r="A9938" s="7">
        <f>HYPERLINK("http://www.lingerieopt.ru/item/10733-bokserj-iz-poluprozrachnoi-hlopkovo-modalnoi-tkani/","10733")</f>
      </c>
      <c r="B9938" s="8" t="s">
        <v>9495</v>
      </c>
      <c r="C9938" s="9">
        <v>702</v>
      </c>
      <c r="D9938" s="0">
        <v>1</v>
      </c>
      <c r="E9938" s="10">
        <f>HYPERLINK("http://www.lingerieopt.ru/images/original/c3ff60f4-f4d1-4fd0-8812-d04538ef6f92.jpg","Фото")</f>
      </c>
    </row>
    <row r="9939">
      <c r="A9939" s="7">
        <f>HYPERLINK("http://www.lingerieopt.ru/item/10733-bokserj-iz-poluprozrachnoi-hlopkovo-modalnoi-tkani/","10733")</f>
      </c>
      <c r="B9939" s="8" t="s">
        <v>9496</v>
      </c>
      <c r="C9939" s="9">
        <v>702</v>
      </c>
      <c r="D9939" s="0">
        <v>1</v>
      </c>
      <c r="E9939" s="10">
        <f>HYPERLINK("http://www.lingerieopt.ru/images/original/c3ff60f4-f4d1-4fd0-8812-d04538ef6f92.jpg","Фото")</f>
      </c>
    </row>
    <row r="9940">
      <c r="A9940" s="7">
        <f>HYPERLINK("http://www.lingerieopt.ru/item/10733-bokserj-iz-poluprozrachnoi-hlopkovo-modalnoi-tkani/","10733")</f>
      </c>
      <c r="B9940" s="8" t="s">
        <v>9497</v>
      </c>
      <c r="C9940" s="9">
        <v>702</v>
      </c>
      <c r="D9940" s="0">
        <v>3</v>
      </c>
      <c r="E9940" s="10">
        <f>HYPERLINK("http://www.lingerieopt.ru/images/original/c3ff60f4-f4d1-4fd0-8812-d04538ef6f92.jpg","Фото")</f>
      </c>
    </row>
    <row r="9941">
      <c r="A9941" s="7">
        <f>HYPERLINK("http://www.lingerieopt.ru/item/10733-bokserj-iz-poluprozrachnoi-hlopkovo-modalnoi-tkani/","10733")</f>
      </c>
      <c r="B9941" s="8" t="s">
        <v>9498</v>
      </c>
      <c r="C9941" s="9">
        <v>702</v>
      </c>
      <c r="D9941" s="0">
        <v>3</v>
      </c>
      <c r="E9941" s="10">
        <f>HYPERLINK("http://www.lingerieopt.ru/images/original/c3ff60f4-f4d1-4fd0-8812-d04538ef6f92.jpg","Фото")</f>
      </c>
    </row>
    <row r="9942">
      <c r="A9942" s="7">
        <f>HYPERLINK("http://www.lingerieopt.ru/item/10733-bokserj-iz-poluprozrachnoi-hlopkovo-modalnoi-tkani/","10733")</f>
      </c>
      <c r="B9942" s="8" t="s">
        <v>9499</v>
      </c>
      <c r="C9942" s="9">
        <v>702</v>
      </c>
      <c r="D9942" s="0">
        <v>3</v>
      </c>
      <c r="E9942" s="10">
        <f>HYPERLINK("http://www.lingerieopt.ru/images/original/c3ff60f4-f4d1-4fd0-8812-d04538ef6f92.jpg","Фото")</f>
      </c>
    </row>
    <row r="9943">
      <c r="A9943" s="7">
        <f>HYPERLINK("http://www.lingerieopt.ru/item/10733-bokserj-iz-poluprozrachnoi-hlopkovo-modalnoi-tkani/","10733")</f>
      </c>
      <c r="B9943" s="8" t="s">
        <v>9500</v>
      </c>
      <c r="C9943" s="9">
        <v>702</v>
      </c>
      <c r="D9943" s="0">
        <v>3</v>
      </c>
      <c r="E9943" s="10">
        <f>HYPERLINK("http://www.lingerieopt.ru/images/original/c3ff60f4-f4d1-4fd0-8812-d04538ef6f92.jpg","Фото")</f>
      </c>
    </row>
    <row r="9944">
      <c r="A9944" s="7">
        <f>HYPERLINK("http://www.lingerieopt.ru/item/10736-bokserj-s-uzorom-v-afrikanskom-stile/","10736")</f>
      </c>
      <c r="B9944" s="8" t="s">
        <v>9501</v>
      </c>
      <c r="C9944" s="9">
        <v>730</v>
      </c>
      <c r="D9944" s="0">
        <v>3</v>
      </c>
      <c r="E9944" s="10">
        <f>HYPERLINK("http://www.lingerieopt.ru/images/original/a017e4a3-8e89-4ebb-a53b-c1de3012492b.jpg","Фото")</f>
      </c>
    </row>
    <row r="9945">
      <c r="A9945" s="7">
        <f>HYPERLINK("http://www.lingerieopt.ru/item/10736-bokserj-s-uzorom-v-afrikanskom-stile/","10736")</f>
      </c>
      <c r="B9945" s="8" t="s">
        <v>9502</v>
      </c>
      <c r="C9945" s="9">
        <v>730</v>
      </c>
      <c r="D9945" s="0">
        <v>0</v>
      </c>
      <c r="E9945" s="10">
        <f>HYPERLINK("http://www.lingerieopt.ru/images/original/a017e4a3-8e89-4ebb-a53b-c1de3012492b.jpg","Фото")</f>
      </c>
    </row>
    <row r="9946">
      <c r="A9946" s="7">
        <f>HYPERLINK("http://www.lingerieopt.ru/item/10736-bokserj-s-uzorom-v-afrikanskom-stile/","10736")</f>
      </c>
      <c r="B9946" s="8" t="s">
        <v>9503</v>
      </c>
      <c r="C9946" s="9">
        <v>730</v>
      </c>
      <c r="D9946" s="0">
        <v>1</v>
      </c>
      <c r="E9946" s="10">
        <f>HYPERLINK("http://www.lingerieopt.ru/images/original/a017e4a3-8e89-4ebb-a53b-c1de3012492b.jpg","Фото")</f>
      </c>
    </row>
    <row r="9947">
      <c r="A9947" s="7">
        <f>HYPERLINK("http://www.lingerieopt.ru/item/10736-bokserj-s-uzorom-v-afrikanskom-stile/","10736")</f>
      </c>
      <c r="B9947" s="8" t="s">
        <v>9504</v>
      </c>
      <c r="C9947" s="9">
        <v>730</v>
      </c>
      <c r="D9947" s="0">
        <v>1</v>
      </c>
      <c r="E9947" s="10">
        <f>HYPERLINK("http://www.lingerieopt.ru/images/original/a017e4a3-8e89-4ebb-a53b-c1de3012492b.jpg","Фото")</f>
      </c>
    </row>
    <row r="9948">
      <c r="A9948" s="7">
        <f>HYPERLINK("http://www.lingerieopt.ru/item/10736-bokserj-s-uzorom-v-afrikanskom-stile/","10736")</f>
      </c>
      <c r="B9948" s="8" t="s">
        <v>9505</v>
      </c>
      <c r="C9948" s="9">
        <v>730</v>
      </c>
      <c r="D9948" s="0">
        <v>1</v>
      </c>
      <c r="E9948" s="10">
        <f>HYPERLINK("http://www.lingerieopt.ru/images/original/a017e4a3-8e89-4ebb-a53b-c1de3012492b.jpg","Фото")</f>
      </c>
    </row>
    <row r="9949">
      <c r="A9949" s="7">
        <f>HYPERLINK("http://www.lingerieopt.ru/item/10737-udlinennje-bokserj-iz-hlopkovo-modalnoi-tkani/","10737")</f>
      </c>
      <c r="B9949" s="8" t="s">
        <v>9506</v>
      </c>
      <c r="C9949" s="9">
        <v>712</v>
      </c>
      <c r="D9949" s="0">
        <v>3</v>
      </c>
      <c r="E9949" s="10">
        <f>HYPERLINK("http://www.lingerieopt.ru/images/original/8dfa6b0a-53bf-409f-a1d4-35a09b2f24b2.jpg","Фото")</f>
      </c>
    </row>
    <row r="9950">
      <c r="A9950" s="7">
        <f>HYPERLINK("http://www.lingerieopt.ru/item/10737-udlinennje-bokserj-iz-hlopkovo-modalnoi-tkani/","10737")</f>
      </c>
      <c r="B9950" s="8" t="s">
        <v>9507</v>
      </c>
      <c r="C9950" s="9">
        <v>712</v>
      </c>
      <c r="D9950" s="0">
        <v>1</v>
      </c>
      <c r="E9950" s="10">
        <f>HYPERLINK("http://www.lingerieopt.ru/images/original/8dfa6b0a-53bf-409f-a1d4-35a09b2f24b2.jpg","Фото")</f>
      </c>
    </row>
    <row r="9951">
      <c r="A9951" s="7">
        <f>HYPERLINK("http://www.lingerieopt.ru/item/10737-udlinennje-bokserj-iz-hlopkovo-modalnoi-tkani/","10737")</f>
      </c>
      <c r="B9951" s="8" t="s">
        <v>9508</v>
      </c>
      <c r="C9951" s="9">
        <v>712</v>
      </c>
      <c r="D9951" s="0">
        <v>3</v>
      </c>
      <c r="E9951" s="10">
        <f>HYPERLINK("http://www.lingerieopt.ru/images/original/8dfa6b0a-53bf-409f-a1d4-35a09b2f24b2.jpg","Фото")</f>
      </c>
    </row>
    <row r="9952">
      <c r="A9952" s="7">
        <f>HYPERLINK("http://www.lingerieopt.ru/item/10737-udlinennje-bokserj-iz-hlopkovo-modalnoi-tkani/","10737")</f>
      </c>
      <c r="B9952" s="8" t="s">
        <v>9509</v>
      </c>
      <c r="C9952" s="9">
        <v>712</v>
      </c>
      <c r="D9952" s="0">
        <v>3</v>
      </c>
      <c r="E9952" s="10">
        <f>HYPERLINK("http://www.lingerieopt.ru/images/original/8dfa6b0a-53bf-409f-a1d4-35a09b2f24b2.jpg","Фото")</f>
      </c>
    </row>
    <row r="9953">
      <c r="A9953" s="7">
        <f>HYPERLINK("http://www.lingerieopt.ru/item/10737-udlinennje-bokserj-iz-hlopkovo-modalnoi-tkani/","10737")</f>
      </c>
      <c r="B9953" s="8" t="s">
        <v>9510</v>
      </c>
      <c r="C9953" s="9">
        <v>712</v>
      </c>
      <c r="D9953" s="0">
        <v>1</v>
      </c>
      <c r="E9953" s="10">
        <f>HYPERLINK("http://www.lingerieopt.ru/images/original/8dfa6b0a-53bf-409f-a1d4-35a09b2f24b2.jpg","Фото")</f>
      </c>
    </row>
    <row r="9954">
      <c r="A9954" s="7">
        <f>HYPERLINK("http://www.lingerieopt.ru/item/10738-ukorochennje-bokserj-iz-hlopkovo-modalnoi-tkani/","10738")</f>
      </c>
      <c r="B9954" s="8" t="s">
        <v>9511</v>
      </c>
      <c r="C9954" s="9">
        <v>572</v>
      </c>
      <c r="D9954" s="0">
        <v>1</v>
      </c>
      <c r="E9954" s="10">
        <f>HYPERLINK("http://www.lingerieopt.ru/images/original/e0e46237-3722-4b74-8725-c2a25fe5c659.jpg","Фото")</f>
      </c>
    </row>
    <row r="9955">
      <c r="A9955" s="7">
        <f>HYPERLINK("http://www.lingerieopt.ru/item/10738-ukorochennje-bokserj-iz-hlopkovo-modalnoi-tkani/","10738")</f>
      </c>
      <c r="B9955" s="8" t="s">
        <v>9512</v>
      </c>
      <c r="C9955" s="9">
        <v>572</v>
      </c>
      <c r="D9955" s="0">
        <v>3</v>
      </c>
      <c r="E9955" s="10">
        <f>HYPERLINK("http://www.lingerieopt.ru/images/original/e0e46237-3722-4b74-8725-c2a25fe5c659.jpg","Фото")</f>
      </c>
    </row>
    <row r="9956">
      <c r="A9956" s="7">
        <f>HYPERLINK("http://www.lingerieopt.ru/item/10738-ukorochennje-bokserj-iz-hlopkovo-modalnoi-tkani/","10738")</f>
      </c>
      <c r="B9956" s="8" t="s">
        <v>9513</v>
      </c>
      <c r="C9956" s="9">
        <v>572</v>
      </c>
      <c r="D9956" s="0">
        <v>3</v>
      </c>
      <c r="E9956" s="10">
        <f>HYPERLINK("http://www.lingerieopt.ru/images/original/e0e46237-3722-4b74-8725-c2a25fe5c659.jpg","Фото")</f>
      </c>
    </row>
    <row r="9957">
      <c r="A9957" s="7">
        <f>HYPERLINK("http://www.lingerieopt.ru/item/10738-ukorochennje-bokserj-iz-hlopkovo-modalnoi-tkani/","10738")</f>
      </c>
      <c r="B9957" s="8" t="s">
        <v>9514</v>
      </c>
      <c r="C9957" s="9">
        <v>572</v>
      </c>
      <c r="D9957" s="0">
        <v>3</v>
      </c>
      <c r="E9957" s="10">
        <f>HYPERLINK("http://www.lingerieopt.ru/images/original/e0e46237-3722-4b74-8725-c2a25fe5c659.jpg","Фото")</f>
      </c>
    </row>
    <row r="9958">
      <c r="A9958" s="7">
        <f>HYPERLINK("http://www.lingerieopt.ru/item/10738-ukorochennje-bokserj-iz-hlopkovo-modalnoi-tkani/","10738")</f>
      </c>
      <c r="B9958" s="8" t="s">
        <v>9515</v>
      </c>
      <c r="C9958" s="9">
        <v>572</v>
      </c>
      <c r="D9958" s="0">
        <v>3</v>
      </c>
      <c r="E9958" s="10">
        <f>HYPERLINK("http://www.lingerieopt.ru/images/original/e0e46237-3722-4b74-8725-c2a25fe5c659.jpg","Фото")</f>
      </c>
    </row>
    <row r="9959">
      <c r="A9959" s="7">
        <f>HYPERLINK("http://www.lingerieopt.ru/item/10738-ukorochennje-bokserj-iz-hlopkovo-modalnoi-tkani/","10738")</f>
      </c>
      <c r="B9959" s="8" t="s">
        <v>9516</v>
      </c>
      <c r="C9959" s="9">
        <v>572</v>
      </c>
      <c r="D9959" s="0">
        <v>3</v>
      </c>
      <c r="E9959" s="10">
        <f>HYPERLINK("http://www.lingerieopt.ru/images/original/e0e46237-3722-4b74-8725-c2a25fe5c659.jpg","Фото")</f>
      </c>
    </row>
    <row r="9960">
      <c r="A9960" s="7">
        <f>HYPERLINK("http://www.lingerieopt.ru/item/10738-ukorochennje-bokserj-iz-hlopkovo-modalnoi-tkani/","10738")</f>
      </c>
      <c r="B9960" s="8" t="s">
        <v>9517</v>
      </c>
      <c r="C9960" s="9">
        <v>572</v>
      </c>
      <c r="D9960" s="0">
        <v>1</v>
      </c>
      <c r="E9960" s="10">
        <f>HYPERLINK("http://www.lingerieopt.ru/images/original/e0e46237-3722-4b74-8725-c2a25fe5c659.jpg","Фото")</f>
      </c>
    </row>
    <row r="9961">
      <c r="A9961" s="7">
        <f>HYPERLINK("http://www.lingerieopt.ru/item/10738-ukorochennje-bokserj-iz-hlopkovo-modalnoi-tkani/","10738")</f>
      </c>
      <c r="B9961" s="8" t="s">
        <v>9518</v>
      </c>
      <c r="C9961" s="9">
        <v>572</v>
      </c>
      <c r="D9961" s="0">
        <v>3</v>
      </c>
      <c r="E9961" s="10">
        <f>HYPERLINK("http://www.lingerieopt.ru/images/original/e0e46237-3722-4b74-8725-c2a25fe5c659.jpg","Фото")</f>
      </c>
    </row>
    <row r="9962">
      <c r="A9962" s="7">
        <f>HYPERLINK("http://www.lingerieopt.ru/item/10738-ukorochennje-bokserj-iz-hlopkovo-modalnoi-tkani/","10738")</f>
      </c>
      <c r="B9962" s="8" t="s">
        <v>9519</v>
      </c>
      <c r="C9962" s="9">
        <v>572</v>
      </c>
      <c r="D9962" s="0">
        <v>1</v>
      </c>
      <c r="E9962" s="10">
        <f>HYPERLINK("http://www.lingerieopt.ru/images/original/e0e46237-3722-4b74-8725-c2a25fe5c659.jpg","Фото")</f>
      </c>
    </row>
    <row r="9963">
      <c r="A9963" s="7">
        <f>HYPERLINK("http://www.lingerieopt.ru/item/10738-ukorochennje-bokserj-iz-hlopkovo-modalnoi-tkani/","10738")</f>
      </c>
      <c r="B9963" s="8" t="s">
        <v>9520</v>
      </c>
      <c r="C9963" s="9">
        <v>572</v>
      </c>
      <c r="D9963" s="0">
        <v>1</v>
      </c>
      <c r="E9963" s="10">
        <f>HYPERLINK("http://www.lingerieopt.ru/images/original/e0e46237-3722-4b74-8725-c2a25fe5c659.jpg","Фото")</f>
      </c>
    </row>
    <row r="9964">
      <c r="A9964" s="7">
        <f>HYPERLINK("http://www.lingerieopt.ru/item/10738-ukorochennje-bokserj-iz-hlopkovo-modalnoi-tkani/","10738")</f>
      </c>
      <c r="B9964" s="8" t="s">
        <v>9521</v>
      </c>
      <c r="C9964" s="9">
        <v>572</v>
      </c>
      <c r="D9964" s="0">
        <v>1</v>
      </c>
      <c r="E9964" s="10">
        <f>HYPERLINK("http://www.lingerieopt.ru/images/original/e0e46237-3722-4b74-8725-c2a25fe5c659.jpg","Фото")</f>
      </c>
    </row>
    <row r="9965">
      <c r="A9965" s="7">
        <f>HYPERLINK("http://www.lingerieopt.ru/item/10738-ukorochennje-bokserj-iz-hlopkovo-modalnoi-tkani/","10738")</f>
      </c>
      <c r="B9965" s="8" t="s">
        <v>9522</v>
      </c>
      <c r="C9965" s="9">
        <v>572</v>
      </c>
      <c r="D9965" s="0">
        <v>1</v>
      </c>
      <c r="E9965" s="10">
        <f>HYPERLINK("http://www.lingerieopt.ru/images/original/e0e46237-3722-4b74-8725-c2a25fe5c659.jpg","Фото")</f>
      </c>
    </row>
    <row r="9966">
      <c r="A9966" s="7">
        <f>HYPERLINK("http://www.lingerieopt.ru/item/10738-ukorochennje-bokserj-iz-hlopkovo-modalnoi-tkani/","10738")</f>
      </c>
      <c r="B9966" s="8" t="s">
        <v>9523</v>
      </c>
      <c r="C9966" s="9">
        <v>572</v>
      </c>
      <c r="D9966" s="0">
        <v>1</v>
      </c>
      <c r="E9966" s="10">
        <f>HYPERLINK("http://www.lingerieopt.ru/images/original/e0e46237-3722-4b74-8725-c2a25fe5c659.jpg","Фото")</f>
      </c>
    </row>
    <row r="9967">
      <c r="A9967" s="7">
        <f>HYPERLINK("http://www.lingerieopt.ru/item/10738-ukorochennje-bokserj-iz-hlopkovo-modalnoi-tkani/","10738")</f>
      </c>
      <c r="B9967" s="8" t="s">
        <v>9524</v>
      </c>
      <c r="C9967" s="9">
        <v>572</v>
      </c>
      <c r="D9967" s="0">
        <v>3</v>
      </c>
      <c r="E9967" s="10">
        <f>HYPERLINK("http://www.lingerieopt.ru/images/original/e0e46237-3722-4b74-8725-c2a25fe5c659.jpg","Фото")</f>
      </c>
    </row>
    <row r="9968">
      <c r="A9968" s="7">
        <f>HYPERLINK("http://www.lingerieopt.ru/item/10738-ukorochennje-bokserj-iz-hlopkovo-modalnoi-tkani/","10738")</f>
      </c>
      <c r="B9968" s="8" t="s">
        <v>9525</v>
      </c>
      <c r="C9968" s="9">
        <v>572</v>
      </c>
      <c r="D9968" s="0">
        <v>1</v>
      </c>
      <c r="E9968" s="10">
        <f>HYPERLINK("http://www.lingerieopt.ru/images/original/e0e46237-3722-4b74-8725-c2a25fe5c659.jpg","Фото")</f>
      </c>
    </row>
    <row r="9969">
      <c r="A9969" s="7">
        <f>HYPERLINK("http://www.lingerieopt.ru/item/10738-ukorochennje-bokserj-iz-hlopkovo-modalnoi-tkani/","10738")</f>
      </c>
      <c r="B9969" s="8" t="s">
        <v>9526</v>
      </c>
      <c r="C9969" s="9">
        <v>572</v>
      </c>
      <c r="D9969" s="0">
        <v>3</v>
      </c>
      <c r="E9969" s="10">
        <f>HYPERLINK("http://www.lingerieopt.ru/images/original/e0e46237-3722-4b74-8725-c2a25fe5c659.jpg","Фото")</f>
      </c>
    </row>
    <row r="9970">
      <c r="A9970" s="7">
        <f>HYPERLINK("http://www.lingerieopt.ru/item/10738-ukorochennje-bokserj-iz-hlopkovo-modalnoi-tkani/","10738")</f>
      </c>
      <c r="B9970" s="8" t="s">
        <v>9527</v>
      </c>
      <c r="C9970" s="9">
        <v>572</v>
      </c>
      <c r="D9970" s="0">
        <v>1</v>
      </c>
      <c r="E9970" s="10">
        <f>HYPERLINK("http://www.lingerieopt.ru/images/original/e0e46237-3722-4b74-8725-c2a25fe5c659.jpg","Фото")</f>
      </c>
    </row>
    <row r="9971">
      <c r="A9971" s="7">
        <f>HYPERLINK("http://www.lingerieopt.ru/item/10738-ukorochennje-bokserj-iz-hlopkovo-modalnoi-tkani/","10738")</f>
      </c>
      <c r="B9971" s="8" t="s">
        <v>9528</v>
      </c>
      <c r="C9971" s="9">
        <v>572</v>
      </c>
      <c r="D9971" s="0">
        <v>1</v>
      </c>
      <c r="E9971" s="10">
        <f>HYPERLINK("http://www.lingerieopt.ru/images/original/e0e46237-3722-4b74-8725-c2a25fe5c659.jpg","Фото")</f>
      </c>
    </row>
    <row r="9972">
      <c r="A9972" s="7">
        <f>HYPERLINK("http://www.lingerieopt.ru/item/10738-ukorochennje-bokserj-iz-hlopkovo-modalnoi-tkani/","10738")</f>
      </c>
      <c r="B9972" s="8" t="s">
        <v>9529</v>
      </c>
      <c r="C9972" s="9">
        <v>572</v>
      </c>
      <c r="D9972" s="0">
        <v>3</v>
      </c>
      <c r="E9972" s="10">
        <f>HYPERLINK("http://www.lingerieopt.ru/images/original/e0e46237-3722-4b74-8725-c2a25fe5c659.jpg","Фото")</f>
      </c>
    </row>
    <row r="9973">
      <c r="A9973" s="7">
        <f>HYPERLINK("http://www.lingerieopt.ru/item/10738-ukorochennje-bokserj-iz-hlopkovo-modalnoi-tkani/","10738")</f>
      </c>
      <c r="B9973" s="8" t="s">
        <v>9530</v>
      </c>
      <c r="C9973" s="9">
        <v>572</v>
      </c>
      <c r="D9973" s="0">
        <v>3</v>
      </c>
      <c r="E9973" s="10">
        <f>HYPERLINK("http://www.lingerieopt.ru/images/original/e0e46237-3722-4b74-8725-c2a25fe5c659.jpg","Фото")</f>
      </c>
    </row>
    <row r="9974">
      <c r="A9974" s="7">
        <f>HYPERLINK("http://www.lingerieopt.ru/item/10739-bokserj-s-uzorami-iz-hlopkovo-modalnoi-tkani/","10739")</f>
      </c>
      <c r="B9974" s="8" t="s">
        <v>9531</v>
      </c>
      <c r="C9974" s="9">
        <v>730</v>
      </c>
      <c r="D9974" s="0">
        <v>1</v>
      </c>
      <c r="E9974" s="10">
        <f>HYPERLINK("http://www.lingerieopt.ru/images/original/d5b54029-be92-444b-ab8a-6f529f9efbd9.jpg","Фото")</f>
      </c>
    </row>
    <row r="9975">
      <c r="A9975" s="7">
        <f>HYPERLINK("http://www.lingerieopt.ru/item/10739-bokserj-s-uzorami-iz-hlopkovo-modalnoi-tkani/","10739")</f>
      </c>
      <c r="B9975" s="8" t="s">
        <v>9532</v>
      </c>
      <c r="C9975" s="9">
        <v>730</v>
      </c>
      <c r="D9975" s="0">
        <v>3</v>
      </c>
      <c r="E9975" s="10">
        <f>HYPERLINK("http://www.lingerieopt.ru/images/original/d5b54029-be92-444b-ab8a-6f529f9efbd9.jpg","Фото")</f>
      </c>
    </row>
    <row r="9976">
      <c r="A9976" s="7">
        <f>HYPERLINK("http://www.lingerieopt.ru/item/10739-bokserj-s-uzorami-iz-hlopkovo-modalnoi-tkani/","10739")</f>
      </c>
      <c r="B9976" s="8" t="s">
        <v>9533</v>
      </c>
      <c r="C9976" s="9">
        <v>730</v>
      </c>
      <c r="D9976" s="0">
        <v>1</v>
      </c>
      <c r="E9976" s="10">
        <f>HYPERLINK("http://www.lingerieopt.ru/images/original/d5b54029-be92-444b-ab8a-6f529f9efbd9.jpg","Фото")</f>
      </c>
    </row>
    <row r="9977">
      <c r="A9977" s="7">
        <f>HYPERLINK("http://www.lingerieopt.ru/item/10739-bokserj-s-uzorami-iz-hlopkovo-modalnoi-tkani/","10739")</f>
      </c>
      <c r="B9977" s="8" t="s">
        <v>9534</v>
      </c>
      <c r="C9977" s="9">
        <v>730</v>
      </c>
      <c r="D9977" s="0">
        <v>1</v>
      </c>
      <c r="E9977" s="10">
        <f>HYPERLINK("http://www.lingerieopt.ru/images/original/d5b54029-be92-444b-ab8a-6f529f9efbd9.jpg","Фото")</f>
      </c>
    </row>
    <row r="9978">
      <c r="A9978" s="7">
        <f>HYPERLINK("http://www.lingerieopt.ru/item/10739-bokserj-s-uzorami-iz-hlopkovo-modalnoi-tkani/","10739")</f>
      </c>
      <c r="B9978" s="8" t="s">
        <v>9535</v>
      </c>
      <c r="C9978" s="9">
        <v>730</v>
      </c>
      <c r="D9978" s="0">
        <v>3</v>
      </c>
      <c r="E9978" s="10">
        <f>HYPERLINK("http://www.lingerieopt.ru/images/original/d5b54029-be92-444b-ab8a-6f529f9efbd9.jpg","Фото")</f>
      </c>
    </row>
    <row r="9979">
      <c r="A9979" s="7">
        <f>HYPERLINK("http://www.lingerieopt.ru/item/10740-hlopkovje-bokserj-s-udobnoi-posadkoi/","10740")</f>
      </c>
      <c r="B9979" s="8" t="s">
        <v>9536</v>
      </c>
      <c r="C9979" s="9">
        <v>748</v>
      </c>
      <c r="D9979" s="0">
        <v>3</v>
      </c>
      <c r="E9979" s="10">
        <f>HYPERLINK("http://www.lingerieopt.ru/images/original/6f074b1b-2305-4f8c-a4c6-11953d942150.jpg","Фото")</f>
      </c>
    </row>
    <row r="9980">
      <c r="A9980" s="7">
        <f>HYPERLINK("http://www.lingerieopt.ru/item/10740-hlopkovje-bokserj-s-udobnoi-posadkoi/","10740")</f>
      </c>
      <c r="B9980" s="8" t="s">
        <v>9537</v>
      </c>
      <c r="C9980" s="9">
        <v>748</v>
      </c>
      <c r="D9980" s="0">
        <v>1</v>
      </c>
      <c r="E9980" s="10">
        <f>HYPERLINK("http://www.lingerieopt.ru/images/original/6f074b1b-2305-4f8c-a4c6-11953d942150.jpg","Фото")</f>
      </c>
    </row>
    <row r="9981">
      <c r="A9981" s="7">
        <f>HYPERLINK("http://www.lingerieopt.ru/item/10740-hlopkovje-bokserj-s-udobnoi-posadkoi/","10740")</f>
      </c>
      <c r="B9981" s="8" t="s">
        <v>9538</v>
      </c>
      <c r="C9981" s="9">
        <v>748</v>
      </c>
      <c r="D9981" s="0">
        <v>1</v>
      </c>
      <c r="E9981" s="10">
        <f>HYPERLINK("http://www.lingerieopt.ru/images/original/6f074b1b-2305-4f8c-a4c6-11953d942150.jpg","Фото")</f>
      </c>
    </row>
    <row r="9982">
      <c r="A9982" s="7">
        <f>HYPERLINK("http://www.lingerieopt.ru/item/10740-hlopkovje-bokserj-s-udobnoi-posadkoi/","10740")</f>
      </c>
      <c r="B9982" s="8" t="s">
        <v>9539</v>
      </c>
      <c r="C9982" s="9">
        <v>748</v>
      </c>
      <c r="D9982" s="0">
        <v>3</v>
      </c>
      <c r="E9982" s="10">
        <f>HYPERLINK("http://www.lingerieopt.ru/images/original/6f074b1b-2305-4f8c-a4c6-11953d942150.jpg","Фото")</f>
      </c>
    </row>
    <row r="9983">
      <c r="A9983" s="7">
        <f>HYPERLINK("http://www.lingerieopt.ru/item/10740-hlopkovje-bokserj-s-udobnoi-posadkoi/","10740")</f>
      </c>
      <c r="B9983" s="8" t="s">
        <v>9540</v>
      </c>
      <c r="C9983" s="9">
        <v>748</v>
      </c>
      <c r="D9983" s="0">
        <v>3</v>
      </c>
      <c r="E9983" s="10">
        <f>HYPERLINK("http://www.lingerieopt.ru/images/original/6f074b1b-2305-4f8c-a4c6-11953d942150.jpg","Фото")</f>
      </c>
    </row>
    <row r="9984">
      <c r="A9984" s="7">
        <f>HYPERLINK("http://www.lingerieopt.ru/item/10742-muzhskie-trusj-slipj-na-zamochke/","10742")</f>
      </c>
      <c r="B9984" s="8" t="s">
        <v>9541</v>
      </c>
      <c r="C9984" s="9">
        <v>720</v>
      </c>
      <c r="D9984" s="0">
        <v>3</v>
      </c>
      <c r="E9984" s="10">
        <f>HYPERLINK("http://www.lingerieopt.ru/images/original/eaacc19f-d386-4f98-8733-e9c899ff3af2.jpg","Фото")</f>
      </c>
    </row>
    <row r="9985">
      <c r="A9985" s="7">
        <f>HYPERLINK("http://www.lingerieopt.ru/item/10742-muzhskie-trusj-slipj-na-zamochke/","10742")</f>
      </c>
      <c r="B9985" s="8" t="s">
        <v>9542</v>
      </c>
      <c r="C9985" s="9">
        <v>720</v>
      </c>
      <c r="D9985" s="0">
        <v>3</v>
      </c>
      <c r="E9985" s="10">
        <f>HYPERLINK("http://www.lingerieopt.ru/images/original/eaacc19f-d386-4f98-8733-e9c899ff3af2.jpg","Фото")</f>
      </c>
    </row>
    <row r="9986">
      <c r="A9986" s="7">
        <f>HYPERLINK("http://www.lingerieopt.ru/item/10742-muzhskie-trusj-slipj-na-zamochke/","10742")</f>
      </c>
      <c r="B9986" s="8" t="s">
        <v>9543</v>
      </c>
      <c r="C9986" s="9">
        <v>720</v>
      </c>
      <c r="D9986" s="0">
        <v>1</v>
      </c>
      <c r="E9986" s="10">
        <f>HYPERLINK("http://www.lingerieopt.ru/images/original/eaacc19f-d386-4f98-8733-e9c899ff3af2.jpg","Фото")</f>
      </c>
    </row>
    <row r="9987">
      <c r="A9987" s="7">
        <f>HYPERLINK("http://www.lingerieopt.ru/item/10742-muzhskie-trusj-slipj-na-zamochke/","10742")</f>
      </c>
      <c r="B9987" s="8" t="s">
        <v>9544</v>
      </c>
      <c r="C9987" s="9">
        <v>720</v>
      </c>
      <c r="D9987" s="0">
        <v>1</v>
      </c>
      <c r="E9987" s="10">
        <f>HYPERLINK("http://www.lingerieopt.ru/images/original/eaacc19f-d386-4f98-8733-e9c899ff3af2.jpg","Фото")</f>
      </c>
    </row>
    <row r="9988">
      <c r="A9988" s="7">
        <f>HYPERLINK("http://www.lingerieopt.ru/item/10742-muzhskie-trusj-slipj-na-zamochke/","10742")</f>
      </c>
      <c r="B9988" s="8" t="s">
        <v>9545</v>
      </c>
      <c r="C9988" s="9">
        <v>720</v>
      </c>
      <c r="D9988" s="0">
        <v>0</v>
      </c>
      <c r="E9988" s="10">
        <f>HYPERLINK("http://www.lingerieopt.ru/images/original/eaacc19f-d386-4f98-8733-e9c899ff3af2.jpg","Фото")</f>
      </c>
    </row>
    <row r="9989">
      <c r="A9989" s="7">
        <f>HYPERLINK("http://www.lingerieopt.ru/item/10743-bokserj-s-zolotistjmi-konturnjmi-liniyami/","10743")</f>
      </c>
      <c r="B9989" s="8" t="s">
        <v>9546</v>
      </c>
      <c r="C9989" s="9">
        <v>676</v>
      </c>
      <c r="D9989" s="0">
        <v>3</v>
      </c>
      <c r="E9989" s="10">
        <f>HYPERLINK("http://www.lingerieopt.ru/images/original/7aa4cacc-391a-4f32-9d8e-b5ed74963ba5.jpg","Фото")</f>
      </c>
    </row>
    <row r="9990">
      <c r="A9990" s="7">
        <f>HYPERLINK("http://www.lingerieopt.ru/item/10743-bokserj-s-zolotistjmi-konturnjmi-liniyami/","10743")</f>
      </c>
      <c r="B9990" s="8" t="s">
        <v>9547</v>
      </c>
      <c r="C9990" s="9">
        <v>676</v>
      </c>
      <c r="D9990" s="0">
        <v>3</v>
      </c>
      <c r="E9990" s="10">
        <f>HYPERLINK("http://www.lingerieopt.ru/images/original/7aa4cacc-391a-4f32-9d8e-b5ed74963ba5.jpg","Фото")</f>
      </c>
    </row>
    <row r="9991">
      <c r="A9991" s="7">
        <f>HYPERLINK("http://www.lingerieopt.ru/item/10743-bokserj-s-zolotistjmi-konturnjmi-liniyami/","10743")</f>
      </c>
      <c r="B9991" s="8" t="s">
        <v>9548</v>
      </c>
      <c r="C9991" s="9">
        <v>676</v>
      </c>
      <c r="D9991" s="0">
        <v>1</v>
      </c>
      <c r="E9991" s="10">
        <f>HYPERLINK("http://www.lingerieopt.ru/images/original/7aa4cacc-391a-4f32-9d8e-b5ed74963ba5.jpg","Фото")</f>
      </c>
    </row>
    <row r="9992">
      <c r="A9992" s="7">
        <f>HYPERLINK("http://www.lingerieopt.ru/item/10743-bokserj-s-zolotistjmi-konturnjmi-liniyami/","10743")</f>
      </c>
      <c r="B9992" s="8" t="s">
        <v>9549</v>
      </c>
      <c r="C9992" s="9">
        <v>676</v>
      </c>
      <c r="D9992" s="0">
        <v>3</v>
      </c>
      <c r="E9992" s="10">
        <f>HYPERLINK("http://www.lingerieopt.ru/images/original/7aa4cacc-391a-4f32-9d8e-b5ed74963ba5.jpg","Фото")</f>
      </c>
    </row>
    <row r="9993">
      <c r="A9993" s="7">
        <f>HYPERLINK("http://www.lingerieopt.ru/item/10743-bokserj-s-zolotistjmi-konturnjmi-liniyami/","10743")</f>
      </c>
      <c r="B9993" s="8" t="s">
        <v>9550</v>
      </c>
      <c r="C9993" s="9">
        <v>676</v>
      </c>
      <c r="D9993" s="0">
        <v>1</v>
      </c>
      <c r="E9993" s="10">
        <f>HYPERLINK("http://www.lingerieopt.ru/images/original/7aa4cacc-391a-4f32-9d8e-b5ed74963ba5.jpg","Фото")</f>
      </c>
    </row>
    <row r="9994">
      <c r="A9994" s="7">
        <f>HYPERLINK("http://www.lingerieopt.ru/item/10744-klassicheskie-bokserj-s-nadpisyu-doreanse-na-poyase/","10744")</f>
      </c>
      <c r="B9994" s="8" t="s">
        <v>9551</v>
      </c>
      <c r="C9994" s="9">
        <v>676</v>
      </c>
      <c r="D9994" s="0">
        <v>3</v>
      </c>
      <c r="E9994" s="10">
        <f>HYPERLINK("http://www.lingerieopt.ru/images/original/d98e1e81-4dc0-4639-a386-8bab69fb7b3d.jpg","Фото")</f>
      </c>
    </row>
    <row r="9995">
      <c r="A9995" s="7">
        <f>HYPERLINK("http://www.lingerieopt.ru/item/10744-klassicheskie-bokserj-s-nadpisyu-doreanse-na-poyase/","10744")</f>
      </c>
      <c r="B9995" s="8" t="s">
        <v>9552</v>
      </c>
      <c r="C9995" s="9">
        <v>676</v>
      </c>
      <c r="D9995" s="0">
        <v>3</v>
      </c>
      <c r="E9995" s="10">
        <f>HYPERLINK("http://www.lingerieopt.ru/images/original/d98e1e81-4dc0-4639-a386-8bab69fb7b3d.jpg","Фото")</f>
      </c>
    </row>
    <row r="9996">
      <c r="A9996" s="7">
        <f>HYPERLINK("http://www.lingerieopt.ru/item/10744-klassicheskie-bokserj-s-nadpisyu-doreanse-na-poyase/","10744")</f>
      </c>
      <c r="B9996" s="8" t="s">
        <v>9553</v>
      </c>
      <c r="C9996" s="9">
        <v>676</v>
      </c>
      <c r="D9996" s="0">
        <v>3</v>
      </c>
      <c r="E9996" s="10">
        <f>HYPERLINK("http://www.lingerieopt.ru/images/original/d98e1e81-4dc0-4639-a386-8bab69fb7b3d.jpg","Фото")</f>
      </c>
    </row>
    <row r="9997">
      <c r="A9997" s="7">
        <f>HYPERLINK("http://www.lingerieopt.ru/item/10744-klassicheskie-bokserj-s-nadpisyu-doreanse-na-poyase/","10744")</f>
      </c>
      <c r="B9997" s="8" t="s">
        <v>9554</v>
      </c>
      <c r="C9997" s="9">
        <v>676</v>
      </c>
      <c r="D9997" s="0">
        <v>3</v>
      </c>
      <c r="E9997" s="10">
        <f>HYPERLINK("http://www.lingerieopt.ru/images/original/d98e1e81-4dc0-4639-a386-8bab69fb7b3d.jpg","Фото")</f>
      </c>
    </row>
    <row r="9998">
      <c r="A9998" s="7">
        <f>HYPERLINK("http://www.lingerieopt.ru/item/10744-klassicheskie-bokserj-s-nadpisyu-doreanse-na-poyase/","10744")</f>
      </c>
      <c r="B9998" s="8" t="s">
        <v>9555</v>
      </c>
      <c r="C9998" s="9">
        <v>676</v>
      </c>
      <c r="D9998" s="0">
        <v>1</v>
      </c>
      <c r="E9998" s="10">
        <f>HYPERLINK("http://www.lingerieopt.ru/images/original/d98e1e81-4dc0-4639-a386-8bab69fb7b3d.jpg","Фото")</f>
      </c>
    </row>
    <row r="9999">
      <c r="A9999" s="7">
        <f>HYPERLINK("http://www.lingerieopt.ru/item/10744-klassicheskie-bokserj-s-nadpisyu-doreanse-na-poyase/","10744")</f>
      </c>
      <c r="B9999" s="8" t="s">
        <v>9556</v>
      </c>
      <c r="C9999" s="9">
        <v>676</v>
      </c>
      <c r="D9999" s="0">
        <v>3</v>
      </c>
      <c r="E9999" s="10">
        <f>HYPERLINK("http://www.lingerieopt.ru/images/original/d98e1e81-4dc0-4639-a386-8bab69fb7b3d.jpg","Фото")</f>
      </c>
    </row>
    <row r="10000">
      <c r="A10000" s="7">
        <f>HYPERLINK("http://www.lingerieopt.ru/item/10744-klassicheskie-bokserj-s-nadpisyu-doreanse-na-poyase/","10744")</f>
      </c>
      <c r="B10000" s="8" t="s">
        <v>9557</v>
      </c>
      <c r="C10000" s="9">
        <v>676</v>
      </c>
      <c r="D10000" s="0">
        <v>3</v>
      </c>
      <c r="E10000" s="10">
        <f>HYPERLINK("http://www.lingerieopt.ru/images/original/d98e1e81-4dc0-4639-a386-8bab69fb7b3d.jpg","Фото")</f>
      </c>
    </row>
    <row r="10001">
      <c r="A10001" s="7">
        <f>HYPERLINK("http://www.lingerieopt.ru/item/10744-klassicheskie-bokserj-s-nadpisyu-doreanse-na-poyase/","10744")</f>
      </c>
      <c r="B10001" s="8" t="s">
        <v>9558</v>
      </c>
      <c r="C10001" s="9">
        <v>676</v>
      </c>
      <c r="D10001" s="0">
        <v>3</v>
      </c>
      <c r="E10001" s="10">
        <f>HYPERLINK("http://www.lingerieopt.ru/images/original/d98e1e81-4dc0-4639-a386-8bab69fb7b3d.jpg","Фото")</f>
      </c>
    </row>
    <row r="10002">
      <c r="A10002" s="7">
        <f>HYPERLINK("http://www.lingerieopt.ru/item/10744-klassicheskie-bokserj-s-nadpisyu-doreanse-na-poyase/","10744")</f>
      </c>
      <c r="B10002" s="8" t="s">
        <v>9559</v>
      </c>
      <c r="C10002" s="9">
        <v>676</v>
      </c>
      <c r="D10002" s="0">
        <v>3</v>
      </c>
      <c r="E10002" s="10">
        <f>HYPERLINK("http://www.lingerieopt.ru/images/original/d98e1e81-4dc0-4639-a386-8bab69fb7b3d.jpg","Фото")</f>
      </c>
    </row>
    <row r="10003">
      <c r="A10003" s="7">
        <f>HYPERLINK("http://www.lingerieopt.ru/item/10745-odnotonnje-trusj-slipj/","10745")</f>
      </c>
      <c r="B10003" s="8" t="s">
        <v>9560</v>
      </c>
      <c r="C10003" s="9">
        <v>476</v>
      </c>
      <c r="D10003" s="0">
        <v>1</v>
      </c>
      <c r="E10003" s="10">
        <f>HYPERLINK("http://www.lingerieopt.ru/images/original/288ac0de-fbb8-4887-89f1-36988b28e46f.jpg","Фото")</f>
      </c>
    </row>
    <row r="10004">
      <c r="A10004" s="7">
        <f>HYPERLINK("http://www.lingerieopt.ru/item/10745-odnotonnje-trusj-slipj/","10745")</f>
      </c>
      <c r="B10004" s="8" t="s">
        <v>9561</v>
      </c>
      <c r="C10004" s="9">
        <v>476</v>
      </c>
      <c r="D10004" s="0">
        <v>3</v>
      </c>
      <c r="E10004" s="10">
        <f>HYPERLINK("http://www.lingerieopt.ru/images/original/288ac0de-fbb8-4887-89f1-36988b28e46f.jpg","Фото")</f>
      </c>
    </row>
    <row r="10005">
      <c r="A10005" s="7">
        <f>HYPERLINK("http://www.lingerieopt.ru/item/10745-odnotonnje-trusj-slipj/","10745")</f>
      </c>
      <c r="B10005" s="8" t="s">
        <v>9562</v>
      </c>
      <c r="C10005" s="9">
        <v>476</v>
      </c>
      <c r="D10005" s="0">
        <v>3</v>
      </c>
      <c r="E10005" s="10">
        <f>HYPERLINK("http://www.lingerieopt.ru/images/original/288ac0de-fbb8-4887-89f1-36988b28e46f.jpg","Фото")</f>
      </c>
    </row>
    <row r="10006">
      <c r="A10006" s="7">
        <f>HYPERLINK("http://www.lingerieopt.ru/item/10745-odnotonnje-trusj-slipj/","10745")</f>
      </c>
      <c r="B10006" s="8" t="s">
        <v>9563</v>
      </c>
      <c r="C10006" s="9">
        <v>476</v>
      </c>
      <c r="D10006" s="0">
        <v>1</v>
      </c>
      <c r="E10006" s="10">
        <f>HYPERLINK("http://www.lingerieopt.ru/images/original/288ac0de-fbb8-4887-89f1-36988b28e46f.jpg","Фото")</f>
      </c>
    </row>
    <row r="10007">
      <c r="A10007" s="7">
        <f>HYPERLINK("http://www.lingerieopt.ru/item/10745-odnotonnje-trusj-slipj/","10745")</f>
      </c>
      <c r="B10007" s="8" t="s">
        <v>9564</v>
      </c>
      <c r="C10007" s="9">
        <v>476</v>
      </c>
      <c r="D10007" s="0">
        <v>3</v>
      </c>
      <c r="E10007" s="10">
        <f>HYPERLINK("http://www.lingerieopt.ru/images/original/288ac0de-fbb8-4887-89f1-36988b28e46f.jpg","Фото")</f>
      </c>
    </row>
    <row r="10008">
      <c r="A10008" s="7">
        <f>HYPERLINK("http://www.lingerieopt.ru/item/10745-odnotonnje-trusj-slipj/","10745")</f>
      </c>
      <c r="B10008" s="8" t="s">
        <v>9565</v>
      </c>
      <c r="C10008" s="9">
        <v>476</v>
      </c>
      <c r="D10008" s="0">
        <v>3</v>
      </c>
      <c r="E10008" s="10">
        <f>HYPERLINK("http://www.lingerieopt.ru/images/original/288ac0de-fbb8-4887-89f1-36988b28e46f.jpg","Фото")</f>
      </c>
    </row>
    <row r="10009">
      <c r="A10009" s="7">
        <f>HYPERLINK("http://www.lingerieopt.ru/item/10745-odnotonnje-trusj-slipj/","10745")</f>
      </c>
      <c r="B10009" s="8" t="s">
        <v>9566</v>
      </c>
      <c r="C10009" s="9">
        <v>476</v>
      </c>
      <c r="D10009" s="0">
        <v>1</v>
      </c>
      <c r="E10009" s="10">
        <f>HYPERLINK("http://www.lingerieopt.ru/images/original/288ac0de-fbb8-4887-89f1-36988b28e46f.jpg","Фото")</f>
      </c>
    </row>
    <row r="10010">
      <c r="A10010" s="7">
        <f>HYPERLINK("http://www.lingerieopt.ru/item/10745-odnotonnje-trusj-slipj/","10745")</f>
      </c>
      <c r="B10010" s="8" t="s">
        <v>9567</v>
      </c>
      <c r="C10010" s="9">
        <v>476</v>
      </c>
      <c r="D10010" s="0">
        <v>1</v>
      </c>
      <c r="E10010" s="10">
        <f>HYPERLINK("http://www.lingerieopt.ru/images/original/288ac0de-fbb8-4887-89f1-36988b28e46f.jpg","Фото")</f>
      </c>
    </row>
    <row r="10011">
      <c r="A10011" s="7">
        <f>HYPERLINK("http://www.lingerieopt.ru/item/10745-odnotonnje-trusj-slipj/","10745")</f>
      </c>
      <c r="B10011" s="8" t="s">
        <v>9568</v>
      </c>
      <c r="C10011" s="9">
        <v>476</v>
      </c>
      <c r="D10011" s="0">
        <v>3</v>
      </c>
      <c r="E10011" s="10">
        <f>HYPERLINK("http://www.lingerieopt.ru/images/original/288ac0de-fbb8-4887-89f1-36988b28e46f.jpg","Фото")</f>
      </c>
    </row>
    <row r="10012">
      <c r="A10012" s="7">
        <f>HYPERLINK("http://www.lingerieopt.ru/item/10745-odnotonnje-trusj-slipj/","10745")</f>
      </c>
      <c r="B10012" s="8" t="s">
        <v>9569</v>
      </c>
      <c r="C10012" s="9">
        <v>476</v>
      </c>
      <c r="D10012" s="0">
        <v>3</v>
      </c>
      <c r="E10012" s="10">
        <f>HYPERLINK("http://www.lingerieopt.ru/images/original/288ac0de-fbb8-4887-89f1-36988b28e46f.jpg","Фото")</f>
      </c>
    </row>
    <row r="10013">
      <c r="A10013" s="7">
        <f>HYPERLINK("http://www.lingerieopt.ru/item/10746-bokserj-srednei-dlinj-iz-hlopkovo-modalnoi-tkani/","10746")</f>
      </c>
      <c r="B10013" s="8" t="s">
        <v>9570</v>
      </c>
      <c r="C10013" s="9">
        <v>756</v>
      </c>
      <c r="D10013" s="0">
        <v>3</v>
      </c>
      <c r="E10013" s="10">
        <f>HYPERLINK("http://www.lingerieopt.ru/images/original/41049b46-adac-4b57-b7cf-a4c130cb7801.jpg","Фото")</f>
      </c>
    </row>
    <row r="10014">
      <c r="A10014" s="7">
        <f>HYPERLINK("http://www.lingerieopt.ru/item/10746-bokserj-srednei-dlinj-iz-hlopkovo-modalnoi-tkani/","10746")</f>
      </c>
      <c r="B10014" s="8" t="s">
        <v>9571</v>
      </c>
      <c r="C10014" s="9">
        <v>756</v>
      </c>
      <c r="D10014" s="0">
        <v>1</v>
      </c>
      <c r="E10014" s="10">
        <f>HYPERLINK("http://www.lingerieopt.ru/images/original/41049b46-adac-4b57-b7cf-a4c130cb7801.jpg","Фото")</f>
      </c>
    </row>
    <row r="10015">
      <c r="A10015" s="7">
        <f>HYPERLINK("http://www.lingerieopt.ru/item/10746-bokserj-srednei-dlinj-iz-hlopkovo-modalnoi-tkani/","10746")</f>
      </c>
      <c r="B10015" s="8" t="s">
        <v>9572</v>
      </c>
      <c r="C10015" s="9">
        <v>756</v>
      </c>
      <c r="D10015" s="0">
        <v>3</v>
      </c>
      <c r="E10015" s="10">
        <f>HYPERLINK("http://www.lingerieopt.ru/images/original/41049b46-adac-4b57-b7cf-a4c130cb7801.jpg","Фото")</f>
      </c>
    </row>
    <row r="10016">
      <c r="A10016" s="7">
        <f>HYPERLINK("http://www.lingerieopt.ru/item/10746-bokserj-srednei-dlinj-iz-hlopkovo-modalnoi-tkani/","10746")</f>
      </c>
      <c r="B10016" s="8" t="s">
        <v>9573</v>
      </c>
      <c r="C10016" s="9">
        <v>756</v>
      </c>
      <c r="D10016" s="0">
        <v>3</v>
      </c>
      <c r="E10016" s="10">
        <f>HYPERLINK("http://www.lingerieopt.ru/images/original/41049b46-adac-4b57-b7cf-a4c130cb7801.jpg","Фото")</f>
      </c>
    </row>
    <row r="10017">
      <c r="A10017" s="7">
        <f>HYPERLINK("http://www.lingerieopt.ru/item/10746-bokserj-srednei-dlinj-iz-hlopkovo-modalnoi-tkani/","10746")</f>
      </c>
      <c r="B10017" s="8" t="s">
        <v>9574</v>
      </c>
      <c r="C10017" s="9">
        <v>756</v>
      </c>
      <c r="D10017" s="0">
        <v>1</v>
      </c>
      <c r="E10017" s="10">
        <f>HYPERLINK("http://www.lingerieopt.ru/images/original/41049b46-adac-4b57-b7cf-a4c130cb7801.jpg","Фото")</f>
      </c>
    </row>
    <row r="10018">
      <c r="A10018" s="7">
        <f>HYPERLINK("http://www.lingerieopt.ru/item/10749-muzhskie-stringi-iz-hlopkovo-modalnoi-tkani/","10749")</f>
      </c>
      <c r="B10018" s="8" t="s">
        <v>9575</v>
      </c>
      <c r="C10018" s="9">
        <v>467</v>
      </c>
      <c r="D10018" s="0">
        <v>3</v>
      </c>
      <c r="E10018" s="10">
        <f>HYPERLINK("http://www.lingerieopt.ru/images/original/8a354c76-ebd3-49e8-a6d4-9ed2e732ee79.jpg","Фото")</f>
      </c>
    </row>
    <row r="10019">
      <c r="A10019" s="7">
        <f>HYPERLINK("http://www.lingerieopt.ru/item/10749-muzhskie-stringi-iz-hlopkovo-modalnoi-tkani/","10749")</f>
      </c>
      <c r="B10019" s="8" t="s">
        <v>9576</v>
      </c>
      <c r="C10019" s="9">
        <v>467</v>
      </c>
      <c r="D10019" s="0">
        <v>1</v>
      </c>
      <c r="E10019" s="10">
        <f>HYPERLINK("http://www.lingerieopt.ru/images/original/8a354c76-ebd3-49e8-a6d4-9ed2e732ee79.jpg","Фото")</f>
      </c>
    </row>
    <row r="10020">
      <c r="A10020" s="7">
        <f>HYPERLINK("http://www.lingerieopt.ru/item/10749-muzhskie-stringi-iz-hlopkovo-modalnoi-tkani/","10749")</f>
      </c>
      <c r="B10020" s="8" t="s">
        <v>9577</v>
      </c>
      <c r="C10020" s="9">
        <v>467</v>
      </c>
      <c r="D10020" s="0">
        <v>3</v>
      </c>
      <c r="E10020" s="10">
        <f>HYPERLINK("http://www.lingerieopt.ru/images/original/8a354c76-ebd3-49e8-a6d4-9ed2e732ee79.jpg","Фото")</f>
      </c>
    </row>
    <row r="10021">
      <c r="A10021" s="7">
        <f>HYPERLINK("http://www.lingerieopt.ru/item/10749-muzhskie-stringi-iz-hlopkovo-modalnoi-tkani/","10749")</f>
      </c>
      <c r="B10021" s="8" t="s">
        <v>9578</v>
      </c>
      <c r="C10021" s="9">
        <v>467</v>
      </c>
      <c r="D10021" s="0">
        <v>1</v>
      </c>
      <c r="E10021" s="10">
        <f>HYPERLINK("http://www.lingerieopt.ru/images/original/8a354c76-ebd3-49e8-a6d4-9ed2e732ee79.jpg","Фото")</f>
      </c>
    </row>
    <row r="10022">
      <c r="A10022" s="7">
        <f>HYPERLINK("http://www.lingerieopt.ru/item/10749-muzhskie-stringi-iz-hlopkovo-modalnoi-tkani/","10749")</f>
      </c>
      <c r="B10022" s="8" t="s">
        <v>9579</v>
      </c>
      <c r="C10022" s="9">
        <v>467</v>
      </c>
      <c r="D10022" s="0">
        <v>0</v>
      </c>
      <c r="E10022" s="10">
        <f>HYPERLINK("http://www.lingerieopt.ru/images/original/8a354c76-ebd3-49e8-a6d4-9ed2e732ee79.jpg","Фото")</f>
      </c>
    </row>
    <row r="10023">
      <c r="A10023" s="7">
        <f>HYPERLINK("http://www.lingerieopt.ru/item/10749-muzhskie-stringi-iz-hlopkovo-modalnoi-tkani/","10749")</f>
      </c>
      <c r="B10023" s="8" t="s">
        <v>9580</v>
      </c>
      <c r="C10023" s="9">
        <v>467</v>
      </c>
      <c r="D10023" s="0">
        <v>1</v>
      </c>
      <c r="E10023" s="10">
        <f>HYPERLINK("http://www.lingerieopt.ru/images/original/8a354c76-ebd3-49e8-a6d4-9ed2e732ee79.jpg","Фото")</f>
      </c>
    </row>
    <row r="10024">
      <c r="A10024" s="7">
        <f>HYPERLINK("http://www.lingerieopt.ru/item/10749-muzhskie-stringi-iz-hlopkovo-modalnoi-tkani/","10749")</f>
      </c>
      <c r="B10024" s="8" t="s">
        <v>9581</v>
      </c>
      <c r="C10024" s="9">
        <v>467</v>
      </c>
      <c r="D10024" s="0">
        <v>1</v>
      </c>
      <c r="E10024" s="10">
        <f>HYPERLINK("http://www.lingerieopt.ru/images/original/8a354c76-ebd3-49e8-a6d4-9ed2e732ee79.jpg","Фото")</f>
      </c>
    </row>
    <row r="10025">
      <c r="A10025" s="7">
        <f>HYPERLINK("http://www.lingerieopt.ru/item/10749-muzhskie-stringi-iz-hlopkovo-modalnoi-tkani/","10749")</f>
      </c>
      <c r="B10025" s="8" t="s">
        <v>9582</v>
      </c>
      <c r="C10025" s="9">
        <v>467</v>
      </c>
      <c r="D10025" s="0">
        <v>1</v>
      </c>
      <c r="E10025" s="10">
        <f>HYPERLINK("http://www.lingerieopt.ru/images/original/8a354c76-ebd3-49e8-a6d4-9ed2e732ee79.jpg","Фото")</f>
      </c>
    </row>
    <row r="10026">
      <c r="A10026" s="7">
        <f>HYPERLINK("http://www.lingerieopt.ru/item/10749-muzhskie-stringi-iz-hlopkovo-modalnoi-tkani/","10749")</f>
      </c>
      <c r="B10026" s="8" t="s">
        <v>9583</v>
      </c>
      <c r="C10026" s="9">
        <v>467</v>
      </c>
      <c r="D10026" s="0">
        <v>1</v>
      </c>
      <c r="E10026" s="10">
        <f>HYPERLINK("http://www.lingerieopt.ru/images/original/8a354c76-ebd3-49e8-a6d4-9ed2e732ee79.jpg","Фото")</f>
      </c>
    </row>
    <row r="10027">
      <c r="A10027" s="7">
        <f>HYPERLINK("http://www.lingerieopt.ru/item/10749-muzhskie-stringi-iz-hlopkovo-modalnoi-tkani/","10749")</f>
      </c>
      <c r="B10027" s="8" t="s">
        <v>9584</v>
      </c>
      <c r="C10027" s="9">
        <v>467</v>
      </c>
      <c r="D10027" s="0">
        <v>3</v>
      </c>
      <c r="E10027" s="10">
        <f>HYPERLINK("http://www.lingerieopt.ru/images/original/8a354c76-ebd3-49e8-a6d4-9ed2e732ee79.jpg","Фото")</f>
      </c>
    </row>
    <row r="10028">
      <c r="A10028" s="7">
        <f>HYPERLINK("http://www.lingerieopt.ru/item/10749-muzhskie-stringi-iz-hlopkovo-modalnoi-tkani/","10749")</f>
      </c>
      <c r="B10028" s="8" t="s">
        <v>9585</v>
      </c>
      <c r="C10028" s="9">
        <v>467</v>
      </c>
      <c r="D10028" s="0">
        <v>1</v>
      </c>
      <c r="E10028" s="10">
        <f>HYPERLINK("http://www.lingerieopt.ru/images/original/8a354c76-ebd3-49e8-a6d4-9ed2e732ee79.jpg","Фото")</f>
      </c>
    </row>
    <row r="10029">
      <c r="A10029" s="7">
        <f>HYPERLINK("http://www.lingerieopt.ru/item/10749-muzhskie-stringi-iz-hlopkovo-modalnoi-tkani/","10749")</f>
      </c>
      <c r="B10029" s="8" t="s">
        <v>9586</v>
      </c>
      <c r="C10029" s="9">
        <v>467</v>
      </c>
      <c r="D10029" s="0">
        <v>1</v>
      </c>
      <c r="E10029" s="10">
        <f>HYPERLINK("http://www.lingerieopt.ru/images/original/8a354c76-ebd3-49e8-a6d4-9ed2e732ee79.jpg","Фото")</f>
      </c>
    </row>
    <row r="10030">
      <c r="A10030" s="7">
        <f>HYPERLINK("http://www.lingerieopt.ru/item/10749-muzhskie-stringi-iz-hlopkovo-modalnoi-tkani/","10749")</f>
      </c>
      <c r="B10030" s="8" t="s">
        <v>9587</v>
      </c>
      <c r="C10030" s="9">
        <v>467</v>
      </c>
      <c r="D10030" s="0">
        <v>1</v>
      </c>
      <c r="E10030" s="10">
        <f>HYPERLINK("http://www.lingerieopt.ru/images/original/8a354c76-ebd3-49e8-a6d4-9ed2e732ee79.jpg","Фото")</f>
      </c>
    </row>
    <row r="10031">
      <c r="A10031" s="7">
        <f>HYPERLINK("http://www.lingerieopt.ru/item/10750-ukorochennje-poluprozrachnje-bokserj/","10750")</f>
      </c>
      <c r="B10031" s="8" t="s">
        <v>9588</v>
      </c>
      <c r="C10031" s="9">
        <v>630</v>
      </c>
      <c r="D10031" s="0">
        <v>3</v>
      </c>
      <c r="E10031" s="10">
        <f>HYPERLINK("http://www.lingerieopt.ru/images/original/ce6c934c-10ec-410d-9b24-006262a2e993.jpg","Фото")</f>
      </c>
    </row>
    <row r="10032">
      <c r="A10032" s="7">
        <f>HYPERLINK("http://www.lingerieopt.ru/item/10750-ukorochennje-poluprozrachnje-bokserj/","10750")</f>
      </c>
      <c r="B10032" s="8" t="s">
        <v>9589</v>
      </c>
      <c r="C10032" s="9">
        <v>630</v>
      </c>
      <c r="D10032" s="0">
        <v>3</v>
      </c>
      <c r="E10032" s="10">
        <f>HYPERLINK("http://www.lingerieopt.ru/images/original/ce6c934c-10ec-410d-9b24-006262a2e993.jpg","Фото")</f>
      </c>
    </row>
    <row r="10033">
      <c r="A10033" s="7">
        <f>HYPERLINK("http://www.lingerieopt.ru/item/10750-ukorochennje-poluprozrachnje-bokserj/","10750")</f>
      </c>
      <c r="B10033" s="8" t="s">
        <v>9590</v>
      </c>
      <c r="C10033" s="9">
        <v>630</v>
      </c>
      <c r="D10033" s="0">
        <v>3</v>
      </c>
      <c r="E10033" s="10">
        <f>HYPERLINK("http://www.lingerieopt.ru/images/original/ce6c934c-10ec-410d-9b24-006262a2e993.jpg","Фото")</f>
      </c>
    </row>
    <row r="10034">
      <c r="A10034" s="7">
        <f>HYPERLINK("http://www.lingerieopt.ru/item/10750-ukorochennje-poluprozrachnje-bokserj/","10750")</f>
      </c>
      <c r="B10034" s="8" t="s">
        <v>9591</v>
      </c>
      <c r="C10034" s="9">
        <v>630</v>
      </c>
      <c r="D10034" s="0">
        <v>1</v>
      </c>
      <c r="E10034" s="10">
        <f>HYPERLINK("http://www.lingerieopt.ru/images/original/ce6c934c-10ec-410d-9b24-006262a2e993.jpg","Фото")</f>
      </c>
    </row>
    <row r="10035">
      <c r="A10035" s="7">
        <f>HYPERLINK("http://www.lingerieopt.ru/item/10750-ukorochennje-poluprozrachnje-bokserj/","10750")</f>
      </c>
      <c r="B10035" s="8" t="s">
        <v>9592</v>
      </c>
      <c r="C10035" s="9">
        <v>630</v>
      </c>
      <c r="D10035" s="0">
        <v>3</v>
      </c>
      <c r="E10035" s="10">
        <f>HYPERLINK("http://www.lingerieopt.ru/images/original/ce6c934c-10ec-410d-9b24-006262a2e993.jpg","Фото")</f>
      </c>
    </row>
    <row r="10036">
      <c r="A10036" s="7">
        <f>HYPERLINK("http://www.lingerieopt.ru/item/10750-ukorochennje-poluprozrachnje-bokserj/","10750")</f>
      </c>
      <c r="B10036" s="8" t="s">
        <v>9593</v>
      </c>
      <c r="C10036" s="9">
        <v>630</v>
      </c>
      <c r="D10036" s="0">
        <v>3</v>
      </c>
      <c r="E10036" s="10">
        <f>HYPERLINK("http://www.lingerieopt.ru/images/original/ce6c934c-10ec-410d-9b24-006262a2e993.jpg","Фото")</f>
      </c>
    </row>
    <row r="10037">
      <c r="A10037" s="7">
        <f>HYPERLINK("http://www.lingerieopt.ru/item/10750-ukorochennje-poluprozrachnje-bokserj/","10750")</f>
      </c>
      <c r="B10037" s="8" t="s">
        <v>9594</v>
      </c>
      <c r="C10037" s="9">
        <v>630</v>
      </c>
      <c r="D10037" s="0">
        <v>3</v>
      </c>
      <c r="E10037" s="10">
        <f>HYPERLINK("http://www.lingerieopt.ru/images/original/ce6c934c-10ec-410d-9b24-006262a2e993.jpg","Фото")</f>
      </c>
    </row>
    <row r="10038">
      <c r="A10038" s="7">
        <f>HYPERLINK("http://www.lingerieopt.ru/item/10750-ukorochennje-poluprozrachnje-bokserj/","10750")</f>
      </c>
      <c r="B10038" s="8" t="s">
        <v>9595</v>
      </c>
      <c r="C10038" s="9">
        <v>630</v>
      </c>
      <c r="D10038" s="0">
        <v>1</v>
      </c>
      <c r="E10038" s="10">
        <f>HYPERLINK("http://www.lingerieopt.ru/images/original/ce6c934c-10ec-410d-9b24-006262a2e993.jpg","Фото")</f>
      </c>
    </row>
    <row r="10039">
      <c r="A10039" s="7">
        <f>HYPERLINK("http://www.lingerieopt.ru/item/10750-ukorochennje-poluprozrachnje-bokserj/","10750")</f>
      </c>
      <c r="B10039" s="8" t="s">
        <v>9596</v>
      </c>
      <c r="C10039" s="9">
        <v>630</v>
      </c>
      <c r="D10039" s="0">
        <v>1</v>
      </c>
      <c r="E10039" s="10">
        <f>HYPERLINK("http://www.lingerieopt.ru/images/original/ce6c934c-10ec-410d-9b24-006262a2e993.jpg","Фото")</f>
      </c>
    </row>
    <row r="10040">
      <c r="A10040" s="7">
        <f>HYPERLINK("http://www.lingerieopt.ru/item/10750-ukorochennje-poluprozrachnje-bokserj/","10750")</f>
      </c>
      <c r="B10040" s="8" t="s">
        <v>9597</v>
      </c>
      <c r="C10040" s="9">
        <v>630</v>
      </c>
      <c r="D10040" s="0">
        <v>1</v>
      </c>
      <c r="E10040" s="10">
        <f>HYPERLINK("http://www.lingerieopt.ru/images/original/ce6c934c-10ec-410d-9b24-006262a2e993.jpg","Фото")</f>
      </c>
    </row>
    <row r="10041">
      <c r="A10041" s="7">
        <f>HYPERLINK("http://www.lingerieopt.ru/item/10750-ukorochennje-poluprozrachnje-bokserj/","10750")</f>
      </c>
      <c r="B10041" s="8" t="s">
        <v>9598</v>
      </c>
      <c r="C10041" s="9">
        <v>630</v>
      </c>
      <c r="D10041" s="0">
        <v>1</v>
      </c>
      <c r="E10041" s="10">
        <f>HYPERLINK("http://www.lingerieopt.ru/images/original/ce6c934c-10ec-410d-9b24-006262a2e993.jpg","Фото")</f>
      </c>
    </row>
    <row r="10042">
      <c r="A10042" s="7">
        <f>HYPERLINK("http://www.lingerieopt.ru/item/10750-ukorochennje-poluprozrachnje-bokserj/","10750")</f>
      </c>
      <c r="B10042" s="8" t="s">
        <v>9599</v>
      </c>
      <c r="C10042" s="9">
        <v>630</v>
      </c>
      <c r="D10042" s="0">
        <v>3</v>
      </c>
      <c r="E10042" s="10">
        <f>HYPERLINK("http://www.lingerieopt.ru/images/original/ce6c934c-10ec-410d-9b24-006262a2e993.jpg","Фото")</f>
      </c>
    </row>
    <row r="10043">
      <c r="A10043" s="7">
        <f>HYPERLINK("http://www.lingerieopt.ru/item/10750-ukorochennje-poluprozrachnje-bokserj/","10750")</f>
      </c>
      <c r="B10043" s="8" t="s">
        <v>9600</v>
      </c>
      <c r="C10043" s="9">
        <v>630</v>
      </c>
      <c r="D10043" s="0">
        <v>3</v>
      </c>
      <c r="E10043" s="10">
        <f>HYPERLINK("http://www.lingerieopt.ru/images/original/ce6c934c-10ec-410d-9b24-006262a2e993.jpg","Фото")</f>
      </c>
    </row>
    <row r="10044">
      <c r="A10044" s="7">
        <f>HYPERLINK("http://www.lingerieopt.ru/item/10750-ukorochennje-poluprozrachnje-bokserj/","10750")</f>
      </c>
      <c r="B10044" s="8" t="s">
        <v>9601</v>
      </c>
      <c r="C10044" s="9">
        <v>630</v>
      </c>
      <c r="D10044" s="0">
        <v>3</v>
      </c>
      <c r="E10044" s="10">
        <f>HYPERLINK("http://www.lingerieopt.ru/images/original/ce6c934c-10ec-410d-9b24-006262a2e993.jpg","Фото")</f>
      </c>
    </row>
    <row r="10045">
      <c r="A10045" s="7">
        <f>HYPERLINK("http://www.lingerieopt.ru/item/10750-ukorochennje-poluprozrachnje-bokserj/","10750")</f>
      </c>
      <c r="B10045" s="8" t="s">
        <v>9602</v>
      </c>
      <c r="C10045" s="9">
        <v>630</v>
      </c>
      <c r="D10045" s="0">
        <v>3</v>
      </c>
      <c r="E10045" s="10">
        <f>HYPERLINK("http://www.lingerieopt.ru/images/original/ce6c934c-10ec-410d-9b24-006262a2e993.jpg","Фото")</f>
      </c>
    </row>
    <row r="10046">
      <c r="A10046" s="7">
        <f>HYPERLINK("http://www.lingerieopt.ru/item/10750-ukorochennje-poluprozrachnje-bokserj/","10750")</f>
      </c>
      <c r="B10046" s="8" t="s">
        <v>9603</v>
      </c>
      <c r="C10046" s="9">
        <v>630</v>
      </c>
      <c r="D10046" s="0">
        <v>3</v>
      </c>
      <c r="E10046" s="10">
        <f>HYPERLINK("http://www.lingerieopt.ru/images/original/ce6c934c-10ec-410d-9b24-006262a2e993.jpg","Фото")</f>
      </c>
    </row>
    <row r="10047">
      <c r="A10047" s="7">
        <f>HYPERLINK("http://www.lingerieopt.ru/item/10750-ukorochennje-poluprozrachnje-bokserj/","10750")</f>
      </c>
      <c r="B10047" s="8" t="s">
        <v>9604</v>
      </c>
      <c r="C10047" s="9">
        <v>630</v>
      </c>
      <c r="D10047" s="0">
        <v>1</v>
      </c>
      <c r="E10047" s="10">
        <f>HYPERLINK("http://www.lingerieopt.ru/images/original/ce6c934c-10ec-410d-9b24-006262a2e993.jpg","Фото")</f>
      </c>
    </row>
    <row r="10048">
      <c r="A10048" s="7">
        <f>HYPERLINK("http://www.lingerieopt.ru/item/10750-ukorochennje-poluprozrachnje-bokserj/","10750")</f>
      </c>
      <c r="B10048" s="8" t="s">
        <v>9605</v>
      </c>
      <c r="C10048" s="9">
        <v>630</v>
      </c>
      <c r="D10048" s="0">
        <v>3</v>
      </c>
      <c r="E10048" s="10">
        <f>HYPERLINK("http://www.lingerieopt.ru/images/original/ce6c934c-10ec-410d-9b24-006262a2e993.jpg","Фото")</f>
      </c>
    </row>
    <row r="10049">
      <c r="A10049" s="7">
        <f>HYPERLINK("http://www.lingerieopt.ru/item/10750-ukorochennje-poluprozrachnje-bokserj/","10750")</f>
      </c>
      <c r="B10049" s="8" t="s">
        <v>9606</v>
      </c>
      <c r="C10049" s="9">
        <v>630</v>
      </c>
      <c r="D10049" s="0">
        <v>1</v>
      </c>
      <c r="E10049" s="10">
        <f>HYPERLINK("http://www.lingerieopt.ru/images/original/ce6c934c-10ec-410d-9b24-006262a2e993.jpg","Фото")</f>
      </c>
    </row>
    <row r="10050">
      <c r="A10050" s="7">
        <f>HYPERLINK("http://www.lingerieopt.ru/item/10750-ukorochennje-poluprozrachnje-bokserj/","10750")</f>
      </c>
      <c r="B10050" s="8" t="s">
        <v>9607</v>
      </c>
      <c r="C10050" s="9">
        <v>630</v>
      </c>
      <c r="D10050" s="0">
        <v>3</v>
      </c>
      <c r="E10050" s="10">
        <f>HYPERLINK("http://www.lingerieopt.ru/images/original/ce6c934c-10ec-410d-9b24-006262a2e993.jpg","Фото")</f>
      </c>
    </row>
    <row r="10051">
      <c r="A10051" s="7">
        <f>HYPERLINK("http://www.lingerieopt.ru/item/10750-ukorochennje-poluprozrachnje-bokserj/","10750")</f>
      </c>
      <c r="B10051" s="8" t="s">
        <v>9608</v>
      </c>
      <c r="C10051" s="9">
        <v>630</v>
      </c>
      <c r="D10051" s="0">
        <v>1</v>
      </c>
      <c r="E10051" s="10">
        <f>HYPERLINK("http://www.lingerieopt.ru/images/original/ce6c934c-10ec-410d-9b24-006262a2e993.jpg","Фото")</f>
      </c>
    </row>
    <row r="10052">
      <c r="A10052" s="7">
        <f>HYPERLINK("http://www.lingerieopt.ru/item/10750-ukorochennje-poluprozrachnje-bokserj/","10750")</f>
      </c>
      <c r="B10052" s="8" t="s">
        <v>9609</v>
      </c>
      <c r="C10052" s="9">
        <v>630</v>
      </c>
      <c r="D10052" s="0">
        <v>3</v>
      </c>
      <c r="E10052" s="10">
        <f>HYPERLINK("http://www.lingerieopt.ru/images/original/ce6c934c-10ec-410d-9b24-006262a2e993.jpg","Фото")</f>
      </c>
    </row>
    <row r="10053">
      <c r="A10053" s="7">
        <f>HYPERLINK("http://www.lingerieopt.ru/item/10750-ukorochennje-poluprozrachnje-bokserj/","10750")</f>
      </c>
      <c r="B10053" s="8" t="s">
        <v>9610</v>
      </c>
      <c r="C10053" s="9">
        <v>630</v>
      </c>
      <c r="D10053" s="0">
        <v>3</v>
      </c>
      <c r="E10053" s="10">
        <f>HYPERLINK("http://www.lingerieopt.ru/images/original/ce6c934c-10ec-410d-9b24-006262a2e993.jpg","Фото")</f>
      </c>
    </row>
    <row r="10054">
      <c r="A10054" s="7">
        <f>HYPERLINK("http://www.lingerieopt.ru/item/10750-ukorochennje-poluprozrachnje-bokserj/","10750")</f>
      </c>
      <c r="B10054" s="8" t="s">
        <v>9611</v>
      </c>
      <c r="C10054" s="9">
        <v>630</v>
      </c>
      <c r="D10054" s="0">
        <v>3</v>
      </c>
      <c r="E10054" s="10">
        <f>HYPERLINK("http://www.lingerieopt.ru/images/original/ce6c934c-10ec-410d-9b24-006262a2e993.jpg","Фото")</f>
      </c>
    </row>
    <row r="10055">
      <c r="A10055" s="7">
        <f>HYPERLINK("http://www.lingerieopt.ru/item/10750-ukorochennje-poluprozrachnje-bokserj/","10750")</f>
      </c>
      <c r="B10055" s="8" t="s">
        <v>9612</v>
      </c>
      <c r="C10055" s="9">
        <v>630</v>
      </c>
      <c r="D10055" s="0">
        <v>1</v>
      </c>
      <c r="E10055" s="10">
        <f>HYPERLINK("http://www.lingerieopt.ru/images/original/ce6c934c-10ec-410d-9b24-006262a2e993.jpg","Фото")</f>
      </c>
    </row>
    <row r="10056">
      <c r="A10056" s="7">
        <f>HYPERLINK("http://www.lingerieopt.ru/item/10750-ukorochennje-poluprozrachnje-bokserj/","10750")</f>
      </c>
      <c r="B10056" s="8" t="s">
        <v>9613</v>
      </c>
      <c r="C10056" s="9">
        <v>630</v>
      </c>
      <c r="D10056" s="0">
        <v>3</v>
      </c>
      <c r="E10056" s="10">
        <f>HYPERLINK("http://www.lingerieopt.ru/images/original/ce6c934c-10ec-410d-9b24-006262a2e993.jpg","Фото")</f>
      </c>
    </row>
    <row r="10057">
      <c r="A10057" s="7">
        <f>HYPERLINK("http://www.lingerieopt.ru/item/10750-ukorochennje-poluprozrachnje-bokserj/","10750")</f>
      </c>
      <c r="B10057" s="8" t="s">
        <v>9614</v>
      </c>
      <c r="C10057" s="9">
        <v>630</v>
      </c>
      <c r="D10057" s="0">
        <v>3</v>
      </c>
      <c r="E10057" s="10">
        <f>HYPERLINK("http://www.lingerieopt.ru/images/original/ce6c934c-10ec-410d-9b24-006262a2e993.jpg","Фото")</f>
      </c>
    </row>
    <row r="10058">
      <c r="A10058" s="7">
        <f>HYPERLINK("http://www.lingerieopt.ru/item/10750-ukorochennje-poluprozrachnje-bokserj/","10750")</f>
      </c>
      <c r="B10058" s="8" t="s">
        <v>9615</v>
      </c>
      <c r="C10058" s="9">
        <v>630</v>
      </c>
      <c r="D10058" s="0">
        <v>1</v>
      </c>
      <c r="E10058" s="10">
        <f>HYPERLINK("http://www.lingerieopt.ru/images/original/ce6c934c-10ec-410d-9b24-006262a2e993.jpg","Фото")</f>
      </c>
    </row>
    <row r="10059">
      <c r="A10059" s="7">
        <f>HYPERLINK("http://www.lingerieopt.ru/item/10750-ukorochennje-poluprozrachnje-bokserj/","10750")</f>
      </c>
      <c r="B10059" s="8" t="s">
        <v>9616</v>
      </c>
      <c r="C10059" s="9">
        <v>630</v>
      </c>
      <c r="D10059" s="0">
        <v>3</v>
      </c>
      <c r="E10059" s="10">
        <f>HYPERLINK("http://www.lingerieopt.ru/images/original/ce6c934c-10ec-410d-9b24-006262a2e993.jpg","Фото")</f>
      </c>
    </row>
    <row r="10060">
      <c r="A10060" s="7">
        <f>HYPERLINK("http://www.lingerieopt.ru/item/10750-ukorochennje-poluprozrachnje-bokserj/","10750")</f>
      </c>
      <c r="B10060" s="8" t="s">
        <v>9617</v>
      </c>
      <c r="C10060" s="9">
        <v>630</v>
      </c>
      <c r="D10060" s="0">
        <v>3</v>
      </c>
      <c r="E10060" s="10">
        <f>HYPERLINK("http://www.lingerieopt.ru/images/original/ce6c934c-10ec-410d-9b24-006262a2e993.jpg","Фото")</f>
      </c>
    </row>
    <row r="10061">
      <c r="A10061" s="7">
        <f>HYPERLINK("http://www.lingerieopt.ru/item/10752-hlopkovje-trusj-stringi-doreanse/","10752")</f>
      </c>
      <c r="B10061" s="8" t="s">
        <v>9618</v>
      </c>
      <c r="C10061" s="9">
        <v>486</v>
      </c>
      <c r="D10061" s="0">
        <v>1</v>
      </c>
      <c r="E10061" s="10">
        <f>HYPERLINK("http://www.lingerieopt.ru/images/original/f380776e-50a5-41f5-97dd-78672665724c.jpg","Фото")</f>
      </c>
    </row>
    <row r="10062">
      <c r="A10062" s="7">
        <f>HYPERLINK("http://www.lingerieopt.ru/item/10752-hlopkovje-trusj-stringi-doreanse/","10752")</f>
      </c>
      <c r="B10062" s="8" t="s">
        <v>9619</v>
      </c>
      <c r="C10062" s="9">
        <v>486</v>
      </c>
      <c r="D10062" s="0">
        <v>2</v>
      </c>
      <c r="E10062" s="10">
        <f>HYPERLINK("http://www.lingerieopt.ru/images/original/f380776e-50a5-41f5-97dd-78672665724c.jpg","Фото")</f>
      </c>
    </row>
    <row r="10063">
      <c r="A10063" s="7">
        <f>HYPERLINK("http://www.lingerieopt.ru/item/10752-hlopkovje-trusj-stringi-doreanse/","10752")</f>
      </c>
      <c r="B10063" s="8" t="s">
        <v>9620</v>
      </c>
      <c r="C10063" s="9">
        <v>486</v>
      </c>
      <c r="D10063" s="0">
        <v>0</v>
      </c>
      <c r="E10063" s="10">
        <f>HYPERLINK("http://www.lingerieopt.ru/images/original/f380776e-50a5-41f5-97dd-78672665724c.jpg","Фото")</f>
      </c>
    </row>
    <row r="10064">
      <c r="A10064" s="7">
        <f>HYPERLINK("http://www.lingerieopt.ru/item/10752-hlopkovje-trusj-stringi-doreanse/","10752")</f>
      </c>
      <c r="B10064" s="8" t="s">
        <v>9621</v>
      </c>
      <c r="C10064" s="9">
        <v>486</v>
      </c>
      <c r="D10064" s="0">
        <v>0</v>
      </c>
      <c r="E10064" s="10">
        <f>HYPERLINK("http://www.lingerieopt.ru/images/original/f380776e-50a5-41f5-97dd-78672665724c.jpg","Фото")</f>
      </c>
    </row>
    <row r="10065">
      <c r="A10065" s="7">
        <f>HYPERLINK("http://www.lingerieopt.ru/item/10752-hlopkovje-trusj-stringi-doreanse/","10752")</f>
      </c>
      <c r="B10065" s="8" t="s">
        <v>9622</v>
      </c>
      <c r="C10065" s="9">
        <v>486</v>
      </c>
      <c r="D10065" s="0">
        <v>3</v>
      </c>
      <c r="E10065" s="10">
        <f>HYPERLINK("http://www.lingerieopt.ru/images/original/f380776e-50a5-41f5-97dd-78672665724c.jpg","Фото")</f>
      </c>
    </row>
    <row r="10066">
      <c r="A10066" s="7">
        <f>HYPERLINK("http://www.lingerieopt.ru/item/10752-hlopkovje-trusj-stringi-doreanse/","10752")</f>
      </c>
      <c r="B10066" s="8" t="s">
        <v>9623</v>
      </c>
      <c r="C10066" s="9">
        <v>486</v>
      </c>
      <c r="D10066" s="0">
        <v>3</v>
      </c>
      <c r="E10066" s="10">
        <f>HYPERLINK("http://www.lingerieopt.ru/images/original/f380776e-50a5-41f5-97dd-78672665724c.jpg","Фото")</f>
      </c>
    </row>
    <row r="10067">
      <c r="A10067" s="7">
        <f>HYPERLINK("http://www.lingerieopt.ru/item/10752-hlopkovje-trusj-stringi-doreanse/","10752")</f>
      </c>
      <c r="B10067" s="8" t="s">
        <v>9624</v>
      </c>
      <c r="C10067" s="9">
        <v>486</v>
      </c>
      <c r="D10067" s="0">
        <v>1</v>
      </c>
      <c r="E10067" s="10">
        <f>HYPERLINK("http://www.lingerieopt.ru/images/original/f380776e-50a5-41f5-97dd-78672665724c.jpg","Фото")</f>
      </c>
    </row>
    <row r="10068">
      <c r="A10068" s="7">
        <f>HYPERLINK("http://www.lingerieopt.ru/item/10752-hlopkovje-trusj-stringi-doreanse/","10752")</f>
      </c>
      <c r="B10068" s="8" t="s">
        <v>9625</v>
      </c>
      <c r="C10068" s="9">
        <v>486</v>
      </c>
      <c r="D10068" s="0">
        <v>0</v>
      </c>
      <c r="E10068" s="10">
        <f>HYPERLINK("http://www.lingerieopt.ru/images/original/f380776e-50a5-41f5-97dd-78672665724c.jpg","Фото")</f>
      </c>
    </row>
    <row r="10069">
      <c r="A10069" s="7">
        <f>HYPERLINK("http://www.lingerieopt.ru/item/10753-ukorochennje-bokserj-s-nadpisyu-doreanse-na-poyase/","10753")</f>
      </c>
      <c r="B10069" s="8" t="s">
        <v>9626</v>
      </c>
      <c r="C10069" s="9">
        <v>630</v>
      </c>
      <c r="D10069" s="0">
        <v>3</v>
      </c>
      <c r="E10069" s="10">
        <f>HYPERLINK("http://www.lingerieopt.ru/images/original/d751a0b4-87a5-4332-b2e6-d7a6dda50040.jpg","Фото")</f>
      </c>
    </row>
    <row r="10070">
      <c r="A10070" s="7">
        <f>HYPERLINK("http://www.lingerieopt.ru/item/10753-ukorochennje-bokserj-s-nadpisyu-doreanse-na-poyase/","10753")</f>
      </c>
      <c r="B10070" s="8" t="s">
        <v>9627</v>
      </c>
      <c r="C10070" s="9">
        <v>630</v>
      </c>
      <c r="D10070" s="0">
        <v>3</v>
      </c>
      <c r="E10070" s="10">
        <f>HYPERLINK("http://www.lingerieopt.ru/images/original/d751a0b4-87a5-4332-b2e6-d7a6dda50040.jpg","Фото")</f>
      </c>
    </row>
    <row r="10071">
      <c r="A10071" s="7">
        <f>HYPERLINK("http://www.lingerieopt.ru/item/10753-ukorochennje-bokserj-s-nadpisyu-doreanse-na-poyase/","10753")</f>
      </c>
      <c r="B10071" s="8" t="s">
        <v>9628</v>
      </c>
      <c r="C10071" s="9">
        <v>630</v>
      </c>
      <c r="D10071" s="0">
        <v>3</v>
      </c>
      <c r="E10071" s="10">
        <f>HYPERLINK("http://www.lingerieopt.ru/images/original/d751a0b4-87a5-4332-b2e6-d7a6dda50040.jpg","Фото")</f>
      </c>
    </row>
    <row r="10072">
      <c r="A10072" s="7">
        <f>HYPERLINK("http://www.lingerieopt.ru/item/10753-ukorochennje-bokserj-s-nadpisyu-doreanse-na-poyase/","10753")</f>
      </c>
      <c r="B10072" s="8" t="s">
        <v>9629</v>
      </c>
      <c r="C10072" s="9">
        <v>630</v>
      </c>
      <c r="D10072" s="0">
        <v>1</v>
      </c>
      <c r="E10072" s="10">
        <f>HYPERLINK("http://www.lingerieopt.ru/images/original/d751a0b4-87a5-4332-b2e6-d7a6dda50040.jpg","Фото")</f>
      </c>
    </row>
    <row r="10073">
      <c r="A10073" s="7">
        <f>HYPERLINK("http://www.lingerieopt.ru/item/10753-ukorochennje-bokserj-s-nadpisyu-doreanse-na-poyase/","10753")</f>
      </c>
      <c r="B10073" s="8" t="s">
        <v>9630</v>
      </c>
      <c r="C10073" s="9">
        <v>630</v>
      </c>
      <c r="D10073" s="0">
        <v>1</v>
      </c>
      <c r="E10073" s="10">
        <f>HYPERLINK("http://www.lingerieopt.ru/images/original/d751a0b4-87a5-4332-b2e6-d7a6dda50040.jpg","Фото")</f>
      </c>
    </row>
    <row r="10074">
      <c r="A10074" s="7">
        <f>HYPERLINK("http://www.lingerieopt.ru/item/10753-ukorochennje-bokserj-s-nadpisyu-doreanse-na-poyase/","10753")</f>
      </c>
      <c r="B10074" s="8" t="s">
        <v>9631</v>
      </c>
      <c r="C10074" s="9">
        <v>630</v>
      </c>
      <c r="D10074" s="0">
        <v>1</v>
      </c>
      <c r="E10074" s="10">
        <f>HYPERLINK("http://www.lingerieopt.ru/images/original/d751a0b4-87a5-4332-b2e6-d7a6dda50040.jpg","Фото")</f>
      </c>
    </row>
    <row r="10075">
      <c r="A10075" s="7">
        <f>HYPERLINK("http://www.lingerieopt.ru/item/10753-ukorochennje-bokserj-s-nadpisyu-doreanse-na-poyase/","10753")</f>
      </c>
      <c r="B10075" s="8" t="s">
        <v>9632</v>
      </c>
      <c r="C10075" s="9">
        <v>630</v>
      </c>
      <c r="D10075" s="0">
        <v>3</v>
      </c>
      <c r="E10075" s="10">
        <f>HYPERLINK("http://www.lingerieopt.ru/images/original/d751a0b4-87a5-4332-b2e6-d7a6dda50040.jpg","Фото")</f>
      </c>
    </row>
    <row r="10076">
      <c r="A10076" s="7">
        <f>HYPERLINK("http://www.lingerieopt.ru/item/10753-ukorochennje-bokserj-s-nadpisyu-doreanse-na-poyase/","10753")</f>
      </c>
      <c r="B10076" s="8" t="s">
        <v>9633</v>
      </c>
      <c r="C10076" s="9">
        <v>630</v>
      </c>
      <c r="D10076" s="0">
        <v>3</v>
      </c>
      <c r="E10076" s="10">
        <f>HYPERLINK("http://www.lingerieopt.ru/images/original/d751a0b4-87a5-4332-b2e6-d7a6dda50040.jpg","Фото")</f>
      </c>
    </row>
    <row r="10077">
      <c r="A10077" s="7">
        <f>HYPERLINK("http://www.lingerieopt.ru/item/10753-ukorochennje-bokserj-s-nadpisyu-doreanse-na-poyase/","10753")</f>
      </c>
      <c r="B10077" s="8" t="s">
        <v>9634</v>
      </c>
      <c r="C10077" s="9">
        <v>630</v>
      </c>
      <c r="D10077" s="0">
        <v>3</v>
      </c>
      <c r="E10077" s="10">
        <f>HYPERLINK("http://www.lingerieopt.ru/images/original/d751a0b4-87a5-4332-b2e6-d7a6dda50040.jpg","Фото")</f>
      </c>
    </row>
    <row r="10078">
      <c r="A10078" s="7">
        <f>HYPERLINK("http://www.lingerieopt.ru/item/10753-ukorochennje-bokserj-s-nadpisyu-doreanse-na-poyase/","10753")</f>
      </c>
      <c r="B10078" s="8" t="s">
        <v>9635</v>
      </c>
      <c r="C10078" s="9">
        <v>630</v>
      </c>
      <c r="D10078" s="0">
        <v>3</v>
      </c>
      <c r="E10078" s="10">
        <f>HYPERLINK("http://www.lingerieopt.ru/images/original/d751a0b4-87a5-4332-b2e6-d7a6dda50040.jpg","Фото")</f>
      </c>
    </row>
    <row r="10079">
      <c r="A10079" s="7">
        <f>HYPERLINK("http://www.lingerieopt.ru/item/10753-ukorochennje-bokserj-s-nadpisyu-doreanse-na-poyase/","10753")</f>
      </c>
      <c r="B10079" s="8" t="s">
        <v>9636</v>
      </c>
      <c r="C10079" s="9">
        <v>630</v>
      </c>
      <c r="D10079" s="0">
        <v>3</v>
      </c>
      <c r="E10079" s="10">
        <f>HYPERLINK("http://www.lingerieopt.ru/images/original/d751a0b4-87a5-4332-b2e6-d7a6dda50040.jpg","Фото")</f>
      </c>
    </row>
    <row r="10080">
      <c r="A10080" s="7">
        <f>HYPERLINK("http://www.lingerieopt.ru/item/10753-ukorochennje-bokserj-s-nadpisyu-doreanse-na-poyase/","10753")</f>
      </c>
      <c r="B10080" s="8" t="s">
        <v>9637</v>
      </c>
      <c r="C10080" s="9">
        <v>630</v>
      </c>
      <c r="D10080" s="0">
        <v>3</v>
      </c>
      <c r="E10080" s="10">
        <f>HYPERLINK("http://www.lingerieopt.ru/images/original/d751a0b4-87a5-4332-b2e6-d7a6dda50040.jpg","Фото")</f>
      </c>
    </row>
    <row r="10081">
      <c r="A10081" s="7">
        <f>HYPERLINK("http://www.lingerieopt.ru/item/10753-ukorochennje-bokserj-s-nadpisyu-doreanse-na-poyase/","10753")</f>
      </c>
      <c r="B10081" s="8" t="s">
        <v>9638</v>
      </c>
      <c r="C10081" s="9">
        <v>630</v>
      </c>
      <c r="D10081" s="0">
        <v>3</v>
      </c>
      <c r="E10081" s="10">
        <f>HYPERLINK("http://www.lingerieopt.ru/images/original/d751a0b4-87a5-4332-b2e6-d7a6dda50040.jpg","Фото")</f>
      </c>
    </row>
    <row r="10082">
      <c r="A10082" s="7">
        <f>HYPERLINK("http://www.lingerieopt.ru/item/10753-ukorochennje-bokserj-s-nadpisyu-doreanse-na-poyase/","10753")</f>
      </c>
      <c r="B10082" s="8" t="s">
        <v>9639</v>
      </c>
      <c r="C10082" s="9">
        <v>630</v>
      </c>
      <c r="D10082" s="0">
        <v>3</v>
      </c>
      <c r="E10082" s="10">
        <f>HYPERLINK("http://www.lingerieopt.ru/images/original/d751a0b4-87a5-4332-b2e6-d7a6dda50040.jpg","Фото")</f>
      </c>
    </row>
    <row r="10083">
      <c r="A10083" s="7">
        <f>HYPERLINK("http://www.lingerieopt.ru/item/10753-ukorochennje-bokserj-s-nadpisyu-doreanse-na-poyase/","10753")</f>
      </c>
      <c r="B10083" s="8" t="s">
        <v>9640</v>
      </c>
      <c r="C10083" s="9">
        <v>630</v>
      </c>
      <c r="D10083" s="0">
        <v>3</v>
      </c>
      <c r="E10083" s="10">
        <f>HYPERLINK("http://www.lingerieopt.ru/images/original/d751a0b4-87a5-4332-b2e6-d7a6dda50040.jpg","Фото")</f>
      </c>
    </row>
    <row r="10084">
      <c r="A10084" s="7">
        <f>HYPERLINK("http://www.lingerieopt.ru/item/10753-ukorochennje-bokserj-s-nadpisyu-doreanse-na-poyase/","10753")</f>
      </c>
      <c r="B10084" s="8" t="s">
        <v>9641</v>
      </c>
      <c r="C10084" s="9">
        <v>630</v>
      </c>
      <c r="D10084" s="0">
        <v>3</v>
      </c>
      <c r="E10084" s="10">
        <f>HYPERLINK("http://www.lingerieopt.ru/images/original/d751a0b4-87a5-4332-b2e6-d7a6dda50040.jpg","Фото")</f>
      </c>
    </row>
    <row r="10085">
      <c r="A10085" s="7">
        <f>HYPERLINK("http://www.lingerieopt.ru/item/10753-ukorochennje-bokserj-s-nadpisyu-doreanse-na-poyase/","10753")</f>
      </c>
      <c r="B10085" s="8" t="s">
        <v>9642</v>
      </c>
      <c r="C10085" s="9">
        <v>630</v>
      </c>
      <c r="D10085" s="0">
        <v>3</v>
      </c>
      <c r="E10085" s="10">
        <f>HYPERLINK("http://www.lingerieopt.ru/images/original/d751a0b4-87a5-4332-b2e6-d7a6dda50040.jpg","Фото")</f>
      </c>
    </row>
    <row r="10086">
      <c r="A10086" s="7">
        <f>HYPERLINK("http://www.lingerieopt.ru/item/10754-muzhskie-trusj-slipj-na-uzkoi-rezinke/","10754")</f>
      </c>
      <c r="B10086" s="8" t="s">
        <v>9643</v>
      </c>
      <c r="C10086" s="9">
        <v>574</v>
      </c>
      <c r="D10086" s="0">
        <v>0</v>
      </c>
      <c r="E10086" s="10">
        <f>HYPERLINK("http://www.lingerieopt.ru/images/original/60674fe1-b644-4d1d-9c45-17d35c5c8ea9.jpg","Фото")</f>
      </c>
    </row>
    <row r="10087">
      <c r="A10087" s="7">
        <f>HYPERLINK("http://www.lingerieopt.ru/item/10754-muzhskie-trusj-slipj-na-uzkoi-rezinke/","10754")</f>
      </c>
      <c r="B10087" s="8" t="s">
        <v>9644</v>
      </c>
      <c r="C10087" s="9">
        <v>574</v>
      </c>
      <c r="D10087" s="0">
        <v>0</v>
      </c>
      <c r="E10087" s="10">
        <f>HYPERLINK("http://www.lingerieopt.ru/images/original/60674fe1-b644-4d1d-9c45-17d35c5c8ea9.jpg","Фото")</f>
      </c>
    </row>
    <row r="10088">
      <c r="A10088" s="7">
        <f>HYPERLINK("http://www.lingerieopt.ru/item/10754-muzhskie-trusj-slipj-na-uzkoi-rezinke/","10754")</f>
      </c>
      <c r="B10088" s="8" t="s">
        <v>9645</v>
      </c>
      <c r="C10088" s="9">
        <v>574</v>
      </c>
      <c r="D10088" s="0">
        <v>1</v>
      </c>
      <c r="E10088" s="10">
        <f>HYPERLINK("http://www.lingerieopt.ru/images/original/60674fe1-b644-4d1d-9c45-17d35c5c8ea9.jpg","Фото")</f>
      </c>
    </row>
    <row r="10089">
      <c r="A10089" s="7">
        <f>HYPERLINK("http://www.lingerieopt.ru/item/10754-muzhskie-trusj-slipj-na-uzkoi-rezinke/","10754")</f>
      </c>
      <c r="B10089" s="8" t="s">
        <v>9646</v>
      </c>
      <c r="C10089" s="9">
        <v>574</v>
      </c>
      <c r="D10089" s="0">
        <v>0</v>
      </c>
      <c r="E10089" s="10">
        <f>HYPERLINK("http://www.lingerieopt.ru/images/original/60674fe1-b644-4d1d-9c45-17d35c5c8ea9.jpg","Фото")</f>
      </c>
    </row>
    <row r="10090">
      <c r="A10090" s="7">
        <f>HYPERLINK("http://www.lingerieopt.ru/item/10754-muzhskie-trusj-slipj-na-uzkoi-rezinke/","10754")</f>
      </c>
      <c r="B10090" s="8" t="s">
        <v>9647</v>
      </c>
      <c r="C10090" s="9">
        <v>574</v>
      </c>
      <c r="D10090" s="0">
        <v>0</v>
      </c>
      <c r="E10090" s="10">
        <f>HYPERLINK("http://www.lingerieopt.ru/images/original/60674fe1-b644-4d1d-9c45-17d35c5c8ea9.jpg","Фото")</f>
      </c>
    </row>
    <row r="10091">
      <c r="A10091" s="7">
        <f>HYPERLINK("http://www.lingerieopt.ru/item/10754-muzhskie-trusj-slipj-na-uzkoi-rezinke/","10754")</f>
      </c>
      <c r="B10091" s="8" t="s">
        <v>9648</v>
      </c>
      <c r="C10091" s="9">
        <v>574</v>
      </c>
      <c r="D10091" s="0">
        <v>0</v>
      </c>
      <c r="E10091" s="10">
        <f>HYPERLINK("http://www.lingerieopt.ru/images/original/60674fe1-b644-4d1d-9c45-17d35c5c8ea9.jpg","Фото")</f>
      </c>
    </row>
    <row r="10092">
      <c r="A10092" s="7">
        <f>HYPERLINK("http://www.lingerieopt.ru/item/10755-muzhskie-trusj-slipj-s-nadpisyu-doreanse/","10755")</f>
      </c>
      <c r="B10092" s="8" t="s">
        <v>9649</v>
      </c>
      <c r="C10092" s="9">
        <v>582</v>
      </c>
      <c r="D10092" s="0">
        <v>1</v>
      </c>
      <c r="E10092" s="10">
        <f>HYPERLINK("http://www.lingerieopt.ru/images/original/3be83645-6af7-459d-b86a-30deb5cc6c23.jpg","Фото")</f>
      </c>
    </row>
    <row r="10093">
      <c r="A10093" s="7">
        <f>HYPERLINK("http://www.lingerieopt.ru/item/10755-muzhskie-trusj-slipj-s-nadpisyu-doreanse/","10755")</f>
      </c>
      <c r="B10093" s="8" t="s">
        <v>9650</v>
      </c>
      <c r="C10093" s="9">
        <v>582</v>
      </c>
      <c r="D10093" s="0">
        <v>3</v>
      </c>
      <c r="E10093" s="10">
        <f>HYPERLINK("http://www.lingerieopt.ru/images/original/3be83645-6af7-459d-b86a-30deb5cc6c23.jpg","Фото")</f>
      </c>
    </row>
    <row r="10094">
      <c r="A10094" s="7">
        <f>HYPERLINK("http://www.lingerieopt.ru/item/10755-muzhskie-trusj-slipj-s-nadpisyu-doreanse/","10755")</f>
      </c>
      <c r="B10094" s="8" t="s">
        <v>9651</v>
      </c>
      <c r="C10094" s="9">
        <v>582</v>
      </c>
      <c r="D10094" s="0">
        <v>1</v>
      </c>
      <c r="E10094" s="10">
        <f>HYPERLINK("http://www.lingerieopt.ru/images/original/3be83645-6af7-459d-b86a-30deb5cc6c23.jpg","Фото")</f>
      </c>
    </row>
    <row r="10095">
      <c r="A10095" s="7">
        <f>HYPERLINK("http://www.lingerieopt.ru/item/10755-muzhskie-trusj-slipj-s-nadpisyu-doreanse/","10755")</f>
      </c>
      <c r="B10095" s="8" t="s">
        <v>9652</v>
      </c>
      <c r="C10095" s="9">
        <v>582</v>
      </c>
      <c r="D10095" s="0">
        <v>1</v>
      </c>
      <c r="E10095" s="10">
        <f>HYPERLINK("http://www.lingerieopt.ru/images/original/3be83645-6af7-459d-b86a-30deb5cc6c23.jpg","Фото")</f>
      </c>
    </row>
    <row r="10096">
      <c r="A10096" s="7">
        <f>HYPERLINK("http://www.lingerieopt.ru/item/10755-muzhskie-trusj-slipj-s-nadpisyu-doreanse/","10755")</f>
      </c>
      <c r="B10096" s="8" t="s">
        <v>9653</v>
      </c>
      <c r="C10096" s="9">
        <v>582</v>
      </c>
      <c r="D10096" s="0">
        <v>3</v>
      </c>
      <c r="E10096" s="10">
        <f>HYPERLINK("http://www.lingerieopt.ru/images/original/3be83645-6af7-459d-b86a-30deb5cc6c23.jpg","Фото")</f>
      </c>
    </row>
    <row r="10097">
      <c r="A10097" s="7">
        <f>HYPERLINK("http://www.lingerieopt.ru/item/10755-muzhskie-trusj-slipj-s-nadpisyu-doreanse/","10755")</f>
      </c>
      <c r="B10097" s="8" t="s">
        <v>9654</v>
      </c>
      <c r="C10097" s="9">
        <v>582</v>
      </c>
      <c r="D10097" s="0">
        <v>1</v>
      </c>
      <c r="E10097" s="10">
        <f>HYPERLINK("http://www.lingerieopt.ru/images/original/3be83645-6af7-459d-b86a-30deb5cc6c23.jpg","Фото")</f>
      </c>
    </row>
    <row r="10098">
      <c r="A10098" s="7">
        <f>HYPERLINK("http://www.lingerieopt.ru/item/10755-muzhskie-trusj-slipj-s-nadpisyu-doreanse/","10755")</f>
      </c>
      <c r="B10098" s="8" t="s">
        <v>9655</v>
      </c>
      <c r="C10098" s="9">
        <v>582</v>
      </c>
      <c r="D10098" s="0">
        <v>1</v>
      </c>
      <c r="E10098" s="10">
        <f>HYPERLINK("http://www.lingerieopt.ru/images/original/3be83645-6af7-459d-b86a-30deb5cc6c23.jpg","Фото")</f>
      </c>
    </row>
    <row r="10099">
      <c r="A10099" s="7">
        <f>HYPERLINK("http://www.lingerieopt.ru/item/10755-muzhskie-trusj-slipj-s-nadpisyu-doreanse/","10755")</f>
      </c>
      <c r="B10099" s="8" t="s">
        <v>9656</v>
      </c>
      <c r="C10099" s="9">
        <v>582</v>
      </c>
      <c r="D10099" s="0">
        <v>1</v>
      </c>
      <c r="E10099" s="10">
        <f>HYPERLINK("http://www.lingerieopt.ru/images/original/3be83645-6af7-459d-b86a-30deb5cc6c23.jpg","Фото")</f>
      </c>
    </row>
    <row r="10100">
      <c r="A10100" s="7">
        <f>HYPERLINK("http://www.lingerieopt.ru/item/10755-muzhskie-trusj-slipj-s-nadpisyu-doreanse/","10755")</f>
      </c>
      <c r="B10100" s="8" t="s">
        <v>9657</v>
      </c>
      <c r="C10100" s="9">
        <v>582</v>
      </c>
      <c r="D10100" s="0">
        <v>2</v>
      </c>
      <c r="E10100" s="10">
        <f>HYPERLINK("http://www.lingerieopt.ru/images/original/3be83645-6af7-459d-b86a-30deb5cc6c23.jpg","Фото")</f>
      </c>
    </row>
    <row r="10101">
      <c r="A10101" s="7">
        <f>HYPERLINK("http://www.lingerieopt.ru/item/10755-muzhskie-trusj-slipj-s-nadpisyu-doreanse/","10755")</f>
      </c>
      <c r="B10101" s="8" t="s">
        <v>9658</v>
      </c>
      <c r="C10101" s="9">
        <v>582</v>
      </c>
      <c r="D10101" s="0">
        <v>1</v>
      </c>
      <c r="E10101" s="10">
        <f>HYPERLINK("http://www.lingerieopt.ru/images/original/3be83645-6af7-459d-b86a-30deb5cc6c23.jpg","Фото")</f>
      </c>
    </row>
    <row r="10102">
      <c r="A10102" s="7">
        <f>HYPERLINK("http://www.lingerieopt.ru/item/10756-trusiki-stringi-na-uzkoi-rezinke/","10756")</f>
      </c>
      <c r="B10102" s="8" t="s">
        <v>9659</v>
      </c>
      <c r="C10102" s="9">
        <v>533</v>
      </c>
      <c r="D10102" s="0">
        <v>0</v>
      </c>
      <c r="E10102" s="10">
        <f>HYPERLINK("http://www.lingerieopt.ru/images/original/9a82afc6-1dc4-4243-a2a5-895b3d93701a.jpg","Фото")</f>
      </c>
    </row>
    <row r="10103">
      <c r="A10103" s="7">
        <f>HYPERLINK("http://www.lingerieopt.ru/item/10756-trusiki-stringi-na-uzkoi-rezinke/","10756")</f>
      </c>
      <c r="B10103" s="8" t="s">
        <v>9660</v>
      </c>
      <c r="C10103" s="9">
        <v>533</v>
      </c>
      <c r="D10103" s="0">
        <v>1</v>
      </c>
      <c r="E10103" s="10">
        <f>HYPERLINK("http://www.lingerieopt.ru/images/original/9a82afc6-1dc4-4243-a2a5-895b3d93701a.jpg","Фото")</f>
      </c>
    </row>
    <row r="10104">
      <c r="A10104" s="7">
        <f>HYPERLINK("http://www.lingerieopt.ru/item/10756-trusiki-stringi-na-uzkoi-rezinke/","10756")</f>
      </c>
      <c r="B10104" s="8" t="s">
        <v>9661</v>
      </c>
      <c r="C10104" s="9">
        <v>533</v>
      </c>
      <c r="D10104" s="0">
        <v>1</v>
      </c>
      <c r="E10104" s="10">
        <f>HYPERLINK("http://www.lingerieopt.ru/images/original/9a82afc6-1dc4-4243-a2a5-895b3d93701a.jpg","Фото")</f>
      </c>
    </row>
    <row r="10105">
      <c r="A10105" s="7">
        <f>HYPERLINK("http://www.lingerieopt.ru/item/10756-trusiki-stringi-na-uzkoi-rezinke/","10756")</f>
      </c>
      <c r="B10105" s="8" t="s">
        <v>9662</v>
      </c>
      <c r="C10105" s="9">
        <v>533</v>
      </c>
      <c r="D10105" s="0">
        <v>3</v>
      </c>
      <c r="E10105" s="10">
        <f>HYPERLINK("http://www.lingerieopt.ru/images/original/9a82afc6-1dc4-4243-a2a5-895b3d93701a.jpg","Фото")</f>
      </c>
    </row>
    <row r="10106">
      <c r="A10106" s="7">
        <f>HYPERLINK("http://www.lingerieopt.ru/item/10757-bokserj-iz-hlopkovo-modalnoi-tkani/","10757")</f>
      </c>
      <c r="B10106" s="8" t="s">
        <v>9663</v>
      </c>
      <c r="C10106" s="9">
        <v>712</v>
      </c>
      <c r="D10106" s="0">
        <v>3</v>
      </c>
      <c r="E10106" s="10">
        <f>HYPERLINK("http://www.lingerieopt.ru/images/original/50762fef-7b70-4d3b-8751-25f49d719c56.jpg","Фото")</f>
      </c>
    </row>
    <row r="10107">
      <c r="A10107" s="7">
        <f>HYPERLINK("http://www.lingerieopt.ru/item/10757-bokserj-iz-hlopkovo-modalnoi-tkani/","10757")</f>
      </c>
      <c r="B10107" s="8" t="s">
        <v>9664</v>
      </c>
      <c r="C10107" s="9">
        <v>712</v>
      </c>
      <c r="D10107" s="0">
        <v>3</v>
      </c>
      <c r="E10107" s="10">
        <f>HYPERLINK("http://www.lingerieopt.ru/images/original/50762fef-7b70-4d3b-8751-25f49d719c56.jpg","Фото")</f>
      </c>
    </row>
    <row r="10108">
      <c r="A10108" s="7">
        <f>HYPERLINK("http://www.lingerieopt.ru/item/10757-bokserj-iz-hlopkovo-modalnoi-tkani/","10757")</f>
      </c>
      <c r="B10108" s="8" t="s">
        <v>9665</v>
      </c>
      <c r="C10108" s="9">
        <v>712</v>
      </c>
      <c r="D10108" s="0">
        <v>3</v>
      </c>
      <c r="E10108" s="10">
        <f>HYPERLINK("http://www.lingerieopt.ru/images/original/50762fef-7b70-4d3b-8751-25f49d719c56.jpg","Фото")</f>
      </c>
    </row>
    <row r="10109">
      <c r="A10109" s="7">
        <f>HYPERLINK("http://www.lingerieopt.ru/item/10757-bokserj-iz-hlopkovo-modalnoi-tkani/","10757")</f>
      </c>
      <c r="B10109" s="8" t="s">
        <v>9666</v>
      </c>
      <c r="C10109" s="9">
        <v>712</v>
      </c>
      <c r="D10109" s="0">
        <v>3</v>
      </c>
      <c r="E10109" s="10">
        <f>HYPERLINK("http://www.lingerieopt.ru/images/original/50762fef-7b70-4d3b-8751-25f49d719c56.jpg","Фото")</f>
      </c>
    </row>
    <row r="10110">
      <c r="A10110" s="7">
        <f>HYPERLINK("http://www.lingerieopt.ru/item/10757-bokserj-iz-hlopkovo-modalnoi-tkani/","10757")</f>
      </c>
      <c r="B10110" s="8" t="s">
        <v>9667</v>
      </c>
      <c r="C10110" s="9">
        <v>712</v>
      </c>
      <c r="D10110" s="0">
        <v>3</v>
      </c>
      <c r="E10110" s="10">
        <f>HYPERLINK("http://www.lingerieopt.ru/images/original/50762fef-7b70-4d3b-8751-25f49d719c56.jpg","Фото")</f>
      </c>
    </row>
    <row r="10111">
      <c r="A10111" s="7">
        <f>HYPERLINK("http://www.lingerieopt.ru/item/10759-ukorochennje-bokserj-na-uzkoi-rezinke/","10759")</f>
      </c>
      <c r="B10111" s="8" t="s">
        <v>9668</v>
      </c>
      <c r="C10111" s="9">
        <v>774</v>
      </c>
      <c r="D10111" s="0">
        <v>1</v>
      </c>
      <c r="E10111" s="10">
        <f>HYPERLINK("http://www.lingerieopt.ru/images/original/2a3af72c-da97-4e52-b107-a5ee052074bc.jpg","Фото")</f>
      </c>
    </row>
    <row r="10112">
      <c r="A10112" s="7">
        <f>HYPERLINK("http://www.lingerieopt.ru/item/10759-ukorochennje-bokserj-na-uzkoi-rezinke/","10759")</f>
      </c>
      <c r="B10112" s="8" t="s">
        <v>9669</v>
      </c>
      <c r="C10112" s="9">
        <v>774</v>
      </c>
      <c r="D10112" s="0">
        <v>3</v>
      </c>
      <c r="E10112" s="10">
        <f>HYPERLINK("http://www.lingerieopt.ru/images/original/2a3af72c-da97-4e52-b107-a5ee052074bc.jpg","Фото")</f>
      </c>
    </row>
    <row r="10113">
      <c r="A10113" s="7">
        <f>HYPERLINK("http://www.lingerieopt.ru/item/10759-ukorochennje-bokserj-na-uzkoi-rezinke/","10759")</f>
      </c>
      <c r="B10113" s="8" t="s">
        <v>9670</v>
      </c>
      <c r="C10113" s="9">
        <v>774</v>
      </c>
      <c r="D10113" s="0">
        <v>3</v>
      </c>
      <c r="E10113" s="10">
        <f>HYPERLINK("http://www.lingerieopt.ru/images/original/2a3af72c-da97-4e52-b107-a5ee052074bc.jpg","Фото")</f>
      </c>
    </row>
    <row r="10114">
      <c r="A10114" s="7">
        <f>HYPERLINK("http://www.lingerieopt.ru/item/10759-ukorochennje-bokserj-na-uzkoi-rezinke/","10759")</f>
      </c>
      <c r="B10114" s="8" t="s">
        <v>9671</v>
      </c>
      <c r="C10114" s="9">
        <v>774</v>
      </c>
      <c r="D10114" s="0">
        <v>3</v>
      </c>
      <c r="E10114" s="10">
        <f>HYPERLINK("http://www.lingerieopt.ru/images/original/2a3af72c-da97-4e52-b107-a5ee052074bc.jpg","Фото")</f>
      </c>
    </row>
    <row r="10115">
      <c r="A10115" s="7">
        <f>HYPERLINK("http://www.lingerieopt.ru/item/10759-ukorochennje-bokserj-na-uzkoi-rezinke/","10759")</f>
      </c>
      <c r="B10115" s="8" t="s">
        <v>9672</v>
      </c>
      <c r="C10115" s="9">
        <v>774</v>
      </c>
      <c r="D10115" s="0">
        <v>3</v>
      </c>
      <c r="E10115" s="10">
        <f>HYPERLINK("http://www.lingerieopt.ru/images/original/2a3af72c-da97-4e52-b107-a5ee052074bc.jpg","Фото")</f>
      </c>
    </row>
    <row r="10116">
      <c r="A10116" s="7">
        <f>HYPERLINK("http://www.lingerieopt.ru/item/10759-ukorochennje-bokserj-na-uzkoi-rezinke/","10759")</f>
      </c>
      <c r="B10116" s="8" t="s">
        <v>9673</v>
      </c>
      <c r="C10116" s="9">
        <v>774</v>
      </c>
      <c r="D10116" s="0">
        <v>1</v>
      </c>
      <c r="E10116" s="10">
        <f>HYPERLINK("http://www.lingerieopt.ru/images/original/2a3af72c-da97-4e52-b107-a5ee052074bc.jpg","Фото")</f>
      </c>
    </row>
    <row r="10117">
      <c r="A10117" s="7">
        <f>HYPERLINK("http://www.lingerieopt.ru/item/10759-ukorochennje-bokserj-na-uzkoi-rezinke/","10759")</f>
      </c>
      <c r="B10117" s="8" t="s">
        <v>9674</v>
      </c>
      <c r="C10117" s="9">
        <v>774</v>
      </c>
      <c r="D10117" s="0">
        <v>3</v>
      </c>
      <c r="E10117" s="10">
        <f>HYPERLINK("http://www.lingerieopt.ru/images/original/2a3af72c-da97-4e52-b107-a5ee052074bc.jpg","Фото")</f>
      </c>
    </row>
    <row r="10118">
      <c r="A10118" s="7">
        <f>HYPERLINK("http://www.lingerieopt.ru/item/10759-ukorochennje-bokserj-na-uzkoi-rezinke/","10759")</f>
      </c>
      <c r="B10118" s="8" t="s">
        <v>9675</v>
      </c>
      <c r="C10118" s="9">
        <v>774</v>
      </c>
      <c r="D10118" s="0">
        <v>3</v>
      </c>
      <c r="E10118" s="10">
        <f>HYPERLINK("http://www.lingerieopt.ru/images/original/2a3af72c-da97-4e52-b107-a5ee052074bc.jpg","Фото")</f>
      </c>
    </row>
    <row r="10119">
      <c r="A10119" s="7">
        <f>HYPERLINK("http://www.lingerieopt.ru/item/10760-hlopkovje-bokserj-s-nadpisyu-doreanse/","10760")</f>
      </c>
      <c r="B10119" s="8" t="s">
        <v>9676</v>
      </c>
      <c r="C10119" s="9">
        <v>648</v>
      </c>
      <c r="D10119" s="0">
        <v>3</v>
      </c>
      <c r="E10119" s="10">
        <f>HYPERLINK("http://www.lingerieopt.ru/images/original/b77bd3e0-195d-4ab8-8dc2-4845d4ff90c0.jpg","Фото")</f>
      </c>
    </row>
    <row r="10120">
      <c r="A10120" s="7">
        <f>HYPERLINK("http://www.lingerieopt.ru/item/10760-hlopkovje-bokserj-s-nadpisyu-doreanse/","10760")</f>
      </c>
      <c r="B10120" s="8" t="s">
        <v>9677</v>
      </c>
      <c r="C10120" s="9">
        <v>648</v>
      </c>
      <c r="D10120" s="0">
        <v>1</v>
      </c>
      <c r="E10120" s="10">
        <f>HYPERLINK("http://www.lingerieopt.ru/images/original/b77bd3e0-195d-4ab8-8dc2-4845d4ff90c0.jpg","Фото")</f>
      </c>
    </row>
    <row r="10121">
      <c r="A10121" s="7">
        <f>HYPERLINK("http://www.lingerieopt.ru/item/10760-hlopkovje-bokserj-s-nadpisyu-doreanse/","10760")</f>
      </c>
      <c r="B10121" s="8" t="s">
        <v>9678</v>
      </c>
      <c r="C10121" s="9">
        <v>648</v>
      </c>
      <c r="D10121" s="0">
        <v>3</v>
      </c>
      <c r="E10121" s="10">
        <f>HYPERLINK("http://www.lingerieopt.ru/images/original/b77bd3e0-195d-4ab8-8dc2-4845d4ff90c0.jpg","Фото")</f>
      </c>
    </row>
    <row r="10122">
      <c r="A10122" s="7">
        <f>HYPERLINK("http://www.lingerieopt.ru/item/10760-hlopkovje-bokserj-s-nadpisyu-doreanse/","10760")</f>
      </c>
      <c r="B10122" s="8" t="s">
        <v>9679</v>
      </c>
      <c r="C10122" s="9">
        <v>648</v>
      </c>
      <c r="D10122" s="0">
        <v>3</v>
      </c>
      <c r="E10122" s="10">
        <f>HYPERLINK("http://www.lingerieopt.ru/images/original/b77bd3e0-195d-4ab8-8dc2-4845d4ff90c0.jpg","Фото")</f>
      </c>
    </row>
    <row r="10123">
      <c r="A10123" s="7">
        <f>HYPERLINK("http://www.lingerieopt.ru/item/10760-hlopkovje-bokserj-s-nadpisyu-doreanse/","10760")</f>
      </c>
      <c r="B10123" s="8" t="s">
        <v>9680</v>
      </c>
      <c r="C10123" s="9">
        <v>648</v>
      </c>
      <c r="D10123" s="0">
        <v>3</v>
      </c>
      <c r="E10123" s="10">
        <f>HYPERLINK("http://www.lingerieopt.ru/images/original/b77bd3e0-195d-4ab8-8dc2-4845d4ff90c0.jpg","Фото")</f>
      </c>
    </row>
    <row r="10124">
      <c r="A10124" s="7">
        <f>HYPERLINK("http://www.lingerieopt.ru/item/10760-hlopkovje-bokserj-s-nadpisyu-doreanse/","10760")</f>
      </c>
      <c r="B10124" s="8" t="s">
        <v>9681</v>
      </c>
      <c r="C10124" s="9">
        <v>648</v>
      </c>
      <c r="D10124" s="0">
        <v>3</v>
      </c>
      <c r="E10124" s="10">
        <f>HYPERLINK("http://www.lingerieopt.ru/images/original/b77bd3e0-195d-4ab8-8dc2-4845d4ff90c0.jpg","Фото")</f>
      </c>
    </row>
    <row r="10125">
      <c r="A10125" s="7">
        <f>HYPERLINK("http://www.lingerieopt.ru/item/10760-hlopkovje-bokserj-s-nadpisyu-doreanse/","10760")</f>
      </c>
      <c r="B10125" s="8" t="s">
        <v>9682</v>
      </c>
      <c r="C10125" s="9">
        <v>648</v>
      </c>
      <c r="D10125" s="0">
        <v>3</v>
      </c>
      <c r="E10125" s="10">
        <f>HYPERLINK("http://www.lingerieopt.ru/images/original/b77bd3e0-195d-4ab8-8dc2-4845d4ff90c0.jpg","Фото")</f>
      </c>
    </row>
    <row r="10126">
      <c r="A10126" s="7">
        <f>HYPERLINK("http://www.lingerieopt.ru/item/10760-hlopkovje-bokserj-s-nadpisyu-doreanse/","10760")</f>
      </c>
      <c r="B10126" s="8" t="s">
        <v>9683</v>
      </c>
      <c r="C10126" s="9">
        <v>648</v>
      </c>
      <c r="D10126" s="0">
        <v>3</v>
      </c>
      <c r="E10126" s="10">
        <f>HYPERLINK("http://www.lingerieopt.ru/images/original/b77bd3e0-195d-4ab8-8dc2-4845d4ff90c0.jpg","Фото")</f>
      </c>
    </row>
    <row r="10127">
      <c r="A10127" s="7">
        <f>HYPERLINK("http://www.lingerieopt.ru/item/10760-hlopkovje-bokserj-s-nadpisyu-doreanse/","10760")</f>
      </c>
      <c r="B10127" s="8" t="s">
        <v>9684</v>
      </c>
      <c r="C10127" s="9">
        <v>648</v>
      </c>
      <c r="D10127" s="0">
        <v>3</v>
      </c>
      <c r="E10127" s="10">
        <f>HYPERLINK("http://www.lingerieopt.ru/images/original/b77bd3e0-195d-4ab8-8dc2-4845d4ff90c0.jpg","Фото")</f>
      </c>
    </row>
    <row r="10128">
      <c r="A10128" s="7">
        <f>HYPERLINK("http://www.lingerieopt.ru/item/10760-hlopkovje-bokserj-s-nadpisyu-doreanse/","10760")</f>
      </c>
      <c r="B10128" s="8" t="s">
        <v>9685</v>
      </c>
      <c r="C10128" s="9">
        <v>648</v>
      </c>
      <c r="D10128" s="0">
        <v>3</v>
      </c>
      <c r="E10128" s="10">
        <f>HYPERLINK("http://www.lingerieopt.ru/images/original/b77bd3e0-195d-4ab8-8dc2-4845d4ff90c0.jpg","Фото")</f>
      </c>
    </row>
    <row r="10129">
      <c r="A10129" s="7">
        <f>HYPERLINK("http://www.lingerieopt.ru/item/10761-udlinennje-poluprozrachnje-bokserj/","10761")</f>
      </c>
      <c r="B10129" s="8" t="s">
        <v>9686</v>
      </c>
      <c r="C10129" s="9">
        <v>730</v>
      </c>
      <c r="D10129" s="0">
        <v>3</v>
      </c>
      <c r="E10129" s="10">
        <f>HYPERLINK("http://www.lingerieopt.ru/images/original/48abb4bc-7a3e-4d56-b508-a3d1de543d9a.jpg","Фото")</f>
      </c>
    </row>
    <row r="10130">
      <c r="A10130" s="7">
        <f>HYPERLINK("http://www.lingerieopt.ru/item/10761-udlinennje-poluprozrachnje-bokserj/","10761")</f>
      </c>
      <c r="B10130" s="8" t="s">
        <v>9687</v>
      </c>
      <c r="C10130" s="9">
        <v>730</v>
      </c>
      <c r="D10130" s="0">
        <v>3</v>
      </c>
      <c r="E10130" s="10">
        <f>HYPERLINK("http://www.lingerieopt.ru/images/original/48abb4bc-7a3e-4d56-b508-a3d1de543d9a.jpg","Фото")</f>
      </c>
    </row>
    <row r="10131">
      <c r="A10131" s="7">
        <f>HYPERLINK("http://www.lingerieopt.ru/item/10761-udlinennje-poluprozrachnje-bokserj/","10761")</f>
      </c>
      <c r="B10131" s="8" t="s">
        <v>9688</v>
      </c>
      <c r="C10131" s="9">
        <v>730</v>
      </c>
      <c r="D10131" s="0">
        <v>0</v>
      </c>
      <c r="E10131" s="10">
        <f>HYPERLINK("http://www.lingerieopt.ru/images/original/48abb4bc-7a3e-4d56-b508-a3d1de543d9a.jpg","Фото")</f>
      </c>
    </row>
    <row r="10132">
      <c r="A10132" s="7">
        <f>HYPERLINK("http://www.lingerieopt.ru/item/10761-udlinennje-poluprozrachnje-bokserj/","10761")</f>
      </c>
      <c r="B10132" s="8" t="s">
        <v>9689</v>
      </c>
      <c r="C10132" s="9">
        <v>730</v>
      </c>
      <c r="D10132" s="0">
        <v>3</v>
      </c>
      <c r="E10132" s="10">
        <f>HYPERLINK("http://www.lingerieopt.ru/images/original/48abb4bc-7a3e-4d56-b508-a3d1de543d9a.jpg","Фото")</f>
      </c>
    </row>
    <row r="10133">
      <c r="A10133" s="7">
        <f>HYPERLINK("http://www.lingerieopt.ru/item/10761-udlinennje-poluprozrachnje-bokserj/","10761")</f>
      </c>
      <c r="B10133" s="8" t="s">
        <v>9690</v>
      </c>
      <c r="C10133" s="9">
        <v>730</v>
      </c>
      <c r="D10133" s="0">
        <v>3</v>
      </c>
      <c r="E10133" s="10">
        <f>HYPERLINK("http://www.lingerieopt.ru/images/original/48abb4bc-7a3e-4d56-b508-a3d1de543d9a.jpg","Фото")</f>
      </c>
    </row>
    <row r="10134">
      <c r="A10134" s="7">
        <f>HYPERLINK("http://www.lingerieopt.ru/item/10762-udlinennje-bokserj-s-yarkim-poyasom-i-vstavkami-po-bokam/","10762")</f>
      </c>
      <c r="B10134" s="8" t="s">
        <v>9691</v>
      </c>
      <c r="C10134" s="9">
        <v>774</v>
      </c>
      <c r="D10134" s="0">
        <v>3</v>
      </c>
      <c r="E10134" s="10">
        <f>HYPERLINK("http://www.lingerieopt.ru/images/original/a206e520-26e3-454c-8af6-41b74a093847.jpg","Фото")</f>
      </c>
    </row>
    <row r="10135">
      <c r="A10135" s="7">
        <f>HYPERLINK("http://www.lingerieopt.ru/item/10762-udlinennje-bokserj-s-yarkim-poyasom-i-vstavkami-po-bokam/","10762")</f>
      </c>
      <c r="B10135" s="8" t="s">
        <v>9692</v>
      </c>
      <c r="C10135" s="9">
        <v>774</v>
      </c>
      <c r="D10135" s="0">
        <v>3</v>
      </c>
      <c r="E10135" s="10">
        <f>HYPERLINK("http://www.lingerieopt.ru/images/original/a206e520-26e3-454c-8af6-41b74a093847.jpg","Фото")</f>
      </c>
    </row>
    <row r="10136">
      <c r="A10136" s="7">
        <f>HYPERLINK("http://www.lingerieopt.ru/item/10762-udlinennje-bokserj-s-yarkim-poyasom-i-vstavkami-po-bokam/","10762")</f>
      </c>
      <c r="B10136" s="8" t="s">
        <v>9693</v>
      </c>
      <c r="C10136" s="9">
        <v>774</v>
      </c>
      <c r="D10136" s="0">
        <v>3</v>
      </c>
      <c r="E10136" s="10">
        <f>HYPERLINK("http://www.lingerieopt.ru/images/original/a206e520-26e3-454c-8af6-41b74a093847.jpg","Фото")</f>
      </c>
    </row>
    <row r="10137">
      <c r="A10137" s="7">
        <f>HYPERLINK("http://www.lingerieopt.ru/item/10762-udlinennje-bokserj-s-yarkim-poyasom-i-vstavkami-po-bokam/","10762")</f>
      </c>
      <c r="B10137" s="8" t="s">
        <v>9694</v>
      </c>
      <c r="C10137" s="9">
        <v>774</v>
      </c>
      <c r="D10137" s="0">
        <v>3</v>
      </c>
      <c r="E10137" s="10">
        <f>HYPERLINK("http://www.lingerieopt.ru/images/original/a206e520-26e3-454c-8af6-41b74a093847.jpg","Фото")</f>
      </c>
    </row>
    <row r="10138">
      <c r="A10138" s="7">
        <f>HYPERLINK("http://www.lingerieopt.ru/item/10762-udlinennje-bokserj-s-yarkim-poyasom-i-vstavkami-po-bokam/","10762")</f>
      </c>
      <c r="B10138" s="8" t="s">
        <v>9695</v>
      </c>
      <c r="C10138" s="9">
        <v>774</v>
      </c>
      <c r="D10138" s="0">
        <v>1</v>
      </c>
      <c r="E10138" s="10">
        <f>HYPERLINK("http://www.lingerieopt.ru/images/original/a206e520-26e3-454c-8af6-41b74a093847.jpg","Фото")</f>
      </c>
    </row>
    <row r="10139">
      <c r="A10139" s="7">
        <f>HYPERLINK("http://www.lingerieopt.ru/item/10762-udlinennje-bokserj-s-yarkim-poyasom-i-vstavkami-po-bokam/","10762")</f>
      </c>
      <c r="B10139" s="8" t="s">
        <v>9696</v>
      </c>
      <c r="C10139" s="9">
        <v>774</v>
      </c>
      <c r="D10139" s="0">
        <v>1</v>
      </c>
      <c r="E10139" s="10">
        <f>HYPERLINK("http://www.lingerieopt.ru/images/original/a206e520-26e3-454c-8af6-41b74a093847.jpg","Фото")</f>
      </c>
    </row>
    <row r="10140">
      <c r="A10140" s="7">
        <f>HYPERLINK("http://www.lingerieopt.ru/item/10762-udlinennje-bokserj-s-yarkim-poyasom-i-vstavkami-po-bokam/","10762")</f>
      </c>
      <c r="B10140" s="8" t="s">
        <v>9697</v>
      </c>
      <c r="C10140" s="9">
        <v>774</v>
      </c>
      <c r="D10140" s="0">
        <v>1</v>
      </c>
      <c r="E10140" s="10">
        <f>HYPERLINK("http://www.lingerieopt.ru/images/original/a206e520-26e3-454c-8af6-41b74a093847.jpg","Фото")</f>
      </c>
    </row>
    <row r="10141">
      <c r="A10141" s="7">
        <f>HYPERLINK("http://www.lingerieopt.ru/item/10762-udlinennje-bokserj-s-yarkim-poyasom-i-vstavkami-po-bokam/","10762")</f>
      </c>
      <c r="B10141" s="8" t="s">
        <v>9698</v>
      </c>
      <c r="C10141" s="9">
        <v>774</v>
      </c>
      <c r="D10141" s="0">
        <v>1</v>
      </c>
      <c r="E10141" s="10">
        <f>HYPERLINK("http://www.lingerieopt.ru/images/original/a206e520-26e3-454c-8af6-41b74a093847.jpg","Фото")</f>
      </c>
    </row>
    <row r="10142">
      <c r="A10142" s="7">
        <f>HYPERLINK("http://www.lingerieopt.ru/item/10762-udlinennje-bokserj-s-yarkim-poyasom-i-vstavkami-po-bokam/","10762")</f>
      </c>
      <c r="B10142" s="8" t="s">
        <v>9699</v>
      </c>
      <c r="C10142" s="9">
        <v>774</v>
      </c>
      <c r="D10142" s="0">
        <v>1</v>
      </c>
      <c r="E10142" s="10">
        <f>HYPERLINK("http://www.lingerieopt.ru/images/original/a206e520-26e3-454c-8af6-41b74a093847.jpg","Фото")</f>
      </c>
    </row>
    <row r="10143">
      <c r="A10143" s="7">
        <f>HYPERLINK("http://www.lingerieopt.ru/item/10763-bokserj-iz-hlopkovo-modalnoi-tkani-s-nadpisyu-na-poyase/","10763")</f>
      </c>
      <c r="B10143" s="8" t="s">
        <v>9700</v>
      </c>
      <c r="C10143" s="9">
        <v>640</v>
      </c>
      <c r="D10143" s="0">
        <v>1</v>
      </c>
      <c r="E10143" s="10">
        <f>HYPERLINK("http://www.lingerieopt.ru/images/original/ba5cbca7-5579-42f2-8c52-00a30bfe4685.jpg","Фото")</f>
      </c>
    </row>
    <row r="10144">
      <c r="A10144" s="7">
        <f>HYPERLINK("http://www.lingerieopt.ru/item/10763-bokserj-iz-hlopkovo-modalnoi-tkani-s-nadpisyu-na-poyase/","10763")</f>
      </c>
      <c r="B10144" s="8" t="s">
        <v>9701</v>
      </c>
      <c r="C10144" s="9">
        <v>640</v>
      </c>
      <c r="D10144" s="0">
        <v>1</v>
      </c>
      <c r="E10144" s="10">
        <f>HYPERLINK("http://www.lingerieopt.ru/images/original/ba5cbca7-5579-42f2-8c52-00a30bfe4685.jpg","Фото")</f>
      </c>
    </row>
    <row r="10145">
      <c r="A10145" s="7">
        <f>HYPERLINK("http://www.lingerieopt.ru/item/10763-bokserj-iz-hlopkovo-modalnoi-tkani-s-nadpisyu-na-poyase/","10763")</f>
      </c>
      <c r="B10145" s="8" t="s">
        <v>9702</v>
      </c>
      <c r="C10145" s="9">
        <v>640</v>
      </c>
      <c r="D10145" s="0">
        <v>0</v>
      </c>
      <c r="E10145" s="10">
        <f>HYPERLINK("http://www.lingerieopt.ru/images/original/ba5cbca7-5579-42f2-8c52-00a30bfe4685.jpg","Фото")</f>
      </c>
    </row>
    <row r="10146">
      <c r="A10146" s="7">
        <f>HYPERLINK("http://www.lingerieopt.ru/item/10763-bokserj-iz-hlopkovo-modalnoi-tkani-s-nadpisyu-na-poyase/","10763")</f>
      </c>
      <c r="B10146" s="8" t="s">
        <v>9703</v>
      </c>
      <c r="C10146" s="9">
        <v>640</v>
      </c>
      <c r="D10146" s="0">
        <v>3</v>
      </c>
      <c r="E10146" s="10">
        <f>HYPERLINK("http://www.lingerieopt.ru/images/original/ba5cbca7-5579-42f2-8c52-00a30bfe4685.jpg","Фото")</f>
      </c>
    </row>
    <row r="10147">
      <c r="A10147" s="7">
        <f>HYPERLINK("http://www.lingerieopt.ru/item/10763-bokserj-iz-hlopkovo-modalnoi-tkani-s-nadpisyu-na-poyase/","10763")</f>
      </c>
      <c r="B10147" s="8" t="s">
        <v>9704</v>
      </c>
      <c r="C10147" s="9">
        <v>640</v>
      </c>
      <c r="D10147" s="0">
        <v>1</v>
      </c>
      <c r="E10147" s="10">
        <f>HYPERLINK("http://www.lingerieopt.ru/images/original/ba5cbca7-5579-42f2-8c52-00a30bfe4685.jpg","Фото")</f>
      </c>
    </row>
    <row r="10148">
      <c r="A10148" s="7">
        <f>HYPERLINK("http://www.lingerieopt.ru/item/10763-bokserj-iz-hlopkovo-modalnoi-tkani-s-nadpisyu-na-poyase/","10763")</f>
      </c>
      <c r="B10148" s="8" t="s">
        <v>9705</v>
      </c>
      <c r="C10148" s="9">
        <v>640</v>
      </c>
      <c r="D10148" s="0">
        <v>1</v>
      </c>
      <c r="E10148" s="10">
        <f>HYPERLINK("http://www.lingerieopt.ru/images/original/ba5cbca7-5579-42f2-8c52-00a30bfe4685.jpg","Фото")</f>
      </c>
    </row>
    <row r="10149">
      <c r="A10149" s="7">
        <f>HYPERLINK("http://www.lingerieopt.ru/item/10763-bokserj-iz-hlopkovo-modalnoi-tkani-s-nadpisyu-na-poyase/","10763")</f>
      </c>
      <c r="B10149" s="8" t="s">
        <v>9706</v>
      </c>
      <c r="C10149" s="9">
        <v>640</v>
      </c>
      <c r="D10149" s="0">
        <v>1</v>
      </c>
      <c r="E10149" s="10">
        <f>HYPERLINK("http://www.lingerieopt.ru/images/original/ba5cbca7-5579-42f2-8c52-00a30bfe4685.jpg","Фото")</f>
      </c>
    </row>
    <row r="10150">
      <c r="A10150" s="7">
        <f>HYPERLINK("http://www.lingerieopt.ru/item/10763-bokserj-iz-hlopkovo-modalnoi-tkani-s-nadpisyu-na-poyase/","10763")</f>
      </c>
      <c r="B10150" s="8" t="s">
        <v>9707</v>
      </c>
      <c r="C10150" s="9">
        <v>640</v>
      </c>
      <c r="D10150" s="0">
        <v>3</v>
      </c>
      <c r="E10150" s="10">
        <f>HYPERLINK("http://www.lingerieopt.ru/images/original/ba5cbca7-5579-42f2-8c52-00a30bfe4685.jpg","Фото")</f>
      </c>
    </row>
    <row r="10151">
      <c r="A10151" s="7">
        <f>HYPERLINK("http://www.lingerieopt.ru/item/10763-bokserj-iz-hlopkovo-modalnoi-tkani-s-nadpisyu-na-poyase/","10763")</f>
      </c>
      <c r="B10151" s="8" t="s">
        <v>9708</v>
      </c>
      <c r="C10151" s="9">
        <v>640</v>
      </c>
      <c r="D10151" s="0">
        <v>1</v>
      </c>
      <c r="E10151" s="10">
        <f>HYPERLINK("http://www.lingerieopt.ru/images/original/ba5cbca7-5579-42f2-8c52-00a30bfe4685.jpg","Фото")</f>
      </c>
    </row>
    <row r="10152">
      <c r="A10152" s="7">
        <f>HYPERLINK("http://www.lingerieopt.ru/item/10763-bokserj-iz-hlopkovo-modalnoi-tkani-s-nadpisyu-na-poyase/","10763")</f>
      </c>
      <c r="B10152" s="8" t="s">
        <v>9709</v>
      </c>
      <c r="C10152" s="9">
        <v>640</v>
      </c>
      <c r="D10152" s="0">
        <v>1</v>
      </c>
      <c r="E10152" s="10">
        <f>HYPERLINK("http://www.lingerieopt.ru/images/original/ba5cbca7-5579-42f2-8c52-00a30bfe4685.jpg","Фото")</f>
      </c>
    </row>
    <row r="10153">
      <c r="A10153" s="7">
        <f>HYPERLINK("http://www.lingerieopt.ru/item/10764-udlinennje-muzhskie-trusj-bokserj-s-kletchatjm-poyasom/","10764")</f>
      </c>
      <c r="B10153" s="8" t="s">
        <v>9710</v>
      </c>
      <c r="C10153" s="9">
        <v>766</v>
      </c>
      <c r="D10153" s="0">
        <v>1</v>
      </c>
      <c r="E10153" s="10">
        <f>HYPERLINK("http://www.lingerieopt.ru/images/original/fad4baae-b87c-4310-9e77-e6a7ff0d6550.jpg","Фото")</f>
      </c>
    </row>
    <row r="10154">
      <c r="A10154" s="7">
        <f>HYPERLINK("http://www.lingerieopt.ru/item/10764-udlinennje-muzhskie-trusj-bokserj-s-kletchatjm-poyasom/","10764")</f>
      </c>
      <c r="B10154" s="8" t="s">
        <v>9711</v>
      </c>
      <c r="C10154" s="9">
        <v>766</v>
      </c>
      <c r="D10154" s="0">
        <v>1</v>
      </c>
      <c r="E10154" s="10">
        <f>HYPERLINK("http://www.lingerieopt.ru/images/original/fad4baae-b87c-4310-9e77-e6a7ff0d6550.jpg","Фото")</f>
      </c>
    </row>
    <row r="10155">
      <c r="A10155" s="7">
        <f>HYPERLINK("http://www.lingerieopt.ru/item/10764-udlinennje-muzhskie-trusj-bokserj-s-kletchatjm-poyasom/","10764")</f>
      </c>
      <c r="B10155" s="8" t="s">
        <v>9712</v>
      </c>
      <c r="C10155" s="9">
        <v>766</v>
      </c>
      <c r="D10155" s="0">
        <v>1</v>
      </c>
      <c r="E10155" s="10">
        <f>HYPERLINK("http://www.lingerieopt.ru/images/original/fad4baae-b87c-4310-9e77-e6a7ff0d6550.jpg","Фото")</f>
      </c>
    </row>
    <row r="10156">
      <c r="A10156" s="7">
        <f>HYPERLINK("http://www.lingerieopt.ru/item/10764-udlinennje-muzhskie-trusj-bokserj-s-kletchatjm-poyasom/","10764")</f>
      </c>
      <c r="B10156" s="8" t="s">
        <v>9713</v>
      </c>
      <c r="C10156" s="9">
        <v>766</v>
      </c>
      <c r="D10156" s="0">
        <v>0</v>
      </c>
      <c r="E10156" s="10">
        <f>HYPERLINK("http://www.lingerieopt.ru/images/original/fad4baae-b87c-4310-9e77-e6a7ff0d6550.jpg","Фото")</f>
      </c>
    </row>
    <row r="10157">
      <c r="A10157" s="7">
        <f>HYPERLINK("http://www.lingerieopt.ru/item/10764-udlinennje-muzhskie-trusj-bokserj-s-kletchatjm-poyasom/","10764")</f>
      </c>
      <c r="B10157" s="8" t="s">
        <v>9714</v>
      </c>
      <c r="C10157" s="9">
        <v>766</v>
      </c>
      <c r="D10157" s="0">
        <v>2</v>
      </c>
      <c r="E10157" s="10">
        <f>HYPERLINK("http://www.lingerieopt.ru/images/original/fad4baae-b87c-4310-9e77-e6a7ff0d6550.jpg","Фото")</f>
      </c>
    </row>
    <row r="10158">
      <c r="A10158" s="7">
        <f>HYPERLINK("http://www.lingerieopt.ru/item/10765-ukorochennje-bokserj-s-pestrjm-uzorom/","10765")</f>
      </c>
      <c r="B10158" s="8" t="s">
        <v>9715</v>
      </c>
      <c r="C10158" s="9">
        <v>610</v>
      </c>
      <c r="D10158" s="0">
        <v>3</v>
      </c>
      <c r="E10158" s="10">
        <f>HYPERLINK("http://www.lingerieopt.ru/images/original/deb75a83-a3ed-4d6b-8037-4e10c7e0030b.jpg","Фото")</f>
      </c>
    </row>
    <row r="10159">
      <c r="A10159" s="7">
        <f>HYPERLINK("http://www.lingerieopt.ru/item/10765-ukorochennje-bokserj-s-pestrjm-uzorom/","10765")</f>
      </c>
      <c r="B10159" s="8" t="s">
        <v>9716</v>
      </c>
      <c r="C10159" s="9">
        <v>610</v>
      </c>
      <c r="D10159" s="0">
        <v>0</v>
      </c>
      <c r="E10159" s="10">
        <f>HYPERLINK("http://www.lingerieopt.ru/images/original/deb75a83-a3ed-4d6b-8037-4e10c7e0030b.jpg","Фото")</f>
      </c>
    </row>
    <row r="10160">
      <c r="A10160" s="7">
        <f>HYPERLINK("http://www.lingerieopt.ru/item/10765-ukorochennje-bokserj-s-pestrjm-uzorom/","10765")</f>
      </c>
      <c r="B10160" s="8" t="s">
        <v>9717</v>
      </c>
      <c r="C10160" s="9">
        <v>610</v>
      </c>
      <c r="D10160" s="0">
        <v>1</v>
      </c>
      <c r="E10160" s="10">
        <f>HYPERLINK("http://www.lingerieopt.ru/images/original/deb75a83-a3ed-4d6b-8037-4e10c7e0030b.jpg","Фото")</f>
      </c>
    </row>
    <row r="10161">
      <c r="A10161" s="7">
        <f>HYPERLINK("http://www.lingerieopt.ru/item/10765-ukorochennje-bokserj-s-pestrjm-uzorom/","10765")</f>
      </c>
      <c r="B10161" s="8" t="s">
        <v>9718</v>
      </c>
      <c r="C10161" s="9">
        <v>610</v>
      </c>
      <c r="D10161" s="0">
        <v>1</v>
      </c>
      <c r="E10161" s="10">
        <f>HYPERLINK("http://www.lingerieopt.ru/images/original/deb75a83-a3ed-4d6b-8037-4e10c7e0030b.jpg","Фото")</f>
      </c>
    </row>
    <row r="10162">
      <c r="A10162" s="7">
        <f>HYPERLINK("http://www.lingerieopt.ru/item/10765-ukorochennje-bokserj-s-pestrjm-uzorom/","10765")</f>
      </c>
      <c r="B10162" s="8" t="s">
        <v>9719</v>
      </c>
      <c r="C10162" s="9">
        <v>610</v>
      </c>
      <c r="D10162" s="0">
        <v>3</v>
      </c>
      <c r="E10162" s="10">
        <f>HYPERLINK("http://www.lingerieopt.ru/images/original/deb75a83-a3ed-4d6b-8037-4e10c7e0030b.jpg","Фото")</f>
      </c>
    </row>
    <row r="10163">
      <c r="A10163" s="7">
        <f>HYPERLINK("http://www.lingerieopt.ru/item/10766-trusiki-slipj-s-poluprozrachnoi-tkanyu-na-bokah/","10766")</f>
      </c>
      <c r="B10163" s="8" t="s">
        <v>9720</v>
      </c>
      <c r="C10163" s="9">
        <v>620</v>
      </c>
      <c r="D10163" s="0">
        <v>3</v>
      </c>
      <c r="E10163" s="10">
        <f>HYPERLINK("http://www.lingerieopt.ru/images/original/1ed9ac7e-c735-4828-93db-7b1f9c05ae49.jpg","Фото")</f>
      </c>
    </row>
    <row r="10164">
      <c r="A10164" s="7">
        <f>HYPERLINK("http://www.lingerieopt.ru/item/10766-trusiki-slipj-s-poluprozrachnoi-tkanyu-na-bokah/","10766")</f>
      </c>
      <c r="B10164" s="8" t="s">
        <v>9721</v>
      </c>
      <c r="C10164" s="9">
        <v>620</v>
      </c>
      <c r="D10164" s="0">
        <v>3</v>
      </c>
      <c r="E10164" s="10">
        <f>HYPERLINK("http://www.lingerieopt.ru/images/original/1ed9ac7e-c735-4828-93db-7b1f9c05ae49.jpg","Фото")</f>
      </c>
    </row>
    <row r="10165">
      <c r="A10165" s="7">
        <f>HYPERLINK("http://www.lingerieopt.ru/item/10766-trusiki-slipj-s-poluprozrachnoi-tkanyu-na-bokah/","10766")</f>
      </c>
      <c r="B10165" s="8" t="s">
        <v>9722</v>
      </c>
      <c r="C10165" s="9">
        <v>620</v>
      </c>
      <c r="D10165" s="0">
        <v>1</v>
      </c>
      <c r="E10165" s="10">
        <f>HYPERLINK("http://www.lingerieopt.ru/images/original/1ed9ac7e-c735-4828-93db-7b1f9c05ae49.jpg","Фото")</f>
      </c>
    </row>
    <row r="10166">
      <c r="A10166" s="7">
        <f>HYPERLINK("http://www.lingerieopt.ru/item/10766-trusiki-slipj-s-poluprozrachnoi-tkanyu-na-bokah/","10766")</f>
      </c>
      <c r="B10166" s="8" t="s">
        <v>9723</v>
      </c>
      <c r="C10166" s="9">
        <v>620</v>
      </c>
      <c r="D10166" s="0">
        <v>3</v>
      </c>
      <c r="E10166" s="10">
        <f>HYPERLINK("http://www.lingerieopt.ru/images/original/1ed9ac7e-c735-4828-93db-7b1f9c05ae49.jpg","Фото")</f>
      </c>
    </row>
    <row r="10167">
      <c r="A10167" s="7">
        <f>HYPERLINK("http://www.lingerieopt.ru/item/10766-trusiki-slipj-s-poluprozrachnoi-tkanyu-na-bokah/","10766")</f>
      </c>
      <c r="B10167" s="8" t="s">
        <v>9724</v>
      </c>
      <c r="C10167" s="9">
        <v>620</v>
      </c>
      <c r="D10167" s="0">
        <v>3</v>
      </c>
      <c r="E10167" s="10">
        <f>HYPERLINK("http://www.lingerieopt.ru/images/original/1ed9ac7e-c735-4828-93db-7b1f9c05ae49.jpg","Фото")</f>
      </c>
    </row>
    <row r="10168">
      <c r="A10168" s="7">
        <f>HYPERLINK("http://www.lingerieopt.ru/item/10767-obtyagivayuschie-bokserj-s-nadpisyu-na-poyase/","10767")</f>
      </c>
      <c r="B10168" s="8" t="s">
        <v>9725</v>
      </c>
      <c r="C10168" s="9">
        <v>666</v>
      </c>
      <c r="D10168" s="0">
        <v>3</v>
      </c>
      <c r="E10168" s="10">
        <f>HYPERLINK("http://www.lingerieopt.ru/images/original/705d4fcf-d349-46d1-86ea-c3c84f81a060.jpg","Фото")</f>
      </c>
    </row>
    <row r="10169">
      <c r="A10169" s="7">
        <f>HYPERLINK("http://www.lingerieopt.ru/item/10767-obtyagivayuschie-bokserj-s-nadpisyu-na-poyase/","10767")</f>
      </c>
      <c r="B10169" s="8" t="s">
        <v>9726</v>
      </c>
      <c r="C10169" s="9">
        <v>666</v>
      </c>
      <c r="D10169" s="0">
        <v>3</v>
      </c>
      <c r="E10169" s="10">
        <f>HYPERLINK("http://www.lingerieopt.ru/images/original/705d4fcf-d349-46d1-86ea-c3c84f81a060.jpg","Фото")</f>
      </c>
    </row>
    <row r="10170">
      <c r="A10170" s="7">
        <f>HYPERLINK("http://www.lingerieopt.ru/item/10767-obtyagivayuschie-bokserj-s-nadpisyu-na-poyase/","10767")</f>
      </c>
      <c r="B10170" s="8" t="s">
        <v>9727</v>
      </c>
      <c r="C10170" s="9">
        <v>666</v>
      </c>
      <c r="D10170" s="0">
        <v>3</v>
      </c>
      <c r="E10170" s="10">
        <f>HYPERLINK("http://www.lingerieopt.ru/images/original/705d4fcf-d349-46d1-86ea-c3c84f81a060.jpg","Фото")</f>
      </c>
    </row>
    <row r="10171">
      <c r="A10171" s="7">
        <f>HYPERLINK("http://www.lingerieopt.ru/item/10767-obtyagivayuschie-bokserj-s-nadpisyu-na-poyase/","10767")</f>
      </c>
      <c r="B10171" s="8" t="s">
        <v>9728</v>
      </c>
      <c r="C10171" s="9">
        <v>666</v>
      </c>
      <c r="D10171" s="0">
        <v>3</v>
      </c>
      <c r="E10171" s="10">
        <f>HYPERLINK("http://www.lingerieopt.ru/images/original/705d4fcf-d349-46d1-86ea-c3c84f81a060.jpg","Фото")</f>
      </c>
    </row>
    <row r="10172">
      <c r="A10172" s="7">
        <f>HYPERLINK("http://www.lingerieopt.ru/item/10767-obtyagivayuschie-bokserj-s-nadpisyu-na-poyase/","10767")</f>
      </c>
      <c r="B10172" s="8" t="s">
        <v>9729</v>
      </c>
      <c r="C10172" s="9">
        <v>666</v>
      </c>
      <c r="D10172" s="0">
        <v>3</v>
      </c>
      <c r="E10172" s="10">
        <f>HYPERLINK("http://www.lingerieopt.ru/images/original/705d4fcf-d349-46d1-86ea-c3c84f81a060.jpg","Фото")</f>
      </c>
    </row>
    <row r="10173">
      <c r="A10173" s="7">
        <f>HYPERLINK("http://www.lingerieopt.ru/item/10768-trusj-s-nadpisyami-na-rezinke/","10768")</f>
      </c>
      <c r="B10173" s="8" t="s">
        <v>9730</v>
      </c>
      <c r="C10173" s="9">
        <v>640</v>
      </c>
      <c r="D10173" s="0">
        <v>3</v>
      </c>
      <c r="E10173" s="10">
        <f>HYPERLINK("http://www.lingerieopt.ru/images/original/a619985b-0f0c-49d1-b92c-6bdb4eaffdbb.jpg","Фото")</f>
      </c>
    </row>
    <row r="10174">
      <c r="A10174" s="7">
        <f>HYPERLINK("http://www.lingerieopt.ru/item/10768-trusj-s-nadpisyami-na-rezinke/","10768")</f>
      </c>
      <c r="B10174" s="8" t="s">
        <v>9731</v>
      </c>
      <c r="C10174" s="9">
        <v>640</v>
      </c>
      <c r="D10174" s="0">
        <v>1</v>
      </c>
      <c r="E10174" s="10">
        <f>HYPERLINK("http://www.lingerieopt.ru/images/original/a619985b-0f0c-49d1-b92c-6bdb4eaffdbb.jpg","Фото")</f>
      </c>
    </row>
    <row r="10175">
      <c r="A10175" s="7">
        <f>HYPERLINK("http://www.lingerieopt.ru/item/10768-trusj-s-nadpisyami-na-rezinke/","10768")</f>
      </c>
      <c r="B10175" s="8" t="s">
        <v>9732</v>
      </c>
      <c r="C10175" s="9">
        <v>640</v>
      </c>
      <c r="D10175" s="0">
        <v>1</v>
      </c>
      <c r="E10175" s="10">
        <f>HYPERLINK("http://www.lingerieopt.ru/images/original/a619985b-0f0c-49d1-b92c-6bdb4eaffdbb.jpg","Фото")</f>
      </c>
    </row>
    <row r="10176">
      <c r="A10176" s="7">
        <f>HYPERLINK("http://www.lingerieopt.ru/item/10768-trusj-s-nadpisyami-na-rezinke/","10768")</f>
      </c>
      <c r="B10176" s="8" t="s">
        <v>9733</v>
      </c>
      <c r="C10176" s="9">
        <v>640</v>
      </c>
      <c r="D10176" s="0">
        <v>3</v>
      </c>
      <c r="E10176" s="10">
        <f>HYPERLINK("http://www.lingerieopt.ru/images/original/a619985b-0f0c-49d1-b92c-6bdb4eaffdbb.jpg","Фото")</f>
      </c>
    </row>
    <row r="10177">
      <c r="A10177" s="7">
        <f>HYPERLINK("http://www.lingerieopt.ru/item/10768-trusj-s-nadpisyami-na-rezinke/","10768")</f>
      </c>
      <c r="B10177" s="8" t="s">
        <v>9734</v>
      </c>
      <c r="C10177" s="9">
        <v>640</v>
      </c>
      <c r="D10177" s="0">
        <v>1</v>
      </c>
      <c r="E10177" s="10">
        <f>HYPERLINK("http://www.lingerieopt.ru/images/original/a619985b-0f0c-49d1-b92c-6bdb4eaffdbb.jpg","Фото")</f>
      </c>
    </row>
    <row r="10178">
      <c r="A10178" s="7">
        <f>HYPERLINK("http://www.lingerieopt.ru/item/10771-chernje-ukorochennje-azhurnje-bokserj/","10771")</f>
      </c>
      <c r="B10178" s="8" t="s">
        <v>9735</v>
      </c>
      <c r="C10178" s="9">
        <v>766</v>
      </c>
      <c r="D10178" s="0">
        <v>0</v>
      </c>
      <c r="E10178" s="10">
        <f>HYPERLINK("http://www.lingerieopt.ru/images/original/5c0e6077-dc35-4c9c-ad3f-84275a752cde.jpg","Фото")</f>
      </c>
    </row>
    <row r="10179">
      <c r="A10179" s="7">
        <f>HYPERLINK("http://www.lingerieopt.ru/item/10771-chernje-ukorochennje-azhurnje-bokserj/","10771")</f>
      </c>
      <c r="B10179" s="8" t="s">
        <v>9736</v>
      </c>
      <c r="C10179" s="9">
        <v>766</v>
      </c>
      <c r="D10179" s="0">
        <v>0</v>
      </c>
      <c r="E10179" s="10">
        <f>HYPERLINK("http://www.lingerieopt.ru/images/original/5c0e6077-dc35-4c9c-ad3f-84275a752cde.jpg","Фото")</f>
      </c>
    </row>
    <row r="10180">
      <c r="A10180" s="7">
        <f>HYPERLINK("http://www.lingerieopt.ru/item/10771-chernje-ukorochennje-azhurnje-bokserj/","10771")</f>
      </c>
      <c r="B10180" s="8" t="s">
        <v>9737</v>
      </c>
      <c r="C10180" s="9">
        <v>766</v>
      </c>
      <c r="D10180" s="0">
        <v>1</v>
      </c>
      <c r="E10180" s="10">
        <f>HYPERLINK("http://www.lingerieopt.ru/images/original/5c0e6077-dc35-4c9c-ad3f-84275a752cde.jpg","Фото")</f>
      </c>
    </row>
    <row r="10181">
      <c r="A10181" s="7">
        <f>HYPERLINK("http://www.lingerieopt.ru/item/10771-chernje-ukorochennje-azhurnje-bokserj/","10771")</f>
      </c>
      <c r="B10181" s="8" t="s">
        <v>9738</v>
      </c>
      <c r="C10181" s="9">
        <v>766</v>
      </c>
      <c r="D10181" s="0">
        <v>0</v>
      </c>
      <c r="E10181" s="10">
        <f>HYPERLINK("http://www.lingerieopt.ru/images/original/5c0e6077-dc35-4c9c-ad3f-84275a752cde.jpg","Фото")</f>
      </c>
    </row>
    <row r="10182">
      <c r="A10182" s="7">
        <f>HYPERLINK("http://www.lingerieopt.ru/item/10783-muzhskie-trusj-stringi-s-leopardovoi-vstavkoi-speredi/","10783")</f>
      </c>
      <c r="B10182" s="8" t="s">
        <v>9739</v>
      </c>
      <c r="C10182" s="9">
        <v>310</v>
      </c>
      <c r="D10182" s="0">
        <v>2</v>
      </c>
      <c r="E10182" s="10">
        <f>HYPERLINK("http://www.lingerieopt.ru/images/original/286a6be0-598f-4938-89f5-d6639516eb41.jpg","Фото")</f>
      </c>
    </row>
    <row r="10183">
      <c r="A10183" s="7">
        <f>HYPERLINK("http://www.lingerieopt.ru/item/10783-muzhskie-trusj-stringi-s-leopardovoi-vstavkoi-speredi/","10783")</f>
      </c>
      <c r="B10183" s="8" t="s">
        <v>9740</v>
      </c>
      <c r="C10183" s="9">
        <v>310</v>
      </c>
      <c r="D10183" s="0">
        <v>0</v>
      </c>
      <c r="E10183" s="10">
        <f>HYPERLINK("http://www.lingerieopt.ru/images/original/286a6be0-598f-4938-89f5-d6639516eb41.jpg","Фото")</f>
      </c>
    </row>
    <row r="10184">
      <c r="A10184" s="7">
        <f>HYPERLINK("http://www.lingerieopt.ru/item/10801-trusj-aron-s-neskolkimi-bretelyami/","10801")</f>
      </c>
      <c r="B10184" s="8" t="s">
        <v>9741</v>
      </c>
      <c r="C10184" s="9">
        <v>636</v>
      </c>
      <c r="D10184" s="0">
        <v>3</v>
      </c>
      <c r="E10184" s="10">
        <f>HYPERLINK("http://www.lingerieopt.ru/images/original/6cd6c825-489d-4ab7-90ec-0238e45e311a.jpg","Фото")</f>
      </c>
    </row>
    <row r="10185">
      <c r="A10185" s="7">
        <f>HYPERLINK("http://www.lingerieopt.ru/item/10801-trusj-aron-s-neskolkimi-bretelyami/","10801")</f>
      </c>
      <c r="B10185" s="8" t="s">
        <v>9742</v>
      </c>
      <c r="C10185" s="9">
        <v>636</v>
      </c>
      <c r="D10185" s="0">
        <v>1</v>
      </c>
      <c r="E10185" s="10">
        <f>HYPERLINK("http://www.lingerieopt.ru/images/original/6cd6c825-489d-4ab7-90ec-0238e45e311a.jpg","Фото")</f>
      </c>
    </row>
    <row r="10186">
      <c r="A10186" s="7">
        <f>HYPERLINK("http://www.lingerieopt.ru/item/10801-trusj-aron-s-neskolkimi-bretelyami/","10801")</f>
      </c>
      <c r="B10186" s="8" t="s">
        <v>9743</v>
      </c>
      <c r="C10186" s="9">
        <v>636</v>
      </c>
      <c r="D10186" s="0">
        <v>4</v>
      </c>
      <c r="E10186" s="10">
        <f>HYPERLINK("http://www.lingerieopt.ru/images/original/6cd6c825-489d-4ab7-90ec-0238e45e311a.jpg","Фото")</f>
      </c>
    </row>
    <row r="10187">
      <c r="A10187" s="7">
        <f>HYPERLINK("http://www.lingerieopt.ru/item/10801-trusj-aron-s-neskolkimi-bretelyami/","10801")</f>
      </c>
      <c r="B10187" s="8" t="s">
        <v>9744</v>
      </c>
      <c r="C10187" s="9">
        <v>636</v>
      </c>
      <c r="D10187" s="0">
        <v>0</v>
      </c>
      <c r="E10187" s="10">
        <f>HYPERLINK("http://www.lingerieopt.ru/images/original/6cd6c825-489d-4ab7-90ec-0238e45e311a.jpg","Фото")</f>
      </c>
    </row>
    <row r="10188">
      <c r="A10188" s="7">
        <f>HYPERLINK("http://www.lingerieopt.ru/item/10801-trusj-aron-s-neskolkimi-bretelyami/","10801")</f>
      </c>
      <c r="B10188" s="8" t="s">
        <v>9745</v>
      </c>
      <c r="C10188" s="9">
        <v>636</v>
      </c>
      <c r="D10188" s="0">
        <v>0</v>
      </c>
      <c r="E10188" s="10">
        <f>HYPERLINK("http://www.lingerieopt.ru/images/original/6cd6c825-489d-4ab7-90ec-0238e45e311a.jpg","Фото")</f>
      </c>
    </row>
    <row r="10189">
      <c r="A10189" s="7">
        <f>HYPERLINK("http://www.lingerieopt.ru/item/10801-trusj-aron-s-neskolkimi-bretelyami/","10801")</f>
      </c>
      <c r="B10189" s="8" t="s">
        <v>9746</v>
      </c>
      <c r="C10189" s="9">
        <v>636</v>
      </c>
      <c r="D10189" s="0">
        <v>0</v>
      </c>
      <c r="E10189" s="10">
        <f>HYPERLINK("http://www.lingerieopt.ru/images/original/6cd6c825-489d-4ab7-90ec-0238e45e311a.jpg","Фото")</f>
      </c>
    </row>
    <row r="10190">
      <c r="A10190" s="7">
        <f>HYPERLINK("http://www.lingerieopt.ru/item/10801-trusj-aron-s-neskolkimi-bretelyami/","10801")</f>
      </c>
      <c r="B10190" s="8" t="s">
        <v>9747</v>
      </c>
      <c r="C10190" s="9">
        <v>636</v>
      </c>
      <c r="D10190" s="0">
        <v>1</v>
      </c>
      <c r="E10190" s="10">
        <f>HYPERLINK("http://www.lingerieopt.ru/images/original/6cd6c825-489d-4ab7-90ec-0238e45e311a.jpg","Фото")</f>
      </c>
    </row>
    <row r="10191">
      <c r="A10191" s="7">
        <f>HYPERLINK("http://www.lingerieopt.ru/item/10801-trusj-aron-s-neskolkimi-bretelyami/","10801")</f>
      </c>
      <c r="B10191" s="8" t="s">
        <v>9748</v>
      </c>
      <c r="C10191" s="9">
        <v>636</v>
      </c>
      <c r="D10191" s="0">
        <v>2</v>
      </c>
      <c r="E10191" s="10">
        <f>HYPERLINK("http://www.lingerieopt.ru/images/original/6cd6c825-489d-4ab7-90ec-0238e45e311a.jpg","Фото")</f>
      </c>
    </row>
    <row r="10192">
      <c r="A10192" s="7">
        <f>HYPERLINK("http://www.lingerieopt.ru/item/10801-trusj-aron-s-neskolkimi-bretelyami/","10801")</f>
      </c>
      <c r="B10192" s="8" t="s">
        <v>9749</v>
      </c>
      <c r="C10192" s="9">
        <v>636</v>
      </c>
      <c r="D10192" s="0">
        <v>0</v>
      </c>
      <c r="E10192" s="10">
        <f>HYPERLINK("http://www.lingerieopt.ru/images/original/6cd6c825-489d-4ab7-90ec-0238e45e311a.jpg","Фото")</f>
      </c>
    </row>
    <row r="10193">
      <c r="A10193" s="7">
        <f>HYPERLINK("http://www.lingerieopt.ru/item/10802-muzhskie-trusj-shortj-s-cepyami-po-bokam-doro/","10802")</f>
      </c>
      <c r="B10193" s="8" t="s">
        <v>9750</v>
      </c>
      <c r="C10193" s="9">
        <v>1346</v>
      </c>
      <c r="D10193" s="0">
        <v>2</v>
      </c>
      <c r="E10193" s="10">
        <f>HYPERLINK("http://www.lingerieopt.ru/images/original/401a5693-cd2f-4848-ac53-701249365ca9.jpg","Фото")</f>
      </c>
    </row>
    <row r="10194">
      <c r="A10194" s="7">
        <f>HYPERLINK("http://www.lingerieopt.ru/item/10802-muzhskie-trusj-shortj-s-cepyami-po-bokam-doro/","10802")</f>
      </c>
      <c r="B10194" s="8" t="s">
        <v>9751</v>
      </c>
      <c r="C10194" s="9">
        <v>1346</v>
      </c>
      <c r="D10194" s="0">
        <v>2</v>
      </c>
      <c r="E10194" s="10">
        <f>HYPERLINK("http://www.lingerieopt.ru/images/original/401a5693-cd2f-4848-ac53-701249365ca9.jpg","Фото")</f>
      </c>
    </row>
    <row r="10195">
      <c r="A10195" s="7">
        <f>HYPERLINK("http://www.lingerieopt.ru/item/10802-muzhskie-trusj-shortj-s-cepyami-po-bokam-doro/","10802")</f>
      </c>
      <c r="B10195" s="8" t="s">
        <v>9752</v>
      </c>
      <c r="C10195" s="9">
        <v>1346</v>
      </c>
      <c r="D10195" s="0">
        <v>2</v>
      </c>
      <c r="E10195" s="10">
        <f>HYPERLINK("http://www.lingerieopt.ru/images/original/401a5693-cd2f-4848-ac53-701249365ca9.jpg","Фото")</f>
      </c>
    </row>
    <row r="10196">
      <c r="A10196" s="3"/>
      <c r="B10196" s="4" t="s">
        <v>9753</v>
      </c>
      <c r="C10196" s="3"/>
      <c r="D10196" s="3"/>
      <c r="E10196" s="3"/>
    </row>
    <row r="10197">
      <c r="A10197" s="5"/>
      <c r="B10197" s="6" t="s">
        <v>9754</v>
      </c>
      <c r="C10197" s="5"/>
      <c r="D10197" s="5"/>
      <c r="E10197" s="5"/>
    </row>
    <row r="10198">
      <c r="A10198" s="7">
        <f>HYPERLINK("http://www.lingerieopt.ru/item/1312-cherno-rozovje-tufli-magnolia/","1312")</f>
      </c>
      <c r="B10198" s="8" t="s">
        <v>9755</v>
      </c>
      <c r="C10198" s="9">
        <v>2124</v>
      </c>
      <c r="D10198" s="0">
        <v>6</v>
      </c>
      <c r="E10198" s="10">
        <f>HYPERLINK("http://www.lingerieopt.ru/images/original/e744175f-673f-44a2-98dd-3e73ef40fcb1.jpg","Фото")</f>
      </c>
    </row>
    <row r="10199">
      <c r="A10199" s="7">
        <f>HYPERLINK("http://www.lingerieopt.ru/item/1312-cherno-rozovje-tufli-magnolia/","1312")</f>
      </c>
      <c r="B10199" s="8" t="s">
        <v>9756</v>
      </c>
      <c r="C10199" s="9">
        <v>2124</v>
      </c>
      <c r="D10199" s="0">
        <v>3</v>
      </c>
      <c r="E10199" s="10">
        <f>HYPERLINK("http://www.lingerieopt.ru/images/original/e744175f-673f-44a2-98dd-3e73ef40fcb1.jpg","Фото")</f>
      </c>
    </row>
    <row r="10200">
      <c r="A10200" s="7">
        <f>HYPERLINK("http://www.lingerieopt.ru/item/1312-cherno-rozovje-tufli-magnolia/","1312")</f>
      </c>
      <c r="B10200" s="8" t="s">
        <v>9757</v>
      </c>
      <c r="C10200" s="9">
        <v>2124</v>
      </c>
      <c r="D10200" s="0">
        <v>7</v>
      </c>
      <c r="E10200" s="10">
        <f>HYPERLINK("http://www.lingerieopt.ru/images/original/e744175f-673f-44a2-98dd-3e73ef40fcb1.jpg","Фото")</f>
      </c>
    </row>
    <row r="10201">
      <c r="A10201" s="7">
        <f>HYPERLINK("http://www.lingerieopt.ru/item/1312-cherno-rozovje-tufli-magnolia/","1312")</f>
      </c>
      <c r="B10201" s="8" t="s">
        <v>9758</v>
      </c>
      <c r="C10201" s="9">
        <v>2124</v>
      </c>
      <c r="D10201" s="0">
        <v>30</v>
      </c>
      <c r="E10201" s="10">
        <f>HYPERLINK("http://www.lingerieopt.ru/images/original/e744175f-673f-44a2-98dd-3e73ef40fcb1.jpg","Фото")</f>
      </c>
    </row>
    <row r="10202">
      <c r="A10202" s="7">
        <f>HYPERLINK("http://www.lingerieopt.ru/item/1312-cherno-rozovje-tufli-magnolia/","1312")</f>
      </c>
      <c r="B10202" s="8" t="s">
        <v>9759</v>
      </c>
      <c r="C10202" s="9">
        <v>2124</v>
      </c>
      <c r="D10202" s="0">
        <v>31</v>
      </c>
      <c r="E10202" s="10">
        <f>HYPERLINK("http://www.lingerieopt.ru/images/original/e744175f-673f-44a2-98dd-3e73ef40fcb1.jpg","Фото")</f>
      </c>
    </row>
    <row r="10203">
      <c r="A10203" s="7">
        <f>HYPERLINK("http://www.lingerieopt.ru/item/1312-cherno-rozovje-tufli-magnolia/","1312")</f>
      </c>
      <c r="B10203" s="8" t="s">
        <v>9760</v>
      </c>
      <c r="C10203" s="9">
        <v>2124</v>
      </c>
      <c r="D10203" s="0">
        <v>0</v>
      </c>
      <c r="E10203" s="10">
        <f>HYPERLINK("http://www.lingerieopt.ru/images/original/e744175f-673f-44a2-98dd-3e73ef40fcb1.jpg","Фото")</f>
      </c>
    </row>
    <row r="10204">
      <c r="A10204" s="7">
        <f>HYPERLINK("http://www.lingerieopt.ru/item/2006-sabo-s-blestkami-raspberry/","2006")</f>
      </c>
      <c r="B10204" s="8" t="s">
        <v>9761</v>
      </c>
      <c r="C10204" s="9">
        <v>2324</v>
      </c>
      <c r="D10204" s="0">
        <v>0</v>
      </c>
      <c r="E10204" s="10">
        <f>HYPERLINK("http://www.lingerieopt.ru/images/original/dfe4c492-4083-4acb-ae46-9d6dd8f32c6b.jpg","Фото")</f>
      </c>
    </row>
    <row r="10205">
      <c r="A10205" s="7">
        <f>HYPERLINK("http://www.lingerieopt.ru/item/2006-sabo-s-blestkami-raspberry/","2006")</f>
      </c>
      <c r="B10205" s="8" t="s">
        <v>9762</v>
      </c>
      <c r="C10205" s="9">
        <v>2324</v>
      </c>
      <c r="D10205" s="0">
        <v>0</v>
      </c>
      <c r="E10205" s="10">
        <f>HYPERLINK("http://www.lingerieopt.ru/images/original/dfe4c492-4083-4acb-ae46-9d6dd8f32c6b.jpg","Фото")</f>
      </c>
    </row>
    <row r="10206">
      <c r="A10206" s="7">
        <f>HYPERLINK("http://www.lingerieopt.ru/item/2006-sabo-s-blestkami-raspberry/","2006")</f>
      </c>
      <c r="B10206" s="8" t="s">
        <v>9763</v>
      </c>
      <c r="C10206" s="9">
        <v>2324</v>
      </c>
      <c r="D10206" s="0">
        <v>1</v>
      </c>
      <c r="E10206" s="10">
        <f>HYPERLINK("http://www.lingerieopt.ru/images/original/dfe4c492-4083-4acb-ae46-9d6dd8f32c6b.jpg","Фото")</f>
      </c>
    </row>
    <row r="10207">
      <c r="A10207" s="7">
        <f>HYPERLINK("http://www.lingerieopt.ru/item/2006-sabo-s-blestkami-raspberry/","2006")</f>
      </c>
      <c r="B10207" s="8" t="s">
        <v>9764</v>
      </c>
      <c r="C10207" s="9">
        <v>2324</v>
      </c>
      <c r="D10207" s="0">
        <v>0</v>
      </c>
      <c r="E10207" s="10">
        <f>HYPERLINK("http://www.lingerieopt.ru/images/original/dfe4c492-4083-4acb-ae46-9d6dd8f32c6b.jpg","Фото")</f>
      </c>
    </row>
    <row r="10208">
      <c r="A10208" s="7">
        <f>HYPERLINK("http://www.lingerieopt.ru/item/2006-sabo-s-blestkami-raspberry/","2006")</f>
      </c>
      <c r="B10208" s="8" t="s">
        <v>9765</v>
      </c>
      <c r="C10208" s="9">
        <v>2324</v>
      </c>
      <c r="D10208" s="0">
        <v>0</v>
      </c>
      <c r="E10208" s="10">
        <f>HYPERLINK("http://www.lingerieopt.ru/images/original/dfe4c492-4083-4acb-ae46-9d6dd8f32c6b.jpg","Фото")</f>
      </c>
    </row>
    <row r="10209">
      <c r="A10209" s="7">
        <f>HYPERLINK("http://www.lingerieopt.ru/item/2073-zolotje-lakovje-bosonozhki-so-strazami/","2073")</f>
      </c>
      <c r="B10209" s="8" t="s">
        <v>9766</v>
      </c>
      <c r="C10209" s="9">
        <v>4086</v>
      </c>
      <c r="D10209" s="0">
        <v>1</v>
      </c>
      <c r="E10209" s="10">
        <f>HYPERLINK("http://www.lingerieopt.ru/images/original/2fcb7997-8fc5-4635-8c50-6e322649f255.jpg","Фото")</f>
      </c>
    </row>
    <row r="10210">
      <c r="A10210" s="7">
        <f>HYPERLINK("http://www.lingerieopt.ru/item/2073-zolotje-lakovje-bosonozhki-so-strazami/","2073")</f>
      </c>
      <c r="B10210" s="8" t="s">
        <v>9767</v>
      </c>
      <c r="C10210" s="9">
        <v>4086</v>
      </c>
      <c r="D10210" s="0">
        <v>0</v>
      </c>
      <c r="E10210" s="10">
        <f>HYPERLINK("http://www.lingerieopt.ru/images/original/2fcb7997-8fc5-4635-8c50-6e322649f255.jpg","Фото")</f>
      </c>
    </row>
    <row r="10211">
      <c r="A10211" s="7">
        <f>HYPERLINK("http://www.lingerieopt.ru/item/2073-zolotje-lakovje-bosonozhki-so-strazami/","2073")</f>
      </c>
      <c r="B10211" s="8" t="s">
        <v>9768</v>
      </c>
      <c r="C10211" s="9">
        <v>4086</v>
      </c>
      <c r="D10211" s="0">
        <v>0</v>
      </c>
      <c r="E10211" s="10">
        <f>HYPERLINK("http://www.lingerieopt.ru/images/original/2fcb7997-8fc5-4635-8c50-6e322649f255.jpg","Фото")</f>
      </c>
    </row>
    <row r="10212">
      <c r="A10212" s="7">
        <f>HYPERLINK("http://www.lingerieopt.ru/item/2073-zolotje-lakovje-bosonozhki-so-strazami/","2073")</f>
      </c>
      <c r="B10212" s="8" t="s">
        <v>9769</v>
      </c>
      <c r="C10212" s="9">
        <v>4086</v>
      </c>
      <c r="D10212" s="0">
        <v>0</v>
      </c>
      <c r="E10212" s="10">
        <f>HYPERLINK("http://www.lingerieopt.ru/images/original/2fcb7997-8fc5-4635-8c50-6e322649f255.jpg","Фото")</f>
      </c>
    </row>
    <row r="10213">
      <c r="A10213" s="7">
        <f>HYPERLINK("http://www.lingerieopt.ru/item/2073-zolotje-lakovje-bosonozhki-so-strazami/","2073")</f>
      </c>
      <c r="B10213" s="8" t="s">
        <v>9770</v>
      </c>
      <c r="C10213" s="9">
        <v>4086</v>
      </c>
      <c r="D10213" s="0">
        <v>0</v>
      </c>
      <c r="E10213" s="10">
        <f>HYPERLINK("http://www.lingerieopt.ru/images/original/2fcb7997-8fc5-4635-8c50-6e322649f255.jpg","Фото")</f>
      </c>
    </row>
    <row r="10214">
      <c r="A10214" s="5"/>
      <c r="B10214" s="6" t="s">
        <v>9771</v>
      </c>
      <c r="C10214" s="5"/>
      <c r="D10214" s="5"/>
      <c r="E10214" s="5"/>
    </row>
    <row r="10215">
      <c r="A10215" s="7">
        <f>HYPERLINK("http://www.lingerieopt.ru/item/1313-vjsokie-sapogi-na-ustoichivom-kabluke-i-shnurovke/","1313")</f>
      </c>
      <c r="B10215" s="8" t="s">
        <v>9772</v>
      </c>
      <c r="C10215" s="9">
        <v>3616</v>
      </c>
      <c r="D10215" s="0">
        <v>1</v>
      </c>
      <c r="E10215" s="10">
        <f>HYPERLINK("http://www.lingerieopt.ru/images/original/5fb806ba-0469-4230-85b3-917f97e66eed.jpg","Фото")</f>
      </c>
    </row>
    <row r="10216">
      <c r="A10216" s="7">
        <f>HYPERLINK("http://www.lingerieopt.ru/item/1313-vjsokie-sapogi-na-ustoichivom-kabluke-i-shnurovke/","1313")</f>
      </c>
      <c r="B10216" s="8" t="s">
        <v>9773</v>
      </c>
      <c r="C10216" s="9">
        <v>3616</v>
      </c>
      <c r="D10216" s="0">
        <v>3</v>
      </c>
      <c r="E10216" s="10">
        <f>HYPERLINK("http://www.lingerieopt.ru/images/original/5fb806ba-0469-4230-85b3-917f97e66eed.jpg","Фото")</f>
      </c>
    </row>
    <row r="10217">
      <c r="A10217" s="7">
        <f>HYPERLINK("http://www.lingerieopt.ru/item/1313-vjsokie-sapogi-na-ustoichivom-kabluke-i-shnurovke/","1313")</f>
      </c>
      <c r="B10217" s="8" t="s">
        <v>9774</v>
      </c>
      <c r="C10217" s="9">
        <v>3616</v>
      </c>
      <c r="D10217" s="0">
        <v>0</v>
      </c>
      <c r="E10217" s="10">
        <f>HYPERLINK("http://www.lingerieopt.ru/images/original/5fb806ba-0469-4230-85b3-917f97e66eed.jpg","Фото")</f>
      </c>
    </row>
    <row r="10218">
      <c r="A10218" s="7">
        <f>HYPERLINK("http://www.lingerieopt.ru/item/1313-vjsokie-sapogi-na-ustoichivom-kabluke-i-shnurovke/","1313")</f>
      </c>
      <c r="B10218" s="8" t="s">
        <v>9775</v>
      </c>
      <c r="C10218" s="9">
        <v>3616</v>
      </c>
      <c r="D10218" s="0">
        <v>0</v>
      </c>
      <c r="E10218" s="10">
        <f>HYPERLINK("http://www.lingerieopt.ru/images/original/5fb806ba-0469-4230-85b3-917f97e66eed.jpg","Фото")</f>
      </c>
    </row>
    <row r="10219">
      <c r="A10219" s="7">
        <f>HYPERLINK("http://www.lingerieopt.ru/item/1313-vjsokie-sapogi-na-ustoichivom-kabluke-i-shnurovke/","1313")</f>
      </c>
      <c r="B10219" s="8" t="s">
        <v>9776</v>
      </c>
      <c r="C10219" s="9">
        <v>3616</v>
      </c>
      <c r="D10219" s="0">
        <v>0</v>
      </c>
      <c r="E10219" s="10">
        <f>HYPERLINK("http://www.lingerieopt.ru/images/original/5fb806ba-0469-4230-85b3-917f97e66eed.jpg","Фото")</f>
      </c>
    </row>
    <row r="10220">
      <c r="A10220" s="7">
        <f>HYPERLINK("http://www.lingerieopt.ru/item/1313-vjsokie-sapogi-na-ustoichivom-kabluke-i-shnurovke/","1313")</f>
      </c>
      <c r="B10220" s="8" t="s">
        <v>9777</v>
      </c>
      <c r="C10220" s="9">
        <v>3616</v>
      </c>
      <c r="D10220" s="0">
        <v>0</v>
      </c>
      <c r="E10220" s="10">
        <f>HYPERLINK("http://www.lingerieopt.ru/images/original/5fb806ba-0469-4230-85b3-917f97e66eed.jpg","Фото")</f>
      </c>
    </row>
    <row r="10221">
      <c r="A10221" s="7">
        <f>HYPERLINK("http://www.lingerieopt.ru/item/1313-vjsokie-sapogi-na-ustoichivom-kabluke-i-shnurovke/","1313")</f>
      </c>
      <c r="B10221" s="8" t="s">
        <v>9778</v>
      </c>
      <c r="C10221" s="9">
        <v>3616</v>
      </c>
      <c r="D10221" s="0">
        <v>6</v>
      </c>
      <c r="E10221" s="10">
        <f>HYPERLINK("http://www.lingerieopt.ru/images/original/5fb806ba-0469-4230-85b3-917f97e66eed.jpg","Фото")</f>
      </c>
    </row>
    <row r="10222">
      <c r="A10222" s="7">
        <f>HYPERLINK("http://www.lingerieopt.ru/item/1313-vjsokie-sapogi-na-ustoichivom-kabluke-i-shnurovke/","1313")</f>
      </c>
      <c r="B10222" s="8" t="s">
        <v>9779</v>
      </c>
      <c r="C10222" s="9">
        <v>3616</v>
      </c>
      <c r="D10222" s="0">
        <v>0</v>
      </c>
      <c r="E10222" s="10">
        <f>HYPERLINK("http://www.lingerieopt.ru/images/original/5fb806ba-0469-4230-85b3-917f97e66eed.jpg","Фото")</f>
      </c>
    </row>
    <row r="10223">
      <c r="A10223" s="7">
        <f>HYPERLINK("http://www.lingerieopt.ru/item/1313-vjsokie-sapogi-na-ustoichivom-kabluke-i-shnurovke/","1313")</f>
      </c>
      <c r="B10223" s="8" t="s">
        <v>9780</v>
      </c>
      <c r="C10223" s="9">
        <v>3616</v>
      </c>
      <c r="D10223" s="0">
        <v>0</v>
      </c>
      <c r="E10223" s="10">
        <f>HYPERLINK("http://www.lingerieopt.ru/images/original/5fb806ba-0469-4230-85b3-917f97e66eed.jpg","Фото")</f>
      </c>
    </row>
    <row r="10224">
      <c r="A10224" s="7">
        <f>HYPERLINK("http://www.lingerieopt.ru/item/1313-vjsokie-sapogi-na-ustoichivom-kabluke-i-shnurovke/","1313")</f>
      </c>
      <c r="B10224" s="8" t="s">
        <v>9781</v>
      </c>
      <c r="C10224" s="9">
        <v>3616</v>
      </c>
      <c r="D10224" s="0">
        <v>0</v>
      </c>
      <c r="E10224" s="10">
        <f>HYPERLINK("http://www.lingerieopt.ru/images/original/5fb806ba-0469-4230-85b3-917f97e66eed.jpg","Фото")</f>
      </c>
    </row>
    <row r="10225">
      <c r="A10225" s="7">
        <f>HYPERLINK("http://www.lingerieopt.ru/item/1313-vjsokie-sapogi-na-ustoichivom-kabluke-i-shnurovke/","1313")</f>
      </c>
      <c r="B10225" s="8" t="s">
        <v>9782</v>
      </c>
      <c r="C10225" s="9">
        <v>3616</v>
      </c>
      <c r="D10225" s="0">
        <v>0</v>
      </c>
      <c r="E10225" s="10">
        <f>HYPERLINK("http://www.lingerieopt.ru/images/original/5fb806ba-0469-4230-85b3-917f97e66eed.jpg","Фото")</f>
      </c>
    </row>
    <row r="10226">
      <c r="A10226" s="7">
        <f>HYPERLINK("http://www.lingerieopt.ru/item/2014-sapogi-so-shnurovkoi-s-krasnjmi-yazjkami-plameni/","2014")</f>
      </c>
      <c r="B10226" s="8" t="s">
        <v>9783</v>
      </c>
      <c r="C10226" s="9">
        <v>3443</v>
      </c>
      <c r="D10226" s="0">
        <v>4</v>
      </c>
      <c r="E10226" s="10">
        <f>HYPERLINK("http://www.lingerieopt.ru/images/original/a4f8e774-19fe-4060-b477-ea3064206f1e.jpg","Фото")</f>
      </c>
    </row>
    <row r="10227">
      <c r="A10227" s="7">
        <f>HYPERLINK("http://www.lingerieopt.ru/item/2014-sapogi-so-shnurovkoi-s-krasnjmi-yazjkami-plameni/","2014")</f>
      </c>
      <c r="B10227" s="8" t="s">
        <v>9784</v>
      </c>
      <c r="C10227" s="9">
        <v>3443</v>
      </c>
      <c r="D10227" s="0">
        <v>0</v>
      </c>
      <c r="E10227" s="10">
        <f>HYPERLINK("http://www.lingerieopt.ru/images/original/a4f8e774-19fe-4060-b477-ea3064206f1e.jpg","Фото")</f>
      </c>
    </row>
    <row r="10228">
      <c r="A10228" s="7">
        <f>HYPERLINK("http://www.lingerieopt.ru/item/2014-sapogi-so-shnurovkoi-s-krasnjmi-yazjkami-plameni/","2014")</f>
      </c>
      <c r="B10228" s="8" t="s">
        <v>9785</v>
      </c>
      <c r="C10228" s="9">
        <v>3443</v>
      </c>
      <c r="D10228" s="0">
        <v>6</v>
      </c>
      <c r="E10228" s="10">
        <f>HYPERLINK("http://www.lingerieopt.ru/images/original/a4f8e774-19fe-4060-b477-ea3064206f1e.jpg","Фото")</f>
      </c>
    </row>
    <row r="10229">
      <c r="A10229" s="7">
        <f>HYPERLINK("http://www.lingerieopt.ru/item/2014-sapogi-so-shnurovkoi-s-krasnjmi-yazjkami-plameni/","2014")</f>
      </c>
      <c r="B10229" s="8" t="s">
        <v>9786</v>
      </c>
      <c r="C10229" s="9">
        <v>3443</v>
      </c>
      <c r="D10229" s="0">
        <v>3</v>
      </c>
      <c r="E10229" s="10">
        <f>HYPERLINK("http://www.lingerieopt.ru/images/original/a4f8e774-19fe-4060-b477-ea3064206f1e.jpg","Фото")</f>
      </c>
    </row>
    <row r="10230">
      <c r="A10230" s="7">
        <f>HYPERLINK("http://www.lingerieopt.ru/item/2014-sapogi-so-shnurovkoi-s-krasnjmi-yazjkami-plameni/","2014")</f>
      </c>
      <c r="B10230" s="8" t="s">
        <v>9787</v>
      </c>
      <c r="C10230" s="9">
        <v>3443</v>
      </c>
      <c r="D10230" s="0">
        <v>6</v>
      </c>
      <c r="E10230" s="10">
        <f>HYPERLINK("http://www.lingerieopt.ru/images/original/a4f8e774-19fe-4060-b477-ea3064206f1e.jpg","Фото")</f>
      </c>
    </row>
    <row r="10231">
      <c r="A10231" s="7">
        <f>HYPERLINK("http://www.lingerieopt.ru/item/2014-sapogi-so-shnurovkoi-s-krasnjmi-yazjkami-plameni/","2014")</f>
      </c>
      <c r="B10231" s="8" t="s">
        <v>9788</v>
      </c>
      <c r="C10231" s="9">
        <v>3443</v>
      </c>
      <c r="D10231" s="0">
        <v>1</v>
      </c>
      <c r="E10231" s="10">
        <f>HYPERLINK("http://www.lingerieopt.ru/images/original/a4f8e774-19fe-4060-b477-ea3064206f1e.jpg","Фото")</f>
      </c>
    </row>
    <row r="10232">
      <c r="A10232" s="7">
        <f>HYPERLINK("http://www.lingerieopt.ru/item/2014-sapogi-so-shnurovkoi-s-krasnjmi-yazjkami-plameni/","2014")</f>
      </c>
      <c r="B10232" s="8" t="s">
        <v>9789</v>
      </c>
      <c r="C10232" s="9">
        <v>3443</v>
      </c>
      <c r="D10232" s="0">
        <v>0</v>
      </c>
      <c r="E10232" s="10">
        <f>HYPERLINK("http://www.lingerieopt.ru/images/original/a4f8e774-19fe-4060-b477-ea3064206f1e.jpg","Фото")</f>
      </c>
    </row>
    <row r="10233">
      <c r="A10233" s="7">
        <f>HYPERLINK("http://www.lingerieopt.ru/item/2014-sapogi-so-shnurovkoi-s-krasnjmi-yazjkami-plameni/","2014")</f>
      </c>
      <c r="B10233" s="8" t="s">
        <v>9790</v>
      </c>
      <c r="C10233" s="9">
        <v>3443</v>
      </c>
      <c r="D10233" s="0">
        <v>0</v>
      </c>
      <c r="E10233" s="10">
        <f>HYPERLINK("http://www.lingerieopt.ru/images/original/a4f8e774-19fe-4060-b477-ea3064206f1e.jpg","Фото")</f>
      </c>
    </row>
    <row r="10234">
      <c r="A10234" s="7">
        <f>HYPERLINK("http://www.lingerieopt.ru/item/2014-sapogi-so-shnurovkoi-s-krasnjmi-yazjkami-plameni/","2014")</f>
      </c>
      <c r="B10234" s="8" t="s">
        <v>9791</v>
      </c>
      <c r="C10234" s="9">
        <v>3443</v>
      </c>
      <c r="D10234" s="0">
        <v>0</v>
      </c>
      <c r="E10234" s="10">
        <f>HYPERLINK("http://www.lingerieopt.ru/images/original/a4f8e774-19fe-4060-b477-ea3064206f1e.jpg","Фото")</f>
      </c>
    </row>
    <row r="10235">
      <c r="A10235" s="7">
        <f>HYPERLINK("http://www.lingerieopt.ru/item/2014-sapogi-so-shnurovkoi-s-krasnjmi-yazjkami-plameni/","2014")</f>
      </c>
      <c r="B10235" s="8" t="s">
        <v>9792</v>
      </c>
      <c r="C10235" s="9">
        <v>3443</v>
      </c>
      <c r="D10235" s="0">
        <v>0</v>
      </c>
      <c r="E10235" s="10">
        <f>HYPERLINK("http://www.lingerieopt.ru/images/original/a4f8e774-19fe-4060-b477-ea3064206f1e.jpg","Фото")</f>
      </c>
    </row>
    <row r="10236">
      <c r="A10236" s="7">
        <f>HYPERLINK("http://www.lingerieopt.ru/item/2014-sapogi-so-shnurovkoi-s-krasnjmi-yazjkami-plameni/","2014")</f>
      </c>
      <c r="B10236" s="8" t="s">
        <v>9793</v>
      </c>
      <c r="C10236" s="9">
        <v>3443</v>
      </c>
      <c r="D10236" s="0">
        <v>1</v>
      </c>
      <c r="E10236" s="10">
        <f>HYPERLINK("http://www.lingerieopt.ru/images/original/a4f8e774-19fe-4060-b477-ea3064206f1e.jpg","Фото")</f>
      </c>
    </row>
    <row r="10237">
      <c r="A10237" s="7">
        <f>HYPERLINK("http://www.lingerieopt.ru/item/2014-sapogi-so-shnurovkoi-s-krasnjmi-yazjkami-plameni/","2014")</f>
      </c>
      <c r="B10237" s="8" t="s">
        <v>9794</v>
      </c>
      <c r="C10237" s="9">
        <v>3443</v>
      </c>
      <c r="D10237" s="0">
        <v>1</v>
      </c>
      <c r="E10237" s="10">
        <f>HYPERLINK("http://www.lingerieopt.ru/images/original/a4f8e774-19fe-4060-b477-ea3064206f1e.jpg","Фото")</f>
      </c>
    </row>
    <row r="10238">
      <c r="A10238" s="3"/>
      <c r="B10238" s="4" t="s">
        <v>9795</v>
      </c>
      <c r="C10238" s="3"/>
      <c r="D10238" s="3"/>
      <c r="E10238" s="3"/>
    </row>
    <row r="10239">
      <c r="A10239" s="5"/>
      <c r="B10239" s="6" t="s">
        <v>9796</v>
      </c>
      <c r="C10239" s="5"/>
      <c r="D10239" s="5"/>
      <c r="E10239" s="5"/>
    </row>
    <row r="10240">
      <c r="A10240" s="7">
        <f>HYPERLINK("http://www.lingerieopt.ru/item/142-komplekt-oficiantki-paola/","142")</f>
      </c>
      <c r="B10240" s="8" t="s">
        <v>9797</v>
      </c>
      <c r="C10240" s="9">
        <v>1839</v>
      </c>
      <c r="D10240" s="0">
        <v>5</v>
      </c>
      <c r="E10240" s="10">
        <f>HYPERLINK("http://www.lingerieopt.ru/images/original/2f138af8-6d40-46cf-9994-69dc0142fc6b.jpg","Фото")</f>
      </c>
    </row>
    <row r="10241">
      <c r="A10241" s="7">
        <f>HYPERLINK("http://www.lingerieopt.ru/item/142-komplekt-oficiantki-paola/","142")</f>
      </c>
      <c r="B10241" s="8" t="s">
        <v>9798</v>
      </c>
      <c r="C10241" s="9">
        <v>1839</v>
      </c>
      <c r="D10241" s="0">
        <v>2</v>
      </c>
      <c r="E10241" s="10">
        <f>HYPERLINK("http://www.lingerieopt.ru/images/original/2f138af8-6d40-46cf-9994-69dc0142fc6b.jpg","Фото")</f>
      </c>
    </row>
    <row r="10242">
      <c r="A10242" s="7">
        <f>HYPERLINK("http://www.lingerieopt.ru/item/142-komplekt-oficiantki-paola/","142")</f>
      </c>
      <c r="B10242" s="8" t="s">
        <v>9799</v>
      </c>
      <c r="C10242" s="9">
        <v>1839</v>
      </c>
      <c r="D10242" s="0">
        <v>17</v>
      </c>
      <c r="E10242" s="10">
        <f>HYPERLINK("http://www.lingerieopt.ru/images/original/2f138af8-6d40-46cf-9994-69dc0142fc6b.jpg","Фото")</f>
      </c>
    </row>
    <row r="10243">
      <c r="A10243" s="7">
        <f>HYPERLINK("http://www.lingerieopt.ru/item/147-igrovoe-bodi-nikol/","147")</f>
      </c>
      <c r="B10243" s="8" t="s">
        <v>21</v>
      </c>
      <c r="C10243" s="9">
        <v>1619</v>
      </c>
      <c r="D10243" s="0">
        <v>0</v>
      </c>
      <c r="E10243" s="10">
        <f>HYPERLINK("http://www.lingerieopt.ru/images/original/0d0ef14c-b77b-455c-bef2-98cc8f3fecbb.jpg","Фото")</f>
      </c>
    </row>
    <row r="10244">
      <c r="A10244" s="7">
        <f>HYPERLINK("http://www.lingerieopt.ru/item/147-igrovoe-bodi-nikol/","147")</f>
      </c>
      <c r="B10244" s="8" t="s">
        <v>20</v>
      </c>
      <c r="C10244" s="9">
        <v>1619</v>
      </c>
      <c r="D10244" s="0">
        <v>9</v>
      </c>
      <c r="E10244" s="10">
        <f>HYPERLINK("http://www.lingerieopt.ru/images/original/0d0ef14c-b77b-455c-bef2-98cc8f3fecbb.jpg","Фото")</f>
      </c>
    </row>
    <row r="10245">
      <c r="A10245" s="7">
        <f>HYPERLINK("http://www.lingerieopt.ru/item/147-igrovoe-bodi-nikol/","147")</f>
      </c>
      <c r="B10245" s="8" t="s">
        <v>22</v>
      </c>
      <c r="C10245" s="9">
        <v>1619</v>
      </c>
      <c r="D10245" s="0">
        <v>11</v>
      </c>
      <c r="E10245" s="10">
        <f>HYPERLINK("http://www.lingerieopt.ru/images/original/0d0ef14c-b77b-455c-bef2-98cc8f3fecbb.jpg","Фото")</f>
      </c>
    </row>
    <row r="10246">
      <c r="A10246" s="7">
        <f>HYPERLINK("http://www.lingerieopt.ru/item/751-kostyum-sluzhanki/","751")</f>
      </c>
      <c r="B10246" s="8" t="s">
        <v>9800</v>
      </c>
      <c r="C10246" s="9">
        <v>1652</v>
      </c>
      <c r="D10246" s="0">
        <v>4</v>
      </c>
      <c r="E10246" s="10">
        <f>HYPERLINK("http://www.lingerieopt.ru/images/original/235ba594-3838-4231-92f5-8d8d8966f950.jpg","Фото")</f>
      </c>
    </row>
    <row r="10247">
      <c r="A10247" s="7">
        <f>HYPERLINK("http://www.lingerieopt.ru/item/751-kostyum-sluzhanki/","751")</f>
      </c>
      <c r="B10247" s="8" t="s">
        <v>9801</v>
      </c>
      <c r="C10247" s="9">
        <v>1652</v>
      </c>
      <c r="D10247" s="0">
        <v>0</v>
      </c>
      <c r="E10247" s="10">
        <f>HYPERLINK("http://www.lingerieopt.ru/images/original/235ba594-3838-4231-92f5-8d8d8966f950.jpg","Фото")</f>
      </c>
    </row>
    <row r="10248">
      <c r="A10248" s="7">
        <f>HYPERLINK("http://www.lingerieopt.ru/item/767-kostyum-domrabotnicj/","767")</f>
      </c>
      <c r="B10248" s="8" t="s">
        <v>9802</v>
      </c>
      <c r="C10248" s="9">
        <v>1652</v>
      </c>
      <c r="D10248" s="0">
        <v>20</v>
      </c>
      <c r="E10248" s="10">
        <f>HYPERLINK("http://www.lingerieopt.ru/images/original/e2c81ec2-e842-4116-b76f-55365b133321.jpg","Фото")</f>
      </c>
    </row>
    <row r="10249">
      <c r="A10249" s="7">
        <f>HYPERLINK("http://www.lingerieopt.ru/item/767-kostyum-domrabotnicj/","767")</f>
      </c>
      <c r="B10249" s="8" t="s">
        <v>9803</v>
      </c>
      <c r="C10249" s="9">
        <v>1652</v>
      </c>
      <c r="D10249" s="0">
        <v>0</v>
      </c>
      <c r="E10249" s="10">
        <f>HYPERLINK("http://www.lingerieopt.ru/images/original/e2c81ec2-e842-4116-b76f-55365b133321.jpg","Фото")</f>
      </c>
    </row>
    <row r="10250">
      <c r="A10250" s="7">
        <f>HYPERLINK("http://www.lingerieopt.ru/item/767-kostyum-domrabotnicj/","767")</f>
      </c>
      <c r="B10250" s="8" t="s">
        <v>9804</v>
      </c>
      <c r="C10250" s="9">
        <v>1652</v>
      </c>
      <c r="D10250" s="0">
        <v>11</v>
      </c>
      <c r="E10250" s="10">
        <f>HYPERLINK("http://www.lingerieopt.ru/images/original/e2c81ec2-e842-4116-b76f-55365b133321.jpg","Фото")</f>
      </c>
    </row>
    <row r="10251">
      <c r="A10251" s="7">
        <f>HYPERLINK("http://www.lingerieopt.ru/item/793-kostyum-gornichnoi/","793")</f>
      </c>
      <c r="B10251" s="8" t="s">
        <v>9805</v>
      </c>
      <c r="C10251" s="9">
        <v>1793</v>
      </c>
      <c r="D10251" s="0">
        <v>2</v>
      </c>
      <c r="E10251" s="10">
        <f>HYPERLINK("http://www.lingerieopt.ru/images/original/a3caab34-0f67-46c3-9052-502b8e4481d3.jpg","Фото")</f>
      </c>
    </row>
    <row r="10252">
      <c r="A10252" s="7">
        <f>HYPERLINK("http://www.lingerieopt.ru/item/818-kostyum-sluzhanki/","818")</f>
      </c>
      <c r="B10252" s="8" t="s">
        <v>9800</v>
      </c>
      <c r="C10252" s="9">
        <v>2110</v>
      </c>
      <c r="D10252" s="0">
        <v>0</v>
      </c>
      <c r="E10252" s="10">
        <f>HYPERLINK("http://www.lingerieopt.ru/images/original/10710dbd-5d43-46f8-93e9-71e4704d29a5.jpg","Фото")</f>
      </c>
    </row>
    <row r="10253">
      <c r="A10253" s="7">
        <f>HYPERLINK("http://www.lingerieopt.ru/item/818-kostyum-sluzhanki/","818")</f>
      </c>
      <c r="B10253" s="8" t="s">
        <v>9806</v>
      </c>
      <c r="C10253" s="9">
        <v>2110</v>
      </c>
      <c r="D10253" s="0">
        <v>10</v>
      </c>
      <c r="E10253" s="10">
        <f>HYPERLINK("http://www.lingerieopt.ru/images/original/10710dbd-5d43-46f8-93e9-71e4704d29a5.jpg","Фото")</f>
      </c>
    </row>
    <row r="10254">
      <c r="A10254" s="7">
        <f>HYPERLINK("http://www.lingerieopt.ru/item/818-kostyum-sluzhanki/","818")</f>
      </c>
      <c r="B10254" s="8" t="s">
        <v>9801</v>
      </c>
      <c r="C10254" s="9">
        <v>2110</v>
      </c>
      <c r="D10254" s="0">
        <v>10</v>
      </c>
      <c r="E10254" s="10">
        <f>HYPERLINK("http://www.lingerieopt.ru/images/original/10710dbd-5d43-46f8-93e9-71e4704d29a5.jpg","Фото")</f>
      </c>
    </row>
    <row r="10255">
      <c r="A10255" s="7">
        <f>HYPERLINK("http://www.lingerieopt.ru/item/827-kostyum-gornichnoi-otelya/","827")</f>
      </c>
      <c r="B10255" s="8" t="s">
        <v>9807</v>
      </c>
      <c r="C10255" s="9">
        <v>1793</v>
      </c>
      <c r="D10255" s="0">
        <v>21</v>
      </c>
      <c r="E10255" s="10">
        <f>HYPERLINK("http://www.lingerieopt.ru/images/original/8541a9e3-a518-4460-9d4c-e685a911b37c.jpg","Фото")</f>
      </c>
    </row>
    <row r="10256">
      <c r="A10256" s="7">
        <f>HYPERLINK("http://www.lingerieopt.ru/item/827-kostyum-gornichnoi-otelya/","827")</f>
      </c>
      <c r="B10256" s="8" t="s">
        <v>9808</v>
      </c>
      <c r="C10256" s="9">
        <v>1793</v>
      </c>
      <c r="D10256" s="0">
        <v>13</v>
      </c>
      <c r="E10256" s="10">
        <f>HYPERLINK("http://www.lingerieopt.ru/images/original/8541a9e3-a518-4460-9d4c-e685a911b37c.jpg","Фото")</f>
      </c>
    </row>
    <row r="10257">
      <c r="A10257" s="7">
        <f>HYPERLINK("http://www.lingerieopt.ru/item/827-kostyum-gornichnoi-otelya/","827")</f>
      </c>
      <c r="B10257" s="8" t="s">
        <v>9809</v>
      </c>
      <c r="C10257" s="9">
        <v>1793</v>
      </c>
      <c r="D10257" s="0">
        <v>17</v>
      </c>
      <c r="E10257" s="10">
        <f>HYPERLINK("http://www.lingerieopt.ru/images/original/8541a9e3-a518-4460-9d4c-e685a911b37c.jpg","Фото")</f>
      </c>
    </row>
    <row r="10258">
      <c r="A10258" s="7">
        <f>HYPERLINK("http://www.lingerieopt.ru/item/910-schetochka-gornichnoi/","910")</f>
      </c>
      <c r="B10258" s="8" t="s">
        <v>9810</v>
      </c>
      <c r="C10258" s="9">
        <v>184</v>
      </c>
      <c r="D10258" s="0">
        <v>18</v>
      </c>
      <c r="E10258" s="10">
        <f>HYPERLINK("http://www.lingerieopt.ru/images/original/32d8dd4b-2e4e-4252-b2ac-442a0953c17c.jpg","Фото")</f>
      </c>
    </row>
    <row r="10259">
      <c r="A10259" s="7">
        <f>HYPERLINK("http://www.lingerieopt.ru/item/930-kostyum-gornichnoi/","930")</f>
      </c>
      <c r="B10259" s="8" t="s">
        <v>9811</v>
      </c>
      <c r="C10259" s="9">
        <v>1336</v>
      </c>
      <c r="D10259" s="0">
        <v>2</v>
      </c>
      <c r="E10259" s="10">
        <f>HYPERLINK("http://www.lingerieopt.ru/images/original/ed852d26-eab9-4f13-9561-4137b677fbc5.jpg","Фото")</f>
      </c>
    </row>
    <row r="10260">
      <c r="A10260" s="7">
        <f>HYPERLINK("http://www.lingerieopt.ru/item/930-kostyum-gornichnoi/","930")</f>
      </c>
      <c r="B10260" s="8" t="s">
        <v>9812</v>
      </c>
      <c r="C10260" s="9">
        <v>1336</v>
      </c>
      <c r="D10260" s="0">
        <v>20</v>
      </c>
      <c r="E10260" s="10">
        <f>HYPERLINK("http://www.lingerieopt.ru/images/original/ed852d26-eab9-4f13-9561-4137b677fbc5.jpg","Фото")</f>
      </c>
    </row>
    <row r="10261">
      <c r="A10261" s="7">
        <f>HYPERLINK("http://www.lingerieopt.ru/item/930-kostyum-gornichnoi/","930")</f>
      </c>
      <c r="B10261" s="8" t="s">
        <v>9813</v>
      </c>
      <c r="C10261" s="9">
        <v>1336</v>
      </c>
      <c r="D10261" s="0">
        <v>0</v>
      </c>
      <c r="E10261" s="10">
        <f>HYPERLINK("http://www.lingerieopt.ru/images/original/ed852d26-eab9-4f13-9561-4137b677fbc5.jpg","Фото")</f>
      </c>
    </row>
    <row r="10262">
      <c r="A10262" s="7">
        <f>HYPERLINK("http://www.lingerieopt.ru/item/932-kostyum-gornichnoi/","932")</f>
      </c>
      <c r="B10262" s="8" t="s">
        <v>9812</v>
      </c>
      <c r="C10262" s="9">
        <v>1613</v>
      </c>
      <c r="D10262" s="0">
        <v>20</v>
      </c>
      <c r="E10262" s="10">
        <f>HYPERLINK("http://www.lingerieopt.ru/images/original/7e84c1fb-c98a-470d-b0fe-7f374a8eabe7.jpg","Фото")</f>
      </c>
    </row>
    <row r="10263">
      <c r="A10263" s="7">
        <f>HYPERLINK("http://www.lingerieopt.ru/item/932-kostyum-gornichnoi/","932")</f>
      </c>
      <c r="B10263" s="8" t="s">
        <v>9811</v>
      </c>
      <c r="C10263" s="9">
        <v>1613</v>
      </c>
      <c r="D10263" s="0">
        <v>13</v>
      </c>
      <c r="E10263" s="10">
        <f>HYPERLINK("http://www.lingerieopt.ru/images/original/7e84c1fb-c98a-470d-b0fe-7f374a8eabe7.jpg","Фото")</f>
      </c>
    </row>
    <row r="10264">
      <c r="A10264" s="7">
        <f>HYPERLINK("http://www.lingerieopt.ru/item/932-kostyum-gornichnoi/","932")</f>
      </c>
      <c r="B10264" s="8" t="s">
        <v>9813</v>
      </c>
      <c r="C10264" s="9">
        <v>1613</v>
      </c>
      <c r="D10264" s="0">
        <v>5</v>
      </c>
      <c r="E10264" s="10">
        <f>HYPERLINK("http://www.lingerieopt.ru/images/original/7e84c1fb-c98a-470d-b0fe-7f374a8eabe7.jpg","Фото")</f>
      </c>
    </row>
    <row r="10265">
      <c r="A10265" s="7">
        <f>HYPERLINK("http://www.lingerieopt.ru/item/943-kostyum-gornichnoi/","943")</f>
      </c>
      <c r="B10265" s="8" t="s">
        <v>9812</v>
      </c>
      <c r="C10265" s="9">
        <v>1312</v>
      </c>
      <c r="D10265" s="0">
        <v>20</v>
      </c>
      <c r="E10265" s="10">
        <f>HYPERLINK("http://www.lingerieopt.ru/images/original/e69a3d3e-433c-4342-8081-69ef3b279a78.jpg","Фото")</f>
      </c>
    </row>
    <row r="10266">
      <c r="A10266" s="7">
        <f>HYPERLINK("http://www.lingerieopt.ru/item/1068-uniforma-sluzhanki/","1068")</f>
      </c>
      <c r="B10266" s="8" t="s">
        <v>9814</v>
      </c>
      <c r="C10266" s="9">
        <v>1779</v>
      </c>
      <c r="D10266" s="0">
        <v>1</v>
      </c>
      <c r="E10266" s="10">
        <f>HYPERLINK("http://www.lingerieopt.ru/images/original/7f201e05-68ba-4110-80e0-b1dc18608b12.jpg","Фото")</f>
      </c>
    </row>
    <row r="10267">
      <c r="A10267" s="7">
        <f>HYPERLINK("http://www.lingerieopt.ru/item/1068-uniforma-sluzhanki/","1068")</f>
      </c>
      <c r="B10267" s="8" t="s">
        <v>9815</v>
      </c>
      <c r="C10267" s="9">
        <v>1779</v>
      </c>
      <c r="D10267" s="0">
        <v>4</v>
      </c>
      <c r="E10267" s="10">
        <f>HYPERLINK("http://www.lingerieopt.ru/images/original/7f201e05-68ba-4110-80e0-b1dc18608b12.jpg","Фото")</f>
      </c>
    </row>
    <row r="10268">
      <c r="A10268" s="7">
        <f>HYPERLINK("http://www.lingerieopt.ru/item/1075-kostyum-gornichnoi/","1075")</f>
      </c>
      <c r="B10268" s="8" t="s">
        <v>9813</v>
      </c>
      <c r="C10268" s="9">
        <v>1965</v>
      </c>
      <c r="D10268" s="0">
        <v>5</v>
      </c>
      <c r="E10268" s="10">
        <f>HYPERLINK("http://www.lingerieopt.ru/images/original/59f3e031-d004-4f54-8f30-491f934cb152.jpg","Фото")</f>
      </c>
    </row>
    <row r="10269">
      <c r="A10269" s="7">
        <f>HYPERLINK("http://www.lingerieopt.ru/item/1075-kostyum-gornichnoi/","1075")</f>
      </c>
      <c r="B10269" s="8" t="s">
        <v>9816</v>
      </c>
      <c r="C10269" s="9">
        <v>1965</v>
      </c>
      <c r="D10269" s="0">
        <v>3</v>
      </c>
      <c r="E10269" s="10">
        <f>HYPERLINK("http://www.lingerieopt.ru/images/original/59f3e031-d004-4f54-8f30-491f934cb152.jpg","Фото")</f>
      </c>
    </row>
    <row r="10270">
      <c r="A10270" s="7">
        <f>HYPERLINK("http://www.lingerieopt.ru/item/2103-rozovaya-schetochka-gornichnoi-35-sm/","2103")</f>
      </c>
      <c r="B10270" s="8" t="s">
        <v>9817</v>
      </c>
      <c r="C10270" s="9">
        <v>193</v>
      </c>
      <c r="D10270" s="0">
        <v>20</v>
      </c>
      <c r="E10270" s="10">
        <f>HYPERLINK("http://www.lingerieopt.ru/images/original/aff5a525-0c7e-43a5-9995-ad2975a797b2.jpg","Фото")</f>
      </c>
    </row>
    <row r="10271">
      <c r="A10271" s="7">
        <f>HYPERLINK("http://www.lingerieopt.ru/item/2231-cherno-rozovji-kostyum-gornichnoi/","2231")</f>
      </c>
      <c r="B10271" s="8" t="s">
        <v>9818</v>
      </c>
      <c r="C10271" s="9">
        <v>1501</v>
      </c>
      <c r="D10271" s="0">
        <v>8</v>
      </c>
      <c r="E10271" s="10">
        <f>HYPERLINK("http://www.lingerieopt.ru/images/original/fad2bf5d-9383-4a78-990d-decb1fdadb12.jpg","Фото")</f>
      </c>
    </row>
    <row r="10272">
      <c r="A10272" s="7">
        <f>HYPERLINK("http://www.lingerieopt.ru/item/2231-cherno-rozovji-kostyum-gornichnoi/","2231")</f>
      </c>
      <c r="B10272" s="8" t="s">
        <v>9819</v>
      </c>
      <c r="C10272" s="9">
        <v>1501</v>
      </c>
      <c r="D10272" s="0">
        <v>4</v>
      </c>
      <c r="E10272" s="10">
        <f>HYPERLINK("http://www.lingerieopt.ru/images/original/fad2bf5d-9383-4a78-990d-decb1fdadb12.jpg","Фото")</f>
      </c>
    </row>
    <row r="10273">
      <c r="A10273" s="7">
        <f>HYPERLINK("http://www.lingerieopt.ru/item/2231-cherno-rozovji-kostyum-gornichnoi/","2231")</f>
      </c>
      <c r="B10273" s="8" t="s">
        <v>9820</v>
      </c>
      <c r="C10273" s="9">
        <v>1501</v>
      </c>
      <c r="D10273" s="0">
        <v>1</v>
      </c>
      <c r="E10273" s="10">
        <f>HYPERLINK("http://www.lingerieopt.ru/images/original/fad2bf5d-9383-4a78-990d-decb1fdadb12.jpg","Фото")</f>
      </c>
    </row>
    <row r="10274">
      <c r="A10274" s="7">
        <f>HYPERLINK("http://www.lingerieopt.ru/item/2454-kostyum-gornichnoi-sharlott/","2454")</f>
      </c>
      <c r="B10274" s="8" t="s">
        <v>9821</v>
      </c>
      <c r="C10274" s="9">
        <v>2542</v>
      </c>
      <c r="D10274" s="0">
        <v>2</v>
      </c>
      <c r="E10274" s="10">
        <f>HYPERLINK("http://www.lingerieopt.ru/images/original/0b14ddac-6731-4686-b1ec-fcf760255300.jpg","Фото")</f>
      </c>
    </row>
    <row r="10275">
      <c r="A10275" s="7">
        <f>HYPERLINK("http://www.lingerieopt.ru/item/2454-kostyum-gornichnoi-sharlott/","2454")</f>
      </c>
      <c r="B10275" s="8" t="s">
        <v>9822</v>
      </c>
      <c r="C10275" s="9">
        <v>2542</v>
      </c>
      <c r="D10275" s="0">
        <v>0</v>
      </c>
      <c r="E10275" s="10">
        <f>HYPERLINK("http://www.lingerieopt.ru/images/original/0b14ddac-6731-4686-b1ec-fcf760255300.jpg","Фото")</f>
      </c>
    </row>
    <row r="10276">
      <c r="A10276" s="7">
        <f>HYPERLINK("http://www.lingerieopt.ru/item/2454-kostyum-gornichnoi-sharlott/","2454")</f>
      </c>
      <c r="B10276" s="8" t="s">
        <v>9823</v>
      </c>
      <c r="C10276" s="9">
        <v>2542</v>
      </c>
      <c r="D10276" s="0">
        <v>0</v>
      </c>
      <c r="E10276" s="10">
        <f>HYPERLINK("http://www.lingerieopt.ru/images/original/0b14ddac-6731-4686-b1ec-fcf760255300.jpg","Фото")</f>
      </c>
    </row>
    <row r="10277">
      <c r="A10277" s="7">
        <f>HYPERLINK("http://www.lingerieopt.ru/item/3362-kostyum-gornichnoi/","3362")</f>
      </c>
      <c r="B10277" s="8" t="s">
        <v>9811</v>
      </c>
      <c r="C10277" s="9">
        <v>1925</v>
      </c>
      <c r="D10277" s="0">
        <v>4</v>
      </c>
      <c r="E10277" s="10">
        <f>HYPERLINK("http://www.lingerieopt.ru/images/original/39971e71-5239-4aef-ab3b-6ff15143f195.jpg","Фото")</f>
      </c>
    </row>
    <row r="10278">
      <c r="A10278" s="7">
        <f>HYPERLINK("http://www.lingerieopt.ru/item/3362-kostyum-gornichnoi/","3362")</f>
      </c>
      <c r="B10278" s="8" t="s">
        <v>9813</v>
      </c>
      <c r="C10278" s="9">
        <v>1925</v>
      </c>
      <c r="D10278" s="0">
        <v>0</v>
      </c>
      <c r="E10278" s="10">
        <f>HYPERLINK("http://www.lingerieopt.ru/images/original/39971e71-5239-4aef-ab3b-6ff15143f195.jpg","Фото")</f>
      </c>
    </row>
    <row r="10279">
      <c r="A10279" s="7">
        <f>HYPERLINK("http://www.lingerieopt.ru/item/3362-kostyum-gornichnoi/","3362")</f>
      </c>
      <c r="B10279" s="8" t="s">
        <v>9816</v>
      </c>
      <c r="C10279" s="9">
        <v>1925</v>
      </c>
      <c r="D10279" s="0">
        <v>0</v>
      </c>
      <c r="E10279" s="10">
        <f>HYPERLINK("http://www.lingerieopt.ru/images/original/39971e71-5239-4aef-ab3b-6ff15143f195.jpg","Фото")</f>
      </c>
    </row>
    <row r="10280">
      <c r="A10280" s="7">
        <f>HYPERLINK("http://www.lingerieopt.ru/item/4945-kostyum-smeloi-gornichnoi/","4945")</f>
      </c>
      <c r="B10280" s="8" t="s">
        <v>9824</v>
      </c>
      <c r="C10280" s="9">
        <v>1653</v>
      </c>
      <c r="D10280" s="0">
        <v>1</v>
      </c>
      <c r="E10280" s="10">
        <f>HYPERLINK("http://www.lingerieopt.ru/images/original/74c91354-2972-4630-9508-48722bbf559b.jpg","Фото")</f>
      </c>
    </row>
    <row r="10281">
      <c r="A10281" s="7">
        <f>HYPERLINK("http://www.lingerieopt.ru/item/4945-kostyum-smeloi-gornichnoi/","4945")</f>
      </c>
      <c r="B10281" s="8" t="s">
        <v>9825</v>
      </c>
      <c r="C10281" s="9">
        <v>1653</v>
      </c>
      <c r="D10281" s="0">
        <v>5</v>
      </c>
      <c r="E10281" s="10">
        <f>HYPERLINK("http://www.lingerieopt.ru/images/original/74c91354-2972-4630-9508-48722bbf559b.jpg","Фото")</f>
      </c>
    </row>
    <row r="10282">
      <c r="A10282" s="7">
        <f>HYPERLINK("http://www.lingerieopt.ru/item/4945-kostyum-smeloi-gornichnoi/","4945")</f>
      </c>
      <c r="B10282" s="8" t="s">
        <v>9826</v>
      </c>
      <c r="C10282" s="9">
        <v>1653</v>
      </c>
      <c r="D10282" s="0">
        <v>1</v>
      </c>
      <c r="E10282" s="10">
        <f>HYPERLINK("http://www.lingerieopt.ru/images/original/74c91354-2972-4630-9508-48722bbf559b.jpg","Фото")</f>
      </c>
    </row>
    <row r="10283">
      <c r="A10283" s="7">
        <f>HYPERLINK("http://www.lingerieopt.ru/item/4952-igrovoi-kostyum-oficiantki-alexa/","4952")</f>
      </c>
      <c r="B10283" s="8" t="s">
        <v>9827</v>
      </c>
      <c r="C10283" s="9">
        <v>1226</v>
      </c>
      <c r="D10283" s="0">
        <v>0</v>
      </c>
      <c r="E10283" s="10">
        <f>HYPERLINK("http://www.lingerieopt.ru/images/original/acc043a4-2938-4d54-b9bc-4ceb3e56ff1f.jpg","Фото")</f>
      </c>
    </row>
    <row r="10284">
      <c r="A10284" s="7">
        <f>HYPERLINK("http://www.lingerieopt.ru/item/4952-igrovoi-kostyum-oficiantki-alexa/","4952")</f>
      </c>
      <c r="B10284" s="8" t="s">
        <v>9828</v>
      </c>
      <c r="C10284" s="9">
        <v>1226</v>
      </c>
      <c r="D10284" s="0">
        <v>4</v>
      </c>
      <c r="E10284" s="10">
        <f>HYPERLINK("http://www.lingerieopt.ru/images/original/acc043a4-2938-4d54-b9bc-4ceb3e56ff1f.jpg","Фото")</f>
      </c>
    </row>
    <row r="10285">
      <c r="A10285" s="7">
        <f>HYPERLINK("http://www.lingerieopt.ru/item/5040-otkrovennji-kostyum-gornichnoi/","5040")</f>
      </c>
      <c r="B10285" s="8" t="s">
        <v>9829</v>
      </c>
      <c r="C10285" s="9">
        <v>1136</v>
      </c>
      <c r="D10285" s="0">
        <v>2</v>
      </c>
      <c r="E10285" s="10">
        <f>HYPERLINK("http://www.lingerieopt.ru/images/original/c3c4abe4-42d8-425b-9f90-32f769ed0f0f.jpg","Фото")</f>
      </c>
    </row>
    <row r="10286">
      <c r="A10286" s="7">
        <f>HYPERLINK("http://www.lingerieopt.ru/item/5040-otkrovennji-kostyum-gornichnoi/","5040")</f>
      </c>
      <c r="B10286" s="8" t="s">
        <v>9830</v>
      </c>
      <c r="C10286" s="9">
        <v>1136</v>
      </c>
      <c r="D10286" s="0">
        <v>4</v>
      </c>
      <c r="E10286" s="10">
        <f>HYPERLINK("http://www.lingerieopt.ru/images/original/c3c4abe4-42d8-425b-9f90-32f769ed0f0f.jpg","Фото")</f>
      </c>
    </row>
    <row r="10287">
      <c r="A10287" s="7">
        <f>HYPERLINK("http://www.lingerieopt.ru/item/5051-zhenskii-kostyum-oficiantki/","5051")</f>
      </c>
      <c r="B10287" s="8" t="s">
        <v>9831</v>
      </c>
      <c r="C10287" s="9">
        <v>1459</v>
      </c>
      <c r="D10287" s="0">
        <v>6</v>
      </c>
      <c r="E10287" s="10">
        <f>HYPERLINK("http://www.lingerieopt.ru/images/original/4980a357-7f98-477e-8e40-d3e8347fd7ce.jpg","Фото")</f>
      </c>
    </row>
    <row r="10288">
      <c r="A10288" s="7">
        <f>HYPERLINK("http://www.lingerieopt.ru/item/5051-zhenskii-kostyum-oficiantki/","5051")</f>
      </c>
      <c r="B10288" s="8" t="s">
        <v>9832</v>
      </c>
      <c r="C10288" s="9">
        <v>1459</v>
      </c>
      <c r="D10288" s="0">
        <v>1</v>
      </c>
      <c r="E10288" s="10">
        <f>HYPERLINK("http://www.lingerieopt.ru/images/original/4980a357-7f98-477e-8e40-d3e8347fd7ce.jpg","Фото")</f>
      </c>
    </row>
    <row r="10289">
      <c r="A10289" s="7">
        <f>HYPERLINK("http://www.lingerieopt.ru/item/5294-igrovoi-kostyum-prislugi/","5294")</f>
      </c>
      <c r="B10289" s="8" t="s">
        <v>9833</v>
      </c>
      <c r="C10289" s="9">
        <v>1750</v>
      </c>
      <c r="D10289" s="0">
        <v>20</v>
      </c>
      <c r="E10289" s="10">
        <f>HYPERLINK("http://www.lingerieopt.ru/images/original/d1a8b199-bcbd-45b7-be8e-913a91d4d890.jpg","Фото")</f>
      </c>
    </row>
    <row r="10290">
      <c r="A10290" s="7">
        <f>HYPERLINK("http://www.lingerieopt.ru/item/5294-igrovoi-kostyum-prislugi/","5294")</f>
      </c>
      <c r="B10290" s="8" t="s">
        <v>9834</v>
      </c>
      <c r="C10290" s="9">
        <v>1750</v>
      </c>
      <c r="D10290" s="0">
        <v>20</v>
      </c>
      <c r="E10290" s="10">
        <f>HYPERLINK("http://www.lingerieopt.ru/images/original/d1a8b199-bcbd-45b7-be8e-913a91d4d890.jpg","Фото")</f>
      </c>
    </row>
    <row r="10291">
      <c r="A10291" s="7">
        <f>HYPERLINK("http://www.lingerieopt.ru/item/5297-igrovoi-kostyum-domrabotnicj/","5297")</f>
      </c>
      <c r="B10291" s="8" t="s">
        <v>9835</v>
      </c>
      <c r="C10291" s="9">
        <v>1856</v>
      </c>
      <c r="D10291" s="0">
        <v>20</v>
      </c>
      <c r="E10291" s="10">
        <f>HYPERLINK("http://www.lingerieopt.ru/images/original/8d92c9ce-bba9-4bc6-87cc-65f76d61996d.jpg","Фото")</f>
      </c>
    </row>
    <row r="10292">
      <c r="A10292" s="7">
        <f>HYPERLINK("http://www.lingerieopt.ru/item/6806-igrovoi-kostyum-gornichnoi-maid/","6806")</f>
      </c>
      <c r="B10292" s="8" t="s">
        <v>9836</v>
      </c>
      <c r="C10292" s="9">
        <v>1088</v>
      </c>
      <c r="D10292" s="0">
        <v>12</v>
      </c>
      <c r="E10292" s="10">
        <f>HYPERLINK("http://www.lingerieopt.ru/images/original/bd9520c7-2c0a-4464-aba0-3c60eb2768fe.jpg","Фото")</f>
      </c>
    </row>
    <row r="10293">
      <c r="A10293" s="7">
        <f>HYPERLINK("http://www.lingerieopt.ru/item/7736-perevaya-schetochka/","7736")</f>
      </c>
      <c r="B10293" s="8" t="s">
        <v>9837</v>
      </c>
      <c r="C10293" s="9">
        <v>754</v>
      </c>
      <c r="D10293" s="0">
        <v>10</v>
      </c>
      <c r="E10293" s="10">
        <f>HYPERLINK("http://www.lingerieopt.ru/images/original/42b4098c-167d-4cd3-9097-688fa92635e0.jpg","Фото")</f>
      </c>
    </row>
    <row r="10294">
      <c r="A10294" s="7">
        <f>HYPERLINK("http://www.lingerieopt.ru/item/7832-kostyum-gornichnoi/","7832")</f>
      </c>
      <c r="B10294" s="8" t="s">
        <v>9838</v>
      </c>
      <c r="C10294" s="9">
        <v>1610</v>
      </c>
      <c r="D10294" s="0">
        <v>28</v>
      </c>
      <c r="E10294" s="10">
        <f>HYPERLINK("http://www.lingerieopt.ru/images/original/df450795-4463-4fb5-9e75-3c4f41e5d4d8.jpg","Фото")</f>
      </c>
    </row>
    <row r="10295">
      <c r="A10295" s="7">
        <f>HYPERLINK("http://www.lingerieopt.ru/item/8472-kostyum-oficiantki-bodi-vorotnik-i-manzhetj/","8472")</f>
      </c>
      <c r="B10295" s="8" t="s">
        <v>9839</v>
      </c>
      <c r="C10295" s="9">
        <v>1391</v>
      </c>
      <c r="D10295" s="0">
        <v>0</v>
      </c>
      <c r="E10295" s="10">
        <f>HYPERLINK("http://www.lingerieopt.ru/images/original/1a83a71e-c58c-4a71-aba4-dc836a529d08.jpg","Фото")</f>
      </c>
    </row>
    <row r="10296">
      <c r="A10296" s="7">
        <f>HYPERLINK("http://www.lingerieopt.ru/item/8472-kostyum-oficiantki-bodi-vorotnik-i-manzhetj/","8472")</f>
      </c>
      <c r="B10296" s="8" t="s">
        <v>9840</v>
      </c>
      <c r="C10296" s="9">
        <v>1391</v>
      </c>
      <c r="D10296" s="0">
        <v>19</v>
      </c>
      <c r="E10296" s="10">
        <f>HYPERLINK("http://www.lingerieopt.ru/images/original/1a83a71e-c58c-4a71-aba4-dc836a529d08.jpg","Фото")</f>
      </c>
    </row>
    <row r="10297">
      <c r="A10297" s="7">
        <f>HYPERLINK("http://www.lingerieopt.ru/item/8527-kostyum-gornichnoi-shamika/","8527")</f>
      </c>
      <c r="B10297" s="8" t="s">
        <v>9841</v>
      </c>
      <c r="C10297" s="9">
        <v>2400</v>
      </c>
      <c r="D10297" s="0">
        <v>2</v>
      </c>
      <c r="E10297" s="10">
        <f>HYPERLINK("http://www.lingerieopt.ru/images/original/a38d2d72-d8c9-4d0b-a0bb-89dcbeaabe1a.jpg","Фото")</f>
      </c>
    </row>
    <row r="10298">
      <c r="A10298" s="7">
        <f>HYPERLINK("http://www.lingerieopt.ru/item/8527-kostyum-gornichnoi-shamika/","8527")</f>
      </c>
      <c r="B10298" s="8" t="s">
        <v>9842</v>
      </c>
      <c r="C10298" s="9">
        <v>2400</v>
      </c>
      <c r="D10298" s="0">
        <v>2</v>
      </c>
      <c r="E10298" s="10">
        <f>HYPERLINK("http://www.lingerieopt.ru/images/original/a38d2d72-d8c9-4d0b-a0bb-89dcbeaabe1a.jpg","Фото")</f>
      </c>
    </row>
    <row r="10299">
      <c r="A10299" s="7">
        <f>HYPERLINK("http://www.lingerieopt.ru/item/8742-kostyum-gornichnoi-maid-iz-5-predmetov/","8742")</f>
      </c>
      <c r="B10299" s="8" t="s">
        <v>9843</v>
      </c>
      <c r="C10299" s="9">
        <v>1684</v>
      </c>
      <c r="D10299" s="0">
        <v>8</v>
      </c>
      <c r="E10299" s="10">
        <f>HYPERLINK("http://www.lingerieopt.ru/images/original/a69b69c6-52dc-49bc-8020-9caeb10b4474.jpg","Фото")</f>
      </c>
    </row>
    <row r="10300">
      <c r="A10300" s="7">
        <f>HYPERLINK("http://www.lingerieopt.ru/item/8742-kostyum-gornichnoi-maid-iz-5-predmetov/","8742")</f>
      </c>
      <c r="B10300" s="8" t="s">
        <v>9844</v>
      </c>
      <c r="C10300" s="9">
        <v>1684</v>
      </c>
      <c r="D10300" s="0">
        <v>0</v>
      </c>
      <c r="E10300" s="10">
        <f>HYPERLINK("http://www.lingerieopt.ru/images/original/a69b69c6-52dc-49bc-8020-9caeb10b4474.jpg","Фото")</f>
      </c>
    </row>
    <row r="10301">
      <c r="A10301" s="7">
        <f>HYPERLINK("http://www.lingerieopt.ru/item/8760-komplekt-gornichnoi-nathella/","8760")</f>
      </c>
      <c r="B10301" s="8" t="s">
        <v>9845</v>
      </c>
      <c r="C10301" s="9">
        <v>1543</v>
      </c>
      <c r="D10301" s="0">
        <v>3</v>
      </c>
      <c r="E10301" s="10">
        <f>HYPERLINK("http://www.lingerieopt.ru/images/original/4f4d523d-97ea-4153-945b-9874ca380eb2.jpg","Фото")</f>
      </c>
    </row>
    <row r="10302">
      <c r="A10302" s="7">
        <f>HYPERLINK("http://www.lingerieopt.ru/item/8760-komplekt-gornichnoi-nathella/","8760")</f>
      </c>
      <c r="B10302" s="8" t="s">
        <v>9846</v>
      </c>
      <c r="C10302" s="9">
        <v>1543</v>
      </c>
      <c r="D10302" s="0">
        <v>1</v>
      </c>
      <c r="E10302" s="10">
        <f>HYPERLINK("http://www.lingerieopt.ru/images/original/4f4d523d-97ea-4153-945b-9874ca380eb2.jpg","Фото")</f>
      </c>
    </row>
    <row r="10303">
      <c r="A10303" s="7">
        <f>HYPERLINK("http://www.lingerieopt.ru/item/8760-komplekt-gornichnoi-nathella/","8760")</f>
      </c>
      <c r="B10303" s="8" t="s">
        <v>9847</v>
      </c>
      <c r="C10303" s="9">
        <v>1543</v>
      </c>
      <c r="D10303" s="0">
        <v>2</v>
      </c>
      <c r="E10303" s="10">
        <f>HYPERLINK("http://www.lingerieopt.ru/images/original/4f4d523d-97ea-4153-945b-9874ca380eb2.jpg","Фото")</f>
      </c>
    </row>
    <row r="10304">
      <c r="A10304" s="7">
        <f>HYPERLINK("http://www.lingerieopt.ru/item/8760-komplekt-gornichnoi-nathella/","8760")</f>
      </c>
      <c r="B10304" s="8" t="s">
        <v>9848</v>
      </c>
      <c r="C10304" s="9">
        <v>1543</v>
      </c>
      <c r="D10304" s="0">
        <v>2</v>
      </c>
      <c r="E10304" s="10">
        <f>HYPERLINK("http://www.lingerieopt.ru/images/original/4f4d523d-97ea-4153-945b-9874ca380eb2.jpg","Фото")</f>
      </c>
    </row>
    <row r="10305">
      <c r="A10305" s="7">
        <f>HYPERLINK("http://www.lingerieopt.ru/item/9507-igrovoi-kostyum-gornichnoi-cantrea/","9507")</f>
      </c>
      <c r="B10305" s="8" t="s">
        <v>9849</v>
      </c>
      <c r="C10305" s="9">
        <v>1371</v>
      </c>
      <c r="D10305" s="0">
        <v>3</v>
      </c>
      <c r="E10305" s="10">
        <f>HYPERLINK("http://www.lingerieopt.ru/images/original/b042c73b-0015-4c18-93ec-85a815318f16.jpg","Фото")</f>
      </c>
    </row>
    <row r="10306">
      <c r="A10306" s="7">
        <f>HYPERLINK("http://www.lingerieopt.ru/item/9507-igrovoi-kostyum-gornichnoi-cantrea/","9507")</f>
      </c>
      <c r="B10306" s="8" t="s">
        <v>9850</v>
      </c>
      <c r="C10306" s="9">
        <v>1371</v>
      </c>
      <c r="D10306" s="0">
        <v>6</v>
      </c>
      <c r="E10306" s="10">
        <f>HYPERLINK("http://www.lingerieopt.ru/images/original/b042c73b-0015-4c18-93ec-85a815318f16.jpg","Фото")</f>
      </c>
    </row>
    <row r="10307">
      <c r="A10307" s="7">
        <f>HYPERLINK("http://www.lingerieopt.ru/item/9507-igrovoi-kostyum-gornichnoi-cantrea/","9507")</f>
      </c>
      <c r="B10307" s="8" t="s">
        <v>9851</v>
      </c>
      <c r="C10307" s="9">
        <v>1371</v>
      </c>
      <c r="D10307" s="0">
        <v>16</v>
      </c>
      <c r="E10307" s="10">
        <f>HYPERLINK("http://www.lingerieopt.ru/images/original/b042c73b-0015-4c18-93ec-85a815318f16.jpg","Фото")</f>
      </c>
    </row>
    <row r="10308">
      <c r="A10308" s="7">
        <f>HYPERLINK("http://www.lingerieopt.ru/item/10227-igrovoi-kostyum-sluzhanki-flavia/","10227")</f>
      </c>
      <c r="B10308" s="8" t="s">
        <v>9852</v>
      </c>
      <c r="C10308" s="9">
        <v>1193</v>
      </c>
      <c r="D10308" s="0">
        <v>13</v>
      </c>
      <c r="E10308" s="10">
        <f>HYPERLINK("http://www.lingerieopt.ru/images/original/f8207e68-8d48-4bf1-b35d-cdfcfa83e069.jpg","Фото")</f>
      </c>
    </row>
    <row r="10309">
      <c r="A10309" s="7">
        <f>HYPERLINK("http://www.lingerieopt.ru/item/10227-igrovoi-kostyum-sluzhanki-flavia/","10227")</f>
      </c>
      <c r="B10309" s="8" t="s">
        <v>9853</v>
      </c>
      <c r="C10309" s="9">
        <v>1193</v>
      </c>
      <c r="D10309" s="0">
        <v>19</v>
      </c>
      <c r="E10309" s="10">
        <f>HYPERLINK("http://www.lingerieopt.ru/images/original/f8207e68-8d48-4bf1-b35d-cdfcfa83e069.jpg","Фото")</f>
      </c>
    </row>
    <row r="10310">
      <c r="A10310" s="7">
        <f>HYPERLINK("http://www.lingerieopt.ru/item/10815-kostyum-gornichnoi-otdelannji-kontrastnjm-kruzhevom/","10815")</f>
      </c>
      <c r="B10310" s="8" t="s">
        <v>9854</v>
      </c>
      <c r="C10310" s="9">
        <v>1581</v>
      </c>
      <c r="D10310" s="0">
        <v>17</v>
      </c>
      <c r="E10310" s="10">
        <f>HYPERLINK("http://www.lingerieopt.ru/images/original/a5701fef-02d4-4f94-ab55-e2bb47122b4c.jpg","Фото")</f>
      </c>
    </row>
    <row r="10311">
      <c r="A10311" s="7">
        <f>HYPERLINK("http://www.lingerieopt.ru/item/10816-igrovoi-kostyum-gornichnoi-otdelannji-kontrastnjm-kruzhevom/","10816")</f>
      </c>
      <c r="B10311" s="8" t="s">
        <v>9855</v>
      </c>
      <c r="C10311" s="9">
        <v>1536</v>
      </c>
      <c r="D10311" s="0">
        <v>14</v>
      </c>
      <c r="E10311" s="10">
        <f>HYPERLINK("http://www.lingerieopt.ru/images/original/2c2e006c-56b6-4545-8dc0-c7d74ff30008.jpg","Фото")</f>
      </c>
    </row>
    <row r="10312">
      <c r="A10312" s="7">
        <f>HYPERLINK("http://www.lingerieopt.ru/item/11143-igrovoi-kostyum-gornichnoi-iz-4-predmetov/","11143")</f>
      </c>
      <c r="B10312" s="8" t="s">
        <v>9856</v>
      </c>
      <c r="C10312" s="9">
        <v>3129</v>
      </c>
      <c r="D10312" s="0">
        <v>0</v>
      </c>
      <c r="E10312" s="10">
        <f>HYPERLINK("http://www.lingerieopt.ru/images/original/121dbb3c-91e0-4edf-867e-3975f4a959c6.jpg","Фото")</f>
      </c>
    </row>
    <row r="10313">
      <c r="A10313" s="7">
        <f>HYPERLINK("http://www.lingerieopt.ru/item/11143-igrovoi-kostyum-gornichnoi-iz-4-predmetov/","11143")</f>
      </c>
      <c r="B10313" s="8" t="s">
        <v>9857</v>
      </c>
      <c r="C10313" s="9">
        <v>3129</v>
      </c>
      <c r="D10313" s="0">
        <v>3</v>
      </c>
      <c r="E10313" s="10">
        <f>HYPERLINK("http://www.lingerieopt.ru/images/original/121dbb3c-91e0-4edf-867e-3975f4a959c6.jpg","Фото")</f>
      </c>
    </row>
    <row r="10314">
      <c r="A10314" s="7">
        <f>HYPERLINK("http://www.lingerieopt.ru/item/11143-igrovoi-kostyum-gornichnoi-iz-4-predmetov/","11143")</f>
      </c>
      <c r="B10314" s="8" t="s">
        <v>9858</v>
      </c>
      <c r="C10314" s="9">
        <v>3129</v>
      </c>
      <c r="D10314" s="0">
        <v>3</v>
      </c>
      <c r="E10314" s="10">
        <f>HYPERLINK("http://www.lingerieopt.ru/images/original/121dbb3c-91e0-4edf-867e-3975f4a959c6.jpg","Фото")</f>
      </c>
    </row>
    <row r="10315">
      <c r="A10315" s="7">
        <f>HYPERLINK("http://www.lingerieopt.ru/item/11143-igrovoi-kostyum-gornichnoi-iz-4-predmetov/","11143")</f>
      </c>
      <c r="B10315" s="8" t="s">
        <v>9859</v>
      </c>
      <c r="C10315" s="9">
        <v>3129</v>
      </c>
      <c r="D10315" s="0">
        <v>3</v>
      </c>
      <c r="E10315" s="10">
        <f>HYPERLINK("http://www.lingerieopt.ru/images/original/121dbb3c-91e0-4edf-867e-3975f4a959c6.jpg","Фото")</f>
      </c>
    </row>
    <row r="10316">
      <c r="A10316" s="7">
        <f>HYPERLINK("http://www.lingerieopt.ru/item/11144-cherno-belji-kostyum-gornichnoi-plus-size/","11144")</f>
      </c>
      <c r="B10316" s="8" t="s">
        <v>9860</v>
      </c>
      <c r="C10316" s="9">
        <v>3052</v>
      </c>
      <c r="D10316" s="0">
        <v>5</v>
      </c>
      <c r="E10316" s="10">
        <f>HYPERLINK("http://www.lingerieopt.ru/images/original/740d1f3b-efb6-4fc5-a072-1a530605c257.jpg","Фото")</f>
      </c>
    </row>
    <row r="10317">
      <c r="A10317" s="7">
        <f>HYPERLINK("http://www.lingerieopt.ru/item/11145-kostyum-gornichnoi/","11145")</f>
      </c>
      <c r="B10317" s="8" t="s">
        <v>9861</v>
      </c>
      <c r="C10317" s="9">
        <v>3052</v>
      </c>
      <c r="D10317" s="0">
        <v>4</v>
      </c>
      <c r="E10317" s="10">
        <f>HYPERLINK("http://www.lingerieopt.ru/images/original/d9b51a7d-0aaf-466a-989f-d749b53b5902.jpg","Фото")</f>
      </c>
    </row>
    <row r="10318">
      <c r="A10318" s="7">
        <f>HYPERLINK("http://www.lingerieopt.ru/item/11145-kostyum-gornichnoi/","11145")</f>
      </c>
      <c r="B10318" s="8" t="s">
        <v>9862</v>
      </c>
      <c r="C10318" s="9">
        <v>3052</v>
      </c>
      <c r="D10318" s="0">
        <v>4</v>
      </c>
      <c r="E10318" s="10">
        <f>HYPERLINK("http://www.lingerieopt.ru/images/original/d9b51a7d-0aaf-466a-989f-d749b53b5902.jpg","Фото")</f>
      </c>
    </row>
    <row r="10319">
      <c r="A10319" s="7">
        <f>HYPERLINK("http://www.lingerieopt.ru/item/11145-kostyum-gornichnoi/","11145")</f>
      </c>
      <c r="B10319" s="8" t="s">
        <v>9863</v>
      </c>
      <c r="C10319" s="9">
        <v>3052</v>
      </c>
      <c r="D10319" s="0">
        <v>0</v>
      </c>
      <c r="E10319" s="10">
        <f>HYPERLINK("http://www.lingerieopt.ru/images/original/d9b51a7d-0aaf-466a-989f-d749b53b5902.jpg","Фото")</f>
      </c>
    </row>
    <row r="10320">
      <c r="A10320" s="7">
        <f>HYPERLINK("http://www.lingerieopt.ru/item/11145-kostyum-gornichnoi/","11145")</f>
      </c>
      <c r="B10320" s="8" t="s">
        <v>9864</v>
      </c>
      <c r="C10320" s="9">
        <v>3052</v>
      </c>
      <c r="D10320" s="0">
        <v>4</v>
      </c>
      <c r="E10320" s="10">
        <f>HYPERLINK("http://www.lingerieopt.ru/images/original/d9b51a7d-0aaf-466a-989f-d749b53b5902.jpg","Фото")</f>
      </c>
    </row>
    <row r="10321">
      <c r="A10321" s="5"/>
      <c r="B10321" s="6" t="s">
        <v>9865</v>
      </c>
      <c r="C10321" s="5"/>
      <c r="D10321" s="5"/>
      <c r="E10321" s="5"/>
    </row>
    <row r="10322">
      <c r="A10322" s="7">
        <f>HYPERLINK("http://www.lingerieopt.ru/item/812-kostyum-pushistoi-zaiki/","812")</f>
      </c>
      <c r="B10322" s="8" t="s">
        <v>9866</v>
      </c>
      <c r="C10322" s="9">
        <v>950</v>
      </c>
      <c r="D10322" s="0">
        <v>1</v>
      </c>
      <c r="E10322" s="10">
        <f>HYPERLINK("http://www.lingerieopt.ru/images/original/d33fe2c7-704c-47e2-85f5-d92789eccdca.jpg","Фото")</f>
      </c>
    </row>
    <row r="10323">
      <c r="A10323" s="7">
        <f>HYPERLINK("http://www.lingerieopt.ru/item/839-kostyum-chernogo-krolika/","839")</f>
      </c>
      <c r="B10323" s="8" t="s">
        <v>9867</v>
      </c>
      <c r="C10323" s="9">
        <v>1105</v>
      </c>
      <c r="D10323" s="0">
        <v>4</v>
      </c>
      <c r="E10323" s="10">
        <f>HYPERLINK("http://www.lingerieopt.ru/images/original/2da5f06e-a048-49ab-8643-b9e7bc947f5e.jpg","Фото")</f>
      </c>
    </row>
    <row r="10324">
      <c r="A10324" s="7">
        <f>HYPERLINK("http://www.lingerieopt.ru/item/839-kostyum-chernogo-krolika/","839")</f>
      </c>
      <c r="B10324" s="8" t="s">
        <v>9868</v>
      </c>
      <c r="C10324" s="9">
        <v>1105</v>
      </c>
      <c r="D10324" s="0">
        <v>0</v>
      </c>
      <c r="E10324" s="10">
        <f>HYPERLINK("http://www.lingerieopt.ru/images/original/2da5f06e-a048-49ab-8643-b9e7bc947f5e.jpg","Фото")</f>
      </c>
    </row>
    <row r="10325">
      <c r="A10325" s="7">
        <f>HYPERLINK("http://www.lingerieopt.ru/item/845-kostyum-zaiki/","845")</f>
      </c>
      <c r="B10325" s="8" t="s">
        <v>9869</v>
      </c>
      <c r="C10325" s="9">
        <v>1434</v>
      </c>
      <c r="D10325" s="0">
        <v>20</v>
      </c>
      <c r="E10325" s="10">
        <f>HYPERLINK("http://www.lingerieopt.ru/images/original/df280007-7109-427b-acce-4d42eed2846f.jpg","Фото")</f>
      </c>
    </row>
    <row r="10326">
      <c r="A10326" s="7">
        <f>HYPERLINK("http://www.lingerieopt.ru/item/845-kostyum-zaiki/","845")</f>
      </c>
      <c r="B10326" s="8" t="s">
        <v>9870</v>
      </c>
      <c r="C10326" s="9">
        <v>1434</v>
      </c>
      <c r="D10326" s="0">
        <v>1</v>
      </c>
      <c r="E10326" s="10">
        <f>HYPERLINK("http://www.lingerieopt.ru/images/original/df280007-7109-427b-acce-4d42eed2846f.jpg","Фото")</f>
      </c>
    </row>
    <row r="10327">
      <c r="A10327" s="7">
        <f>HYPERLINK("http://www.lingerieopt.ru/item/845-kostyum-zaiki/","845")</f>
      </c>
      <c r="B10327" s="8" t="s">
        <v>9871</v>
      </c>
      <c r="C10327" s="9">
        <v>1434</v>
      </c>
      <c r="D10327" s="0">
        <v>5</v>
      </c>
      <c r="E10327" s="10">
        <f>HYPERLINK("http://www.lingerieopt.ru/images/original/df280007-7109-427b-acce-4d42eed2846f.jpg","Фото")</f>
      </c>
    </row>
    <row r="10328">
      <c r="A10328" s="7">
        <f>HYPERLINK("http://www.lingerieopt.ru/item/2118-ushki-zaichika-s-serdechkom/","2118")</f>
      </c>
      <c r="B10328" s="8" t="s">
        <v>9872</v>
      </c>
      <c r="C10328" s="9">
        <v>91</v>
      </c>
      <c r="D10328" s="0">
        <v>20</v>
      </c>
      <c r="E10328" s="10">
        <f>HYPERLINK("http://www.lingerieopt.ru/images/original/be7d6ccc-1b1d-4bef-b0f8-319c9e46e3b7.jpg","Фото")</f>
      </c>
    </row>
    <row r="10329">
      <c r="A10329" s="7">
        <f>HYPERLINK("http://www.lingerieopt.ru/item/2298-kostyum-pretty-bunny/","2298")</f>
      </c>
      <c r="B10329" s="8" t="s">
        <v>9873</v>
      </c>
      <c r="C10329" s="9">
        <v>1136</v>
      </c>
      <c r="D10329" s="0">
        <v>1</v>
      </c>
      <c r="E10329" s="10">
        <f>HYPERLINK("http://www.lingerieopt.ru/images/original/8a4a4f7b-d18b-406d-af34-c4b065892212.jpg","Фото")</f>
      </c>
    </row>
    <row r="10330">
      <c r="A10330" s="7">
        <f>HYPERLINK("http://www.lingerieopt.ru/item/2298-kostyum-pretty-bunny/","2298")</f>
      </c>
      <c r="B10330" s="8" t="s">
        <v>9874</v>
      </c>
      <c r="C10330" s="9">
        <v>1136</v>
      </c>
      <c r="D10330" s="0">
        <v>0</v>
      </c>
      <c r="E10330" s="10">
        <f>HYPERLINK("http://www.lingerieopt.ru/images/original/8a4a4f7b-d18b-406d-af34-c4b065892212.jpg","Фото")</f>
      </c>
    </row>
    <row r="10331">
      <c r="A10331" s="7">
        <f>HYPERLINK("http://www.lingerieopt.ru/item/2662-kostyum-chernogo-zaichika-playboy/","2662")</f>
      </c>
      <c r="B10331" s="8" t="s">
        <v>9875</v>
      </c>
      <c r="C10331" s="9">
        <v>928</v>
      </c>
      <c r="D10331" s="0">
        <v>9</v>
      </c>
      <c r="E10331" s="10">
        <f>HYPERLINK("http://www.lingerieopt.ru/images/original/69a826f9-3ae4-4ab6-a397-53fda8a609d0.jpg","Фото")</f>
      </c>
    </row>
    <row r="10332">
      <c r="A10332" s="7">
        <f>HYPERLINK("http://www.lingerieopt.ru/item/2756-kostyum-zaichika-iz-5-predmetov/","2756")</f>
      </c>
      <c r="B10332" s="8" t="s">
        <v>9876</v>
      </c>
      <c r="C10332" s="9">
        <v>988</v>
      </c>
      <c r="D10332" s="0">
        <v>0</v>
      </c>
      <c r="E10332" s="10">
        <f>HYPERLINK("http://www.lingerieopt.ru/images/original/ab700310-7f31-4816-85aa-735300b7efa0.jpg","Фото")</f>
      </c>
    </row>
    <row r="10333">
      <c r="A10333" s="7">
        <f>HYPERLINK("http://www.lingerieopt.ru/item/2756-kostyum-zaichika-iz-5-predmetov/","2756")</f>
      </c>
      <c r="B10333" s="8" t="s">
        <v>9877</v>
      </c>
      <c r="C10333" s="9">
        <v>988</v>
      </c>
      <c r="D10333" s="0">
        <v>1</v>
      </c>
      <c r="E10333" s="10">
        <f>HYPERLINK("http://www.lingerieopt.ru/images/original/ab700310-7f31-4816-85aa-735300b7efa0.jpg","Фото")</f>
      </c>
    </row>
    <row r="10334">
      <c r="A10334" s="7">
        <f>HYPERLINK("http://www.lingerieopt.ru/item/3712-kostyum-ocharovatelnoi-zaiki/","3712")</f>
      </c>
      <c r="B10334" s="8" t="s">
        <v>9878</v>
      </c>
      <c r="C10334" s="9">
        <v>1399</v>
      </c>
      <c r="D10334" s="0">
        <v>6</v>
      </c>
      <c r="E10334" s="10">
        <f>HYPERLINK("http://www.lingerieopt.ru/images/original/dc8b5252-9b6a-4b30-89eb-206e9b10f081.jpg","Фото")</f>
      </c>
    </row>
    <row r="10335">
      <c r="A10335" s="7">
        <f>HYPERLINK("http://www.lingerieopt.ru/item/4651-igrivoe-bodi-zaiki-s-aksessuarami/","4651")</f>
      </c>
      <c r="B10335" s="8" t="s">
        <v>9879</v>
      </c>
      <c r="C10335" s="9">
        <v>2437</v>
      </c>
      <c r="D10335" s="0">
        <v>3</v>
      </c>
      <c r="E10335" s="10">
        <f>HYPERLINK("http://www.lingerieopt.ru/images/original/de85f261-6920-4e2b-b409-e128d2ba5a08.jpg","Фото")</f>
      </c>
    </row>
    <row r="10336">
      <c r="A10336" s="7">
        <f>HYPERLINK("http://www.lingerieopt.ru/item/4948-belji-kostyum-zaiki/","4948")</f>
      </c>
      <c r="B10336" s="8" t="s">
        <v>9880</v>
      </c>
      <c r="C10336" s="9">
        <v>926</v>
      </c>
      <c r="D10336" s="0">
        <v>2</v>
      </c>
      <c r="E10336" s="10">
        <f>HYPERLINK("http://www.lingerieopt.ru/images/original/e7ecce80-d849-4cfb-be64-3d7e57372d7d.jpg","Фото")</f>
      </c>
    </row>
    <row r="10337">
      <c r="A10337" s="7">
        <f>HYPERLINK("http://www.lingerieopt.ru/item/8507-kostyum-zaiki-malloy-shortj-s-podtyazhkami-top-i-ushki/","8507")</f>
      </c>
      <c r="B10337" s="8" t="s">
        <v>9881</v>
      </c>
      <c r="C10337" s="9">
        <v>1299</v>
      </c>
      <c r="D10337" s="0">
        <v>6</v>
      </c>
      <c r="E10337" s="10">
        <f>HYPERLINK("http://www.lingerieopt.ru/images/original/26639bab-a497-428b-9ca8-de48eaa7e535.jpg","Фото")</f>
      </c>
    </row>
    <row r="10338">
      <c r="A10338" s="7">
        <f>HYPERLINK("http://www.lingerieopt.ru/item/8507-kostyum-zaiki-malloy-shortj-s-podtyazhkami-top-i-ushki/","8507")</f>
      </c>
      <c r="B10338" s="8" t="s">
        <v>9882</v>
      </c>
      <c r="C10338" s="9">
        <v>1299</v>
      </c>
      <c r="D10338" s="0">
        <v>5</v>
      </c>
      <c r="E10338" s="10">
        <f>HYPERLINK("http://www.lingerieopt.ru/images/original/26639bab-a497-428b-9ca8-de48eaa7e535.jpg","Фото")</f>
      </c>
    </row>
    <row r="10339">
      <c r="A10339" s="7">
        <f>HYPERLINK("http://www.lingerieopt.ru/item/8528-kostyum-zaiki-magnetica/","8528")</f>
      </c>
      <c r="B10339" s="8" t="s">
        <v>9883</v>
      </c>
      <c r="C10339" s="9">
        <v>1299</v>
      </c>
      <c r="D10339" s="0">
        <v>4</v>
      </c>
      <c r="E10339" s="10">
        <f>HYPERLINK("http://www.lingerieopt.ru/images/original/40f2ab9b-5f7e-447f-9364-a927e7c22106.jpg","Фото")</f>
      </c>
    </row>
    <row r="10340">
      <c r="A10340" s="7">
        <f>HYPERLINK("http://www.lingerieopt.ru/item/8528-kostyum-zaiki-magnetica/","8528")</f>
      </c>
      <c r="B10340" s="8" t="s">
        <v>9884</v>
      </c>
      <c r="C10340" s="9">
        <v>1299</v>
      </c>
      <c r="D10340" s="0">
        <v>5</v>
      </c>
      <c r="E10340" s="10">
        <f>HYPERLINK("http://www.lingerieopt.ru/images/original/40f2ab9b-5f7e-447f-9364-a927e7c22106.jpg","Фото")</f>
      </c>
    </row>
    <row r="10341">
      <c r="A10341" s="7">
        <f>HYPERLINK("http://www.lingerieopt.ru/item/8896-kostyum-chernoi-zaiki/","8896")</f>
      </c>
      <c r="B10341" s="8" t="s">
        <v>9885</v>
      </c>
      <c r="C10341" s="9">
        <v>2200</v>
      </c>
      <c r="D10341" s="0">
        <v>0</v>
      </c>
      <c r="E10341" s="10">
        <f>HYPERLINK("http://www.lingerieopt.ru/images/original/fd86bc15-4834-4d25-a48a-5eecb7b79c94.jpg","Фото")</f>
      </c>
    </row>
    <row r="10342">
      <c r="A10342" s="7">
        <f>HYPERLINK("http://www.lingerieopt.ru/item/8896-kostyum-chernoi-zaiki/","8896")</f>
      </c>
      <c r="B10342" s="8" t="s">
        <v>9886</v>
      </c>
      <c r="C10342" s="9">
        <v>2200</v>
      </c>
      <c r="D10342" s="0">
        <v>2</v>
      </c>
      <c r="E10342" s="10">
        <f>HYPERLINK("http://www.lingerieopt.ru/images/original/fd86bc15-4834-4d25-a48a-5eecb7b79c94.jpg","Фото")</f>
      </c>
    </row>
    <row r="10343">
      <c r="A10343" s="7">
        <f>HYPERLINK("http://www.lingerieopt.ru/item/8996-igrivji-kostyum-zaiki/","8996")</f>
      </c>
      <c r="B10343" s="8" t="s">
        <v>9887</v>
      </c>
      <c r="C10343" s="9">
        <v>1955</v>
      </c>
      <c r="D10343" s="0">
        <v>0</v>
      </c>
      <c r="E10343" s="10">
        <f>HYPERLINK("http://www.lingerieopt.ru/images/original/a893373a-32ad-49ba-8de9-ebf023de3514.jpg","Фото")</f>
      </c>
    </row>
    <row r="10344">
      <c r="A10344" s="7">
        <f>HYPERLINK("http://www.lingerieopt.ru/item/8996-igrivji-kostyum-zaiki/","8996")</f>
      </c>
      <c r="B10344" s="8" t="s">
        <v>9888</v>
      </c>
      <c r="C10344" s="9">
        <v>1955</v>
      </c>
      <c r="D10344" s="0">
        <v>2</v>
      </c>
      <c r="E10344" s="10">
        <f>HYPERLINK("http://www.lingerieopt.ru/images/original/a893373a-32ad-49ba-8de9-ebf023de3514.jpg","Фото")</f>
      </c>
    </row>
    <row r="10345">
      <c r="A10345" s="7">
        <f>HYPERLINK("http://www.lingerieopt.ru/item/10067-kostyum-zaiki-malloy-plus-size-shortj-s-podtyazhkami-top-i-zayachi-ushki/","10067")</f>
      </c>
      <c r="B10345" s="8" t="s">
        <v>9889</v>
      </c>
      <c r="C10345" s="9">
        <v>1299</v>
      </c>
      <c r="D10345" s="0">
        <v>1</v>
      </c>
      <c r="E10345" s="10">
        <f>HYPERLINK("http://www.lingerieopt.ru/images/original/ea81d75e-73be-4b39-a9ce-0baa99165382.jpg","Фото")</f>
      </c>
    </row>
    <row r="10346">
      <c r="A10346" s="7">
        <f>HYPERLINK("http://www.lingerieopt.ru/item/10089-kostyum-miloi-zaiki-magnetica-plus-size/","10089")</f>
      </c>
      <c r="B10346" s="8" t="s">
        <v>9890</v>
      </c>
      <c r="C10346" s="9">
        <v>1299</v>
      </c>
      <c r="D10346" s="0">
        <v>3</v>
      </c>
      <c r="E10346" s="10">
        <f>HYPERLINK("http://www.lingerieopt.ru/images/original/2be43141-e00f-4f31-a608-5bfdd8f186c6.jpg","Фото")</f>
      </c>
    </row>
    <row r="10347">
      <c r="A10347" s="7">
        <f>HYPERLINK("http://www.lingerieopt.ru/item/11120-cherno-belji-kostyum-zaiki/","11120")</f>
      </c>
      <c r="B10347" s="8" t="s">
        <v>9891</v>
      </c>
      <c r="C10347" s="9">
        <v>3217</v>
      </c>
      <c r="D10347" s="0">
        <v>5</v>
      </c>
      <c r="E10347" s="10">
        <f>HYPERLINK("http://www.lingerieopt.ru/images/original/94b5f9c6-dca7-471e-8958-c35c8ff0bcce.jpg","Фото")</f>
      </c>
    </row>
    <row r="10348">
      <c r="A10348" s="7">
        <f>HYPERLINK("http://www.lingerieopt.ru/item/11120-cherno-belji-kostyum-zaiki/","11120")</f>
      </c>
      <c r="B10348" s="8" t="s">
        <v>9892</v>
      </c>
      <c r="C10348" s="9">
        <v>3217</v>
      </c>
      <c r="D10348" s="0">
        <v>5</v>
      </c>
      <c r="E10348" s="10">
        <f>HYPERLINK("http://www.lingerieopt.ru/images/original/94b5f9c6-dca7-471e-8958-c35c8ff0bcce.jpg","Фото")</f>
      </c>
    </row>
    <row r="10349">
      <c r="A10349" s="7">
        <f>HYPERLINK("http://www.lingerieopt.ru/item/11120-cherno-belji-kostyum-zaiki/","11120")</f>
      </c>
      <c r="B10349" s="8" t="s">
        <v>9893</v>
      </c>
      <c r="C10349" s="9">
        <v>3217</v>
      </c>
      <c r="D10349" s="0">
        <v>3</v>
      </c>
      <c r="E10349" s="10">
        <f>HYPERLINK("http://www.lingerieopt.ru/images/original/94b5f9c6-dca7-471e-8958-c35c8ff0bcce.jpg","Фото")</f>
      </c>
    </row>
    <row r="10350">
      <c r="A10350" s="7">
        <f>HYPERLINK("http://www.lingerieopt.ru/item/11120-cherno-belji-kostyum-zaiki/","11120")</f>
      </c>
      <c r="B10350" s="8" t="s">
        <v>9894</v>
      </c>
      <c r="C10350" s="9">
        <v>3217</v>
      </c>
      <c r="D10350" s="0">
        <v>5</v>
      </c>
      <c r="E10350" s="10">
        <f>HYPERLINK("http://www.lingerieopt.ru/images/original/94b5f9c6-dca7-471e-8958-c35c8ff0bcce.jpg","Фото")</f>
      </c>
    </row>
    <row r="10351">
      <c r="A10351" s="7">
        <f>HYPERLINK("http://www.lingerieopt.ru/item/11202-kostyum-chernogo-zaichika/","11202")</f>
      </c>
      <c r="B10351" s="8" t="s">
        <v>9895</v>
      </c>
      <c r="C10351" s="9">
        <v>1296</v>
      </c>
      <c r="D10351" s="0">
        <v>3</v>
      </c>
      <c r="E10351" s="10">
        <f>HYPERLINK("http://www.lingerieopt.ru/images/original/21b48806-a202-4bc6-a87e-f136983db057.jpg","Фото")</f>
      </c>
    </row>
    <row r="10352">
      <c r="A10352" s="5"/>
      <c r="B10352" s="6" t="s">
        <v>9896</v>
      </c>
      <c r="C10352" s="5"/>
      <c r="D10352" s="5"/>
      <c r="E10352" s="5"/>
    </row>
    <row r="10353">
      <c r="A10353" s="7">
        <f>HYPERLINK("http://www.lingerieopt.ru/item/764-kostyum-kisj/","764")</f>
      </c>
      <c r="B10353" s="8" t="s">
        <v>9897</v>
      </c>
      <c r="C10353" s="9">
        <v>1941</v>
      </c>
      <c r="D10353" s="0">
        <v>2</v>
      </c>
      <c r="E10353" s="10">
        <f>HYPERLINK("http://www.lingerieopt.ru/images/original/9505841f-d875-4de2-8118-fd4aa2d461a6.jpg","Фото")</f>
      </c>
    </row>
    <row r="10354">
      <c r="A10354" s="7">
        <f>HYPERLINK("http://www.lingerieopt.ru/item/764-kostyum-kisj/","764")</f>
      </c>
      <c r="B10354" s="8" t="s">
        <v>9898</v>
      </c>
      <c r="C10354" s="9">
        <v>1941</v>
      </c>
      <c r="D10354" s="0">
        <v>20</v>
      </c>
      <c r="E10354" s="10">
        <f>HYPERLINK("http://www.lingerieopt.ru/images/original/9505841f-d875-4de2-8118-fd4aa2d461a6.jpg","Фото")</f>
      </c>
    </row>
    <row r="10355">
      <c r="A10355" s="7">
        <f>HYPERLINK("http://www.lingerieopt.ru/item/764-kostyum-kisj/","764")</f>
      </c>
      <c r="B10355" s="8" t="s">
        <v>9899</v>
      </c>
      <c r="C10355" s="9">
        <v>1941</v>
      </c>
      <c r="D10355" s="0">
        <v>1</v>
      </c>
      <c r="E10355" s="10">
        <f>HYPERLINK("http://www.lingerieopt.ru/images/original/9505841f-d875-4de2-8118-fd4aa2d461a6.jpg","Фото")</f>
      </c>
    </row>
    <row r="10356">
      <c r="A10356" s="7">
        <f>HYPERLINK("http://www.lingerieopt.ru/item/942-kostyum-chernoi-koshki/","942")</f>
      </c>
      <c r="B10356" s="8" t="s">
        <v>9900</v>
      </c>
      <c r="C10356" s="9">
        <v>2205</v>
      </c>
      <c r="D10356" s="0">
        <v>9</v>
      </c>
      <c r="E10356" s="10">
        <f>HYPERLINK("http://www.lingerieopt.ru/images/original/19ca891d-95aa-453c-b79e-80969610934d.jpg","Фото")</f>
      </c>
    </row>
    <row r="10357">
      <c r="A10357" s="7">
        <f>HYPERLINK("http://www.lingerieopt.ru/item/942-kostyum-chernoi-koshki/","942")</f>
      </c>
      <c r="B10357" s="8" t="s">
        <v>9901</v>
      </c>
      <c r="C10357" s="9">
        <v>2205</v>
      </c>
      <c r="D10357" s="0">
        <v>0</v>
      </c>
      <c r="E10357" s="10">
        <f>HYPERLINK("http://www.lingerieopt.ru/images/original/19ca891d-95aa-453c-b79e-80969610934d.jpg","Фото")</f>
      </c>
    </row>
    <row r="10358">
      <c r="A10358" s="7">
        <f>HYPERLINK("http://www.lingerieopt.ru/item/2120-chernje-ushki-koshki-s-rozovjmi-vstavkami/","2120")</f>
      </c>
      <c r="B10358" s="8" t="s">
        <v>9902</v>
      </c>
      <c r="C10358" s="9">
        <v>165</v>
      </c>
      <c r="D10358" s="0">
        <v>20</v>
      </c>
      <c r="E10358" s="10">
        <f>HYPERLINK("http://www.lingerieopt.ru/images/original/ccde6b48-cd25-4d1b-a35c-f800177f6a64.jpg","Фото")</f>
      </c>
    </row>
    <row r="10359">
      <c r="A10359" s="7">
        <f>HYPERLINK("http://www.lingerieopt.ru/item/2299-cherno-rozovji-kostyum-pretty-kitty/","2299")</f>
      </c>
      <c r="B10359" s="8" t="s">
        <v>9903</v>
      </c>
      <c r="C10359" s="9">
        <v>907</v>
      </c>
      <c r="D10359" s="0">
        <v>0</v>
      </c>
      <c r="E10359" s="10">
        <f>HYPERLINK("http://www.lingerieopt.ru/images/original/4ffe52d8-1529-4de3-b7de-e2ef0afd6e70.jpg","Фото")</f>
      </c>
    </row>
    <row r="10360">
      <c r="A10360" s="7">
        <f>HYPERLINK("http://www.lingerieopt.ru/item/2299-cherno-rozovji-kostyum-pretty-kitty/","2299")</f>
      </c>
      <c r="B10360" s="8" t="s">
        <v>9904</v>
      </c>
      <c r="C10360" s="9">
        <v>907</v>
      </c>
      <c r="D10360" s="0">
        <v>1</v>
      </c>
      <c r="E10360" s="10">
        <f>HYPERLINK("http://www.lingerieopt.ru/images/original/4ffe52d8-1529-4de3-b7de-e2ef0afd6e70.jpg","Фото")</f>
      </c>
    </row>
    <row r="10361">
      <c r="A10361" s="7">
        <f>HYPERLINK("http://www.lingerieopt.ru/item/2467-kostyum-koshechki/","2467")</f>
      </c>
      <c r="B10361" s="8" t="s">
        <v>9905</v>
      </c>
      <c r="C10361" s="9">
        <v>2489</v>
      </c>
      <c r="D10361" s="0">
        <v>3</v>
      </c>
      <c r="E10361" s="10">
        <f>HYPERLINK("http://www.lingerieopt.ru/images/original/cc86a61a-72b9-42dc-9dc0-cf6a10ec1d0d.jpg","Фото")</f>
      </c>
    </row>
    <row r="10362">
      <c r="A10362" s="7">
        <f>HYPERLINK("http://www.lingerieopt.ru/item/2467-kostyum-koshechki/","2467")</f>
      </c>
      <c r="B10362" s="8" t="s">
        <v>9906</v>
      </c>
      <c r="C10362" s="9">
        <v>2489</v>
      </c>
      <c r="D10362" s="0">
        <v>3</v>
      </c>
      <c r="E10362" s="10">
        <f>HYPERLINK("http://www.lingerieopt.ru/images/original/cc86a61a-72b9-42dc-9dc0-cf6a10ec1d0d.jpg","Фото")</f>
      </c>
    </row>
    <row r="10363">
      <c r="A10363" s="7">
        <f>HYPERLINK("http://www.lingerieopt.ru/item/2467-kostyum-koshechki/","2467")</f>
      </c>
      <c r="B10363" s="8" t="s">
        <v>9907</v>
      </c>
      <c r="C10363" s="9">
        <v>2489</v>
      </c>
      <c r="D10363" s="0">
        <v>8</v>
      </c>
      <c r="E10363" s="10">
        <f>HYPERLINK("http://www.lingerieopt.ru/images/original/cc86a61a-72b9-42dc-9dc0-cf6a10ec1d0d.jpg","Фото")</f>
      </c>
    </row>
    <row r="10364">
      <c r="A10364" s="7">
        <f>HYPERLINK("http://www.lingerieopt.ru/item/2746-kostyum-koshki/","2746")</f>
      </c>
      <c r="B10364" s="8" t="s">
        <v>9908</v>
      </c>
      <c r="C10364" s="9">
        <v>1601</v>
      </c>
      <c r="D10364" s="0">
        <v>11</v>
      </c>
      <c r="E10364" s="10">
        <f>HYPERLINK("http://www.lingerieopt.ru/images/original/e35d04a4-9185-4742-886e-d5ad48119df0.jpg","Фото")</f>
      </c>
    </row>
    <row r="10365">
      <c r="A10365" s="7">
        <f>HYPERLINK("http://www.lingerieopt.ru/item/2824-kostyum-leopardovoi-koshki/","2824")</f>
      </c>
      <c r="B10365" s="8" t="s">
        <v>9909</v>
      </c>
      <c r="C10365" s="9">
        <v>1185</v>
      </c>
      <c r="D10365" s="0">
        <v>7</v>
      </c>
      <c r="E10365" s="10">
        <f>HYPERLINK("http://www.lingerieopt.ru/images/original/c8795a92-4ce2-4e72-ae73-636698dcda00.jpg","Фото")</f>
      </c>
    </row>
    <row r="10366">
      <c r="A10366" s="7">
        <f>HYPERLINK("http://www.lingerieopt.ru/item/3359-igrovoi-kostyum-koshechki-sweet-kiki/","3359")</f>
      </c>
      <c r="B10366" s="8" t="s">
        <v>9910</v>
      </c>
      <c r="C10366" s="9">
        <v>1225</v>
      </c>
      <c r="D10366" s="0">
        <v>4</v>
      </c>
      <c r="E10366" s="10">
        <f>HYPERLINK("http://www.lingerieopt.ru/images/original/97a52b46-a210-493c-b832-bfb42924ad59.jpg","Фото")</f>
      </c>
    </row>
    <row r="10367">
      <c r="A10367" s="7">
        <f>HYPERLINK("http://www.lingerieopt.ru/item/3359-igrovoi-kostyum-koshechki-sweet-kiki/","3359")</f>
      </c>
      <c r="B10367" s="8" t="s">
        <v>9911</v>
      </c>
      <c r="C10367" s="9">
        <v>1225</v>
      </c>
      <c r="D10367" s="0">
        <v>0</v>
      </c>
      <c r="E10367" s="10">
        <f>HYPERLINK("http://www.lingerieopt.ru/images/original/97a52b46-a210-493c-b832-bfb42924ad59.jpg","Фото")</f>
      </c>
    </row>
    <row r="10368">
      <c r="A10368" s="7">
        <f>HYPERLINK("http://www.lingerieopt.ru/item/4084-leopardovoe-bodi-s-hvostikom-i-ushkami/","4084")</f>
      </c>
      <c r="B10368" s="8" t="s">
        <v>91</v>
      </c>
      <c r="C10368" s="9">
        <v>2437</v>
      </c>
      <c r="D10368" s="0">
        <v>6</v>
      </c>
      <c r="E10368" s="10">
        <f>HYPERLINK("http://www.lingerieopt.ru/images/original/94610489-ba09-42cf-8309-b0a420eb8d4d.jpg","Фото")</f>
      </c>
    </row>
    <row r="10369">
      <c r="A10369" s="7">
        <f>HYPERLINK("http://www.lingerieopt.ru/item/5043-cherno-belji-komplekt-koshechki-pretty-kitty/","5043")</f>
      </c>
      <c r="B10369" s="8" t="s">
        <v>9912</v>
      </c>
      <c r="C10369" s="9">
        <v>1226</v>
      </c>
      <c r="D10369" s="0">
        <v>5</v>
      </c>
      <c r="E10369" s="10">
        <f>HYPERLINK("http://www.lingerieopt.ru/images/original/8dc3c1a6-17b6-4e18-938d-3ccd19643bce.jpg","Фото")</f>
      </c>
    </row>
    <row r="10370">
      <c r="A10370" s="7">
        <f>HYPERLINK("http://www.lingerieopt.ru/item/5043-cherno-belji-komplekt-koshechki-pretty-kitty/","5043")</f>
      </c>
      <c r="B10370" s="8" t="s">
        <v>9913</v>
      </c>
      <c r="C10370" s="9">
        <v>1226</v>
      </c>
      <c r="D10370" s="0">
        <v>3</v>
      </c>
      <c r="E10370" s="10">
        <f>HYPERLINK("http://www.lingerieopt.ru/images/original/8dc3c1a6-17b6-4e18-938d-3ccd19643bce.jpg","Фото")</f>
      </c>
    </row>
    <row r="10371">
      <c r="A10371" s="7">
        <f>HYPERLINK("http://www.lingerieopt.ru/item/5072-plate-tigricj/","5072")</f>
      </c>
      <c r="B10371" s="8" t="s">
        <v>9914</v>
      </c>
      <c r="C10371" s="9">
        <v>1787</v>
      </c>
      <c r="D10371" s="0">
        <v>30</v>
      </c>
      <c r="E10371" s="10">
        <f>HYPERLINK("http://www.lingerieopt.ru/images/original/24bb4912-96b5-45d1-98f4-d6b28984d9d1.jpg","Фото")</f>
      </c>
    </row>
    <row r="10372">
      <c r="A10372" s="7">
        <f>HYPERLINK("http://www.lingerieopt.ru/item/7215-maska-s-koshachimi-ushkami-iz-strep-lent/","7215")</f>
      </c>
      <c r="B10372" s="8" t="s">
        <v>9915</v>
      </c>
      <c r="C10372" s="9">
        <v>635</v>
      </c>
      <c r="D10372" s="0">
        <v>4</v>
      </c>
      <c r="E10372" s="10">
        <f>HYPERLINK("http://www.lingerieopt.ru/images/original/fc94a336-026f-408a-b399-2ade75f1a85a.jpg","Фото")</f>
      </c>
    </row>
    <row r="10373">
      <c r="A10373" s="7">
        <f>HYPERLINK("http://www.lingerieopt.ru/item/7215-maska-s-koshachimi-ushkami-iz-strep-lent/","7215")</f>
      </c>
      <c r="B10373" s="8" t="s">
        <v>9916</v>
      </c>
      <c r="C10373" s="9">
        <v>635</v>
      </c>
      <c r="D10373" s="0">
        <v>1</v>
      </c>
      <c r="E10373" s="10">
        <f>HYPERLINK("http://www.lingerieopt.ru/images/original/fc94a336-026f-408a-b399-2ade75f1a85a.jpg","Фото")</f>
      </c>
    </row>
    <row r="10374">
      <c r="A10374" s="7">
        <f>HYPERLINK("http://www.lingerieopt.ru/item/7215-maska-s-koshachimi-ushkami-iz-strep-lent/","7215")</f>
      </c>
      <c r="B10374" s="8" t="s">
        <v>9917</v>
      </c>
      <c r="C10374" s="9">
        <v>635</v>
      </c>
      <c r="D10374" s="0">
        <v>0</v>
      </c>
      <c r="E10374" s="10">
        <f>HYPERLINK("http://www.lingerieopt.ru/images/original/fc94a336-026f-408a-b399-2ade75f1a85a.jpg","Фото")</f>
      </c>
    </row>
    <row r="10375">
      <c r="A10375" s="7">
        <f>HYPERLINK("http://www.lingerieopt.ru/item/8306-chernaya-maska-koshechki-s-ushkami-i-setkoi/","8306")</f>
      </c>
      <c r="B10375" s="8" t="s">
        <v>9918</v>
      </c>
      <c r="C10375" s="9">
        <v>584</v>
      </c>
      <c r="D10375" s="0">
        <v>4</v>
      </c>
      <c r="E10375" s="10">
        <f>HYPERLINK("http://www.lingerieopt.ru/images/original/cbeaae3d-6604-4593-a419-f42067037a2f.jpg","Фото")</f>
      </c>
    </row>
    <row r="10376">
      <c r="A10376" s="7">
        <f>HYPERLINK("http://www.lingerieopt.ru/item/8306-chernaya-maska-koshechki-s-ushkami-i-setkoi/","8306")</f>
      </c>
      <c r="B10376" s="8" t="s">
        <v>9919</v>
      </c>
      <c r="C10376" s="9">
        <v>584</v>
      </c>
      <c r="D10376" s="0">
        <v>0</v>
      </c>
      <c r="E10376" s="10">
        <f>HYPERLINK("http://www.lingerieopt.ru/images/original/cbeaae3d-6604-4593-a419-f42067037a2f.jpg","Фото")</f>
      </c>
    </row>
    <row r="10377">
      <c r="A10377" s="7">
        <f>HYPERLINK("http://www.lingerieopt.ru/item/8307-chernaya-maska-s-ushkami-i-bolshimi-prorezyami-dlya-glaz/","8307")</f>
      </c>
      <c r="B10377" s="8" t="s">
        <v>9920</v>
      </c>
      <c r="C10377" s="9">
        <v>597</v>
      </c>
      <c r="D10377" s="0">
        <v>11</v>
      </c>
      <c r="E10377" s="10">
        <f>HYPERLINK("http://www.lingerieopt.ru/images/original/2e245abd-3f9a-49b8-bedd-85433d93ee70.jpg","Фото")</f>
      </c>
    </row>
    <row r="10378">
      <c r="A10378" s="7">
        <f>HYPERLINK("http://www.lingerieopt.ru/item/8307-chernaya-maska-s-ushkami-i-bolshimi-prorezyami-dlya-glaz/","8307")</f>
      </c>
      <c r="B10378" s="8" t="s">
        <v>9921</v>
      </c>
      <c r="C10378" s="9">
        <v>597</v>
      </c>
      <c r="D10378" s="0">
        <v>0</v>
      </c>
      <c r="E10378" s="10">
        <f>HYPERLINK("http://www.lingerieopt.ru/images/original/2e245abd-3f9a-49b8-bedd-85433d93ee70.jpg","Фото")</f>
      </c>
    </row>
    <row r="10379">
      <c r="A10379" s="7">
        <f>HYPERLINK("http://www.lingerieopt.ru/item/8308-maska-s-ushkami-i-prorezyami-dlya-glaz-otdelannjmi-kruzhevom/","8308")</f>
      </c>
      <c r="B10379" s="8" t="s">
        <v>9922</v>
      </c>
      <c r="C10379" s="9">
        <v>597</v>
      </c>
      <c r="D10379" s="0">
        <v>8</v>
      </c>
      <c r="E10379" s="10">
        <f>HYPERLINK("http://www.lingerieopt.ru/images/original/11df3388-9022-4d21-b971-fe447e7b5b9b.jpg","Фото")</f>
      </c>
    </row>
    <row r="10380">
      <c r="A10380" s="7">
        <f>HYPERLINK("http://www.lingerieopt.ru/item/8308-maska-s-ushkami-i-prorezyami-dlya-glaz-otdelannjmi-kruzhevom/","8308")</f>
      </c>
      <c r="B10380" s="8" t="s">
        <v>9923</v>
      </c>
      <c r="C10380" s="9">
        <v>597</v>
      </c>
      <c r="D10380" s="0">
        <v>0</v>
      </c>
      <c r="E10380" s="10">
        <f>HYPERLINK("http://www.lingerieopt.ru/images/original/11df3388-9022-4d21-b971-fe447e7b5b9b.jpg","Фото")</f>
      </c>
    </row>
    <row r="10381">
      <c r="A10381" s="7">
        <f>HYPERLINK("http://www.lingerieopt.ru/item/9169-kostyum-dikoi-koshki-gepardina/","9169")</f>
      </c>
      <c r="B10381" s="8" t="s">
        <v>9924</v>
      </c>
      <c r="C10381" s="9">
        <v>1726</v>
      </c>
      <c r="D10381" s="0">
        <v>0</v>
      </c>
      <c r="E10381" s="10">
        <f>HYPERLINK("http://www.lingerieopt.ru/images/original/104a5bd1-f1d4-4e30-b1b3-a0327a56fff9.jpg","Фото")</f>
      </c>
    </row>
    <row r="10382">
      <c r="A10382" s="7">
        <f>HYPERLINK("http://www.lingerieopt.ru/item/9169-kostyum-dikoi-koshki-gepardina/","9169")</f>
      </c>
      <c r="B10382" s="8" t="s">
        <v>9925</v>
      </c>
      <c r="C10382" s="9">
        <v>1726</v>
      </c>
      <c r="D10382" s="0">
        <v>10</v>
      </c>
      <c r="E10382" s="10">
        <f>HYPERLINK("http://www.lingerieopt.ru/images/original/104a5bd1-f1d4-4e30-b1b3-a0327a56fff9.jpg","Фото")</f>
      </c>
    </row>
    <row r="10383">
      <c r="A10383" s="7">
        <f>HYPERLINK("http://www.lingerieopt.ru/item/9280-igrovoi-kostyum-kisuli/","9280")</f>
      </c>
      <c r="B10383" s="8" t="s">
        <v>9926</v>
      </c>
      <c r="C10383" s="9">
        <v>2104</v>
      </c>
      <c r="D10383" s="0">
        <v>7</v>
      </c>
      <c r="E10383" s="10">
        <f>HYPERLINK("http://www.lingerieopt.ru/images/original/87f04b65-050e-4aa2-9483-ba44b27a2dc0.jpg","Фото")</f>
      </c>
    </row>
    <row r="10384">
      <c r="A10384" s="7">
        <f>HYPERLINK("http://www.lingerieopt.ru/item/9280-igrovoi-kostyum-kisuli/","9280")</f>
      </c>
      <c r="B10384" s="8" t="s">
        <v>9927</v>
      </c>
      <c r="C10384" s="9">
        <v>2104</v>
      </c>
      <c r="D10384" s="0">
        <v>7</v>
      </c>
      <c r="E10384" s="10">
        <f>HYPERLINK("http://www.lingerieopt.ru/images/original/87f04b65-050e-4aa2-9483-ba44b27a2dc0.jpg","Фото")</f>
      </c>
    </row>
    <row r="10385">
      <c r="A10385" s="7">
        <f>HYPERLINK("http://www.lingerieopt.ru/item/10962-maska-na-golovu-s-ushkami/","10962")</f>
      </c>
      <c r="B10385" s="8" t="s">
        <v>9928</v>
      </c>
      <c r="C10385" s="9">
        <v>1977</v>
      </c>
      <c r="D10385" s="0">
        <v>3</v>
      </c>
      <c r="E10385" s="10">
        <f>HYPERLINK("http://www.lingerieopt.ru/images/original/15eca2f0-2ae0-4fc8-9b36-ff1336b72786.jpg","Фото")</f>
      </c>
    </row>
    <row r="10386">
      <c r="A10386" s="7">
        <f>HYPERLINK("http://www.lingerieopt.ru/item/11129-kruzhevnoi-komplekt-belya-s-koshachimi-ushkami/","11129")</f>
      </c>
      <c r="B10386" s="8" t="s">
        <v>2692</v>
      </c>
      <c r="C10386" s="9">
        <v>1199</v>
      </c>
      <c r="D10386" s="0">
        <v>18</v>
      </c>
      <c r="E10386" s="10">
        <f>HYPERLINK("http://www.lingerieopt.ru/images/original/58cada8a-8320-41b0-a589-ef5a13019d31.jpg","Фото")</f>
      </c>
    </row>
    <row r="10387">
      <c r="A10387" s="7">
        <f>HYPERLINK("http://www.lingerieopt.ru/item/11310-kostyum-koshki-kitty/","11310")</f>
      </c>
      <c r="B10387" s="8" t="s">
        <v>9929</v>
      </c>
      <c r="C10387" s="9">
        <v>1375</v>
      </c>
      <c r="D10387" s="0">
        <v>4</v>
      </c>
      <c r="E10387" s="10">
        <f>HYPERLINK("http://www.lingerieopt.ru/images/original/0b432868-ddd0-42e5-b503-3c56a33ee9bd.jpg","Фото")</f>
      </c>
    </row>
    <row r="10388">
      <c r="A10388" s="5"/>
      <c r="B10388" s="6" t="s">
        <v>9930</v>
      </c>
      <c r="C10388" s="5"/>
      <c r="D10388" s="5"/>
      <c r="E10388" s="5"/>
    </row>
    <row r="10389">
      <c r="A10389" s="7">
        <f>HYPERLINK("http://www.lingerieopt.ru/item/136-kostyum-medsestrj-tina/","136")</f>
      </c>
      <c r="B10389" s="8" t="s">
        <v>9931</v>
      </c>
      <c r="C10389" s="9">
        <v>2309</v>
      </c>
      <c r="D10389" s="0">
        <v>3</v>
      </c>
      <c r="E10389" s="10">
        <f>HYPERLINK("http://www.lingerieopt.ru/images/original/5f8d5b2a-b28e-466e-bea1-39634c636079.jpg","Фото")</f>
      </c>
    </row>
    <row r="10390">
      <c r="A10390" s="7">
        <f>HYPERLINK("http://www.lingerieopt.ru/item/136-kostyum-medsestrj-tina/","136")</f>
      </c>
      <c r="B10390" s="8" t="s">
        <v>9932</v>
      </c>
      <c r="C10390" s="9">
        <v>2309</v>
      </c>
      <c r="D10390" s="0">
        <v>0</v>
      </c>
      <c r="E10390" s="10">
        <f>HYPERLINK("http://www.lingerieopt.ru/images/original/5f8d5b2a-b28e-466e-bea1-39634c636079.jpg","Фото")</f>
      </c>
    </row>
    <row r="10391">
      <c r="A10391" s="7">
        <f>HYPERLINK("http://www.lingerieopt.ru/item/136-kostyum-medsestrj-tina/","136")</f>
      </c>
      <c r="B10391" s="8" t="s">
        <v>9933</v>
      </c>
      <c r="C10391" s="9">
        <v>2309</v>
      </c>
      <c r="D10391" s="0">
        <v>4</v>
      </c>
      <c r="E10391" s="10">
        <f>HYPERLINK("http://www.lingerieopt.ru/images/original/5f8d5b2a-b28e-466e-bea1-39634c636079.jpg","Фото")</f>
      </c>
    </row>
    <row r="10392">
      <c r="A10392" s="7">
        <f>HYPERLINK("http://www.lingerieopt.ru/item/138-bodi-medsestrj-lea/","138")</f>
      </c>
      <c r="B10392" s="8" t="s">
        <v>18</v>
      </c>
      <c r="C10392" s="9">
        <v>1369</v>
      </c>
      <c r="D10392" s="0">
        <v>5</v>
      </c>
      <c r="E10392" s="10">
        <f>HYPERLINK("http://www.lingerieopt.ru/images/original/ed7e5018-d6ca-4241-bf84-facf3df274de.jpg","Фото")</f>
      </c>
    </row>
    <row r="10393">
      <c r="A10393" s="7">
        <f>HYPERLINK("http://www.lingerieopt.ru/item/138-bodi-medsestrj-lea/","138")</f>
      </c>
      <c r="B10393" s="8" t="s">
        <v>19</v>
      </c>
      <c r="C10393" s="9">
        <v>1369</v>
      </c>
      <c r="D10393" s="0">
        <v>5</v>
      </c>
      <c r="E10393" s="10">
        <f>HYPERLINK("http://www.lingerieopt.ru/images/original/ed7e5018-d6ca-4241-bf84-facf3df274de.jpg","Фото")</f>
      </c>
    </row>
    <row r="10394">
      <c r="A10394" s="7">
        <f>HYPERLINK("http://www.lingerieopt.ru/item/138-bodi-medsestrj-lea/","138")</f>
      </c>
      <c r="B10394" s="8" t="s">
        <v>16</v>
      </c>
      <c r="C10394" s="9">
        <v>1369</v>
      </c>
      <c r="D10394" s="0">
        <v>5</v>
      </c>
      <c r="E10394" s="10">
        <f>HYPERLINK("http://www.lingerieopt.ru/images/original/ed7e5018-d6ca-4241-bf84-facf3df274de.jpg","Фото")</f>
      </c>
    </row>
    <row r="10395">
      <c r="A10395" s="7">
        <f>HYPERLINK("http://www.lingerieopt.ru/item/138-bodi-medsestrj-lea/","138")</f>
      </c>
      <c r="B10395" s="8" t="s">
        <v>17</v>
      </c>
      <c r="C10395" s="9">
        <v>1369</v>
      </c>
      <c r="D10395" s="0">
        <v>5</v>
      </c>
      <c r="E10395" s="10">
        <f>HYPERLINK("http://www.lingerieopt.ru/images/original/ed7e5018-d6ca-4241-bf84-facf3df274de.jpg","Фото")</f>
      </c>
    </row>
    <row r="10396">
      <c r="A10396" s="7">
        <f>HYPERLINK("http://www.lingerieopt.ru/item/402-trusiki-s-prorezyu-skoraya-pomosch/","402")</f>
      </c>
      <c r="B10396" s="8" t="s">
        <v>6012</v>
      </c>
      <c r="C10396" s="9">
        <v>574</v>
      </c>
      <c r="D10396" s="0">
        <v>15</v>
      </c>
      <c r="E10396" s="10">
        <f>HYPERLINK("http://www.lingerieopt.ru/images/original/5196e5c7-4e19-4731-a519-d7c16630fd4b.jpg","Фото")</f>
      </c>
    </row>
    <row r="10397">
      <c r="A10397" s="7">
        <f>HYPERLINK("http://www.lingerieopt.ru/item/402-trusiki-s-prorezyu-skoraya-pomosch/","402")</f>
      </c>
      <c r="B10397" s="8" t="s">
        <v>6011</v>
      </c>
      <c r="C10397" s="9">
        <v>574</v>
      </c>
      <c r="D10397" s="0">
        <v>16</v>
      </c>
      <c r="E10397" s="10">
        <f>HYPERLINK("http://www.lingerieopt.ru/images/original/5196e5c7-4e19-4731-a519-d7c16630fd4b.jpg","Фото")</f>
      </c>
    </row>
    <row r="10398">
      <c r="A10398" s="7">
        <f>HYPERLINK("http://www.lingerieopt.ru/item/766-kostyum-doktora/","766")</f>
      </c>
      <c r="B10398" s="8" t="s">
        <v>9934</v>
      </c>
      <c r="C10398" s="9">
        <v>1663</v>
      </c>
      <c r="D10398" s="0">
        <v>6</v>
      </c>
      <c r="E10398" s="10">
        <f>HYPERLINK("http://www.lingerieopt.ru/images/original/c102a4e9-d695-4061-a0bb-501cf7ec83e9.jpg","Фото")</f>
      </c>
    </row>
    <row r="10399">
      <c r="A10399" s="7">
        <f>HYPERLINK("http://www.lingerieopt.ru/item/766-kostyum-doktora/","766")</f>
      </c>
      <c r="B10399" s="8" t="s">
        <v>9935</v>
      </c>
      <c r="C10399" s="9">
        <v>1663</v>
      </c>
      <c r="D10399" s="0">
        <v>0</v>
      </c>
      <c r="E10399" s="10">
        <f>HYPERLINK("http://www.lingerieopt.ru/images/original/c102a4e9-d695-4061-a0bb-501cf7ec83e9.jpg","Фото")</f>
      </c>
    </row>
    <row r="10400">
      <c r="A10400" s="7">
        <f>HYPERLINK("http://www.lingerieopt.ru/item/766-kostyum-doktora/","766")</f>
      </c>
      <c r="B10400" s="8" t="s">
        <v>9936</v>
      </c>
      <c r="C10400" s="9">
        <v>1663</v>
      </c>
      <c r="D10400" s="0">
        <v>10</v>
      </c>
      <c r="E10400" s="10">
        <f>HYPERLINK("http://www.lingerieopt.ru/images/original/c102a4e9-d695-4061-a0bb-501cf7ec83e9.jpg","Фото")</f>
      </c>
    </row>
    <row r="10401">
      <c r="A10401" s="7">
        <f>HYPERLINK("http://www.lingerieopt.ru/item/782-kostyum-medsestrj/","782")</f>
      </c>
      <c r="B10401" s="8" t="s">
        <v>9937</v>
      </c>
      <c r="C10401" s="9">
        <v>1898</v>
      </c>
      <c r="D10401" s="0">
        <v>11</v>
      </c>
      <c r="E10401" s="10">
        <f>HYPERLINK("http://www.lingerieopt.ru/images/original/d222960d-26d4-4dbd-b551-1e9017aa677b.jpg","Фото")</f>
      </c>
    </row>
    <row r="10402">
      <c r="A10402" s="7">
        <f>HYPERLINK("http://www.lingerieopt.ru/item/782-kostyum-medsestrj/","782")</f>
      </c>
      <c r="B10402" s="8" t="s">
        <v>9938</v>
      </c>
      <c r="C10402" s="9">
        <v>1898</v>
      </c>
      <c r="D10402" s="0">
        <v>1</v>
      </c>
      <c r="E10402" s="10">
        <f>HYPERLINK("http://www.lingerieopt.ru/images/original/d222960d-26d4-4dbd-b551-1e9017aa677b.jpg","Фото")</f>
      </c>
    </row>
    <row r="10403">
      <c r="A10403" s="7">
        <f>HYPERLINK("http://www.lingerieopt.ru/item/782-kostyum-medsestrj/","782")</f>
      </c>
      <c r="B10403" s="8" t="s">
        <v>9939</v>
      </c>
      <c r="C10403" s="9">
        <v>1898</v>
      </c>
      <c r="D10403" s="0">
        <v>7</v>
      </c>
      <c r="E10403" s="10">
        <f>HYPERLINK("http://www.lingerieopt.ru/images/original/d222960d-26d4-4dbd-b551-1e9017aa677b.jpg","Фото")</f>
      </c>
    </row>
    <row r="10404">
      <c r="A10404" s="7">
        <f>HYPERLINK("http://www.lingerieopt.ru/item/784-kostyum-medsestrj/","784")</f>
      </c>
      <c r="B10404" s="8" t="s">
        <v>9940</v>
      </c>
      <c r="C10404" s="9">
        <v>1548</v>
      </c>
      <c r="D10404" s="0">
        <v>20</v>
      </c>
      <c r="E10404" s="10">
        <f>HYPERLINK("http://www.lingerieopt.ru/images/original/06f28513-be5e-4ff4-9fcd-736d0b2b0338.jpg","Фото")</f>
      </c>
    </row>
    <row r="10405">
      <c r="A10405" s="7">
        <f>HYPERLINK("http://www.lingerieopt.ru/item/784-kostyum-medsestrj/","784")</f>
      </c>
      <c r="B10405" s="8" t="s">
        <v>9941</v>
      </c>
      <c r="C10405" s="9">
        <v>1548</v>
      </c>
      <c r="D10405" s="0">
        <v>7</v>
      </c>
      <c r="E10405" s="10">
        <f>HYPERLINK("http://www.lingerieopt.ru/images/original/06f28513-be5e-4ff4-9fcd-736d0b2b0338.jpg","Фото")</f>
      </c>
    </row>
    <row r="10406">
      <c r="A10406" s="7">
        <f>HYPERLINK("http://www.lingerieopt.ru/item/784-kostyum-medsestrj/","784")</f>
      </c>
      <c r="B10406" s="8" t="s">
        <v>9937</v>
      </c>
      <c r="C10406" s="9">
        <v>1548</v>
      </c>
      <c r="D10406" s="0">
        <v>1</v>
      </c>
      <c r="E10406" s="10">
        <f>HYPERLINK("http://www.lingerieopt.ru/images/original/06f28513-be5e-4ff4-9fcd-736d0b2b0338.jpg","Фото")</f>
      </c>
    </row>
    <row r="10407">
      <c r="A10407" s="7">
        <f>HYPERLINK("http://www.lingerieopt.ru/item/785-kostyum-medsestrj/","785")</f>
      </c>
      <c r="B10407" s="8" t="s">
        <v>9942</v>
      </c>
      <c r="C10407" s="9">
        <v>1590</v>
      </c>
      <c r="D10407" s="0">
        <v>20</v>
      </c>
      <c r="E10407" s="10">
        <f>HYPERLINK("http://www.lingerieopt.ru/images/original/fa6cce76-d5cb-42fb-8d1b-bf0fa1bf14a4.jpg","Фото")</f>
      </c>
    </row>
    <row r="10408">
      <c r="A10408" s="7">
        <f>HYPERLINK("http://www.lingerieopt.ru/item/785-kostyum-medsestrj/","785")</f>
      </c>
      <c r="B10408" s="8" t="s">
        <v>9938</v>
      </c>
      <c r="C10408" s="9">
        <v>1590</v>
      </c>
      <c r="D10408" s="0">
        <v>0</v>
      </c>
      <c r="E10408" s="10">
        <f>HYPERLINK("http://www.lingerieopt.ru/images/original/fa6cce76-d5cb-42fb-8d1b-bf0fa1bf14a4.jpg","Фото")</f>
      </c>
    </row>
    <row r="10409">
      <c r="A10409" s="7">
        <f>HYPERLINK("http://www.lingerieopt.ru/item/785-kostyum-medsestrj/","785")</f>
      </c>
      <c r="B10409" s="8" t="s">
        <v>9943</v>
      </c>
      <c r="C10409" s="9">
        <v>1590</v>
      </c>
      <c r="D10409" s="0">
        <v>2</v>
      </c>
      <c r="E10409" s="10">
        <f>HYPERLINK("http://www.lingerieopt.ru/images/original/fa6cce76-d5cb-42fb-8d1b-bf0fa1bf14a4.jpg","Фото")</f>
      </c>
    </row>
    <row r="10410">
      <c r="A10410" s="7">
        <f>HYPERLINK("http://www.lingerieopt.ru/item/808-kostyum-medsestrj/","808")</f>
      </c>
      <c r="B10410" s="8" t="s">
        <v>9939</v>
      </c>
      <c r="C10410" s="9">
        <v>1682</v>
      </c>
      <c r="D10410" s="0">
        <v>20</v>
      </c>
      <c r="E10410" s="10">
        <f>HYPERLINK("http://www.lingerieopt.ru/images/original/b14a06e9-7edc-4803-b1c3-79cf8dc173a5.jpg","Фото")</f>
      </c>
    </row>
    <row r="10411">
      <c r="A10411" s="7">
        <f>HYPERLINK("http://www.lingerieopt.ru/item/808-kostyum-medsestrj/","808")</f>
      </c>
      <c r="B10411" s="8" t="s">
        <v>9938</v>
      </c>
      <c r="C10411" s="9">
        <v>1682</v>
      </c>
      <c r="D10411" s="0">
        <v>9</v>
      </c>
      <c r="E10411" s="10">
        <f>HYPERLINK("http://www.lingerieopt.ru/images/original/b14a06e9-7edc-4803-b1c3-79cf8dc173a5.jpg","Фото")</f>
      </c>
    </row>
    <row r="10412">
      <c r="A10412" s="7">
        <f>HYPERLINK("http://www.lingerieopt.ru/item/808-kostyum-medsestrj/","808")</f>
      </c>
      <c r="B10412" s="8" t="s">
        <v>9937</v>
      </c>
      <c r="C10412" s="9">
        <v>1682</v>
      </c>
      <c r="D10412" s="0">
        <v>1</v>
      </c>
      <c r="E10412" s="10">
        <f>HYPERLINK("http://www.lingerieopt.ru/images/original/b14a06e9-7edc-4803-b1c3-79cf8dc173a5.jpg","Фото")</f>
      </c>
    </row>
    <row r="10413">
      <c r="A10413" s="7">
        <f>HYPERLINK("http://www.lingerieopt.ru/item/809-rozovji-kostyum-medsestrj/","809")</f>
      </c>
      <c r="B10413" s="8" t="s">
        <v>9944</v>
      </c>
      <c r="C10413" s="9">
        <v>1652</v>
      </c>
      <c r="D10413" s="0">
        <v>6</v>
      </c>
      <c r="E10413" s="10">
        <f>HYPERLINK("http://www.lingerieopt.ru/images/original/8ae25865-d03c-44b6-ae83-26836e27a720.jpg","Фото")</f>
      </c>
    </row>
    <row r="10414">
      <c r="A10414" s="7">
        <f>HYPERLINK("http://www.lingerieopt.ru/item/809-rozovji-kostyum-medsestrj/","809")</f>
      </c>
      <c r="B10414" s="8" t="s">
        <v>9945</v>
      </c>
      <c r="C10414" s="9">
        <v>1652</v>
      </c>
      <c r="D10414" s="0">
        <v>7</v>
      </c>
      <c r="E10414" s="10">
        <f>HYPERLINK("http://www.lingerieopt.ru/images/original/8ae25865-d03c-44b6-ae83-26836e27a720.jpg","Фото")</f>
      </c>
    </row>
    <row r="10415">
      <c r="A10415" s="7">
        <f>HYPERLINK("http://www.lingerieopt.ru/item/809-rozovji-kostyum-medsestrj/","809")</f>
      </c>
      <c r="B10415" s="8" t="s">
        <v>9946</v>
      </c>
      <c r="C10415" s="9">
        <v>1652</v>
      </c>
      <c r="D10415" s="0">
        <v>20</v>
      </c>
      <c r="E10415" s="10">
        <f>HYPERLINK("http://www.lingerieopt.ru/images/original/8ae25865-d03c-44b6-ae83-26836e27a720.jpg","Фото")</f>
      </c>
    </row>
    <row r="10416">
      <c r="A10416" s="7">
        <f>HYPERLINK("http://www.lingerieopt.ru/item/817-cherni-kostyum-medsestrj/","817")</f>
      </c>
      <c r="B10416" s="8" t="s">
        <v>3600</v>
      </c>
      <c r="C10416" s="9">
        <v>1941</v>
      </c>
      <c r="D10416" s="0">
        <v>1</v>
      </c>
      <c r="E10416" s="10">
        <f>HYPERLINK("http://www.lingerieopt.ru/images/original/6525e45b-111a-4095-8ede-f23aeec9e4e7.jpg","Фото")</f>
      </c>
    </row>
    <row r="10417">
      <c r="A10417" s="7">
        <f>HYPERLINK("http://www.lingerieopt.ru/item/830-kostyum-starshei-medsestrj/","830")</f>
      </c>
      <c r="B10417" s="8" t="s">
        <v>9947</v>
      </c>
      <c r="C10417" s="9">
        <v>2084</v>
      </c>
      <c r="D10417" s="0">
        <v>0</v>
      </c>
      <c r="E10417" s="10">
        <f>HYPERLINK("http://www.lingerieopt.ru/images/original/840ddf23-86e5-4cd5-a777-b8489134ecb5.jpg","Фото")</f>
      </c>
    </row>
    <row r="10418">
      <c r="A10418" s="7">
        <f>HYPERLINK("http://www.lingerieopt.ru/item/830-kostyum-starshei-medsestrj/","830")</f>
      </c>
      <c r="B10418" s="8" t="s">
        <v>9948</v>
      </c>
      <c r="C10418" s="9">
        <v>2084</v>
      </c>
      <c r="D10418" s="0">
        <v>20</v>
      </c>
      <c r="E10418" s="10">
        <f>HYPERLINK("http://www.lingerieopt.ru/images/original/840ddf23-86e5-4cd5-a777-b8489134ecb5.jpg","Фото")</f>
      </c>
    </row>
    <row r="10419">
      <c r="A10419" s="7">
        <f>HYPERLINK("http://www.lingerieopt.ru/item/830-kostyum-starshei-medsestrj/","830")</f>
      </c>
      <c r="B10419" s="8" t="s">
        <v>9949</v>
      </c>
      <c r="C10419" s="9">
        <v>2084</v>
      </c>
      <c r="D10419" s="0">
        <v>1</v>
      </c>
      <c r="E10419" s="10">
        <f>HYPERLINK("http://www.lingerieopt.ru/images/original/840ddf23-86e5-4cd5-a777-b8489134ecb5.jpg","Фото")</f>
      </c>
    </row>
    <row r="10420">
      <c r="A10420" s="7">
        <f>HYPERLINK("http://www.lingerieopt.ru/item/870-podvyazka-medsestrj-so-shpricom/","870")</f>
      </c>
      <c r="B10420" s="8" t="s">
        <v>9950</v>
      </c>
      <c r="C10420" s="9">
        <v>133</v>
      </c>
      <c r="D10420" s="0">
        <v>20</v>
      </c>
      <c r="E10420" s="10">
        <f>HYPERLINK("http://www.lingerieopt.ru/images/original/e8b1609d-a075-43c4-a761-3e0696e7fbb1.jpg","Фото")</f>
      </c>
    </row>
    <row r="10421">
      <c r="A10421" s="7">
        <f>HYPERLINK("http://www.lingerieopt.ru/item/877-stetoskop-krasnogo-cveta/","877")</f>
      </c>
      <c r="B10421" s="8" t="s">
        <v>9951</v>
      </c>
      <c r="C10421" s="9">
        <v>133</v>
      </c>
      <c r="D10421" s="0">
        <v>20</v>
      </c>
      <c r="E10421" s="10">
        <f>HYPERLINK("http://www.lingerieopt.ru/images/original/1c487bb8-dfe7-4bfa-93d1-bdf92d4cdc2e.jpg","Фото")</f>
      </c>
    </row>
    <row r="10422">
      <c r="A10422" s="7">
        <f>HYPERLINK("http://www.lingerieopt.ru/item/879-stetoskop-chernogo-cveta/","879")</f>
      </c>
      <c r="B10422" s="8" t="s">
        <v>9952</v>
      </c>
      <c r="C10422" s="9">
        <v>190</v>
      </c>
      <c r="D10422" s="0">
        <v>20</v>
      </c>
      <c r="E10422" s="10">
        <f>HYPERLINK("http://www.lingerieopt.ru/images/original/fc5c5986-157c-430b-9093-b26c644cee16.jpg","Фото")</f>
      </c>
    </row>
    <row r="10423">
      <c r="A10423" s="7">
        <f>HYPERLINK("http://www.lingerieopt.ru/item/887-chulki-s-krasnjmi-bantami-doktor/","887")</f>
      </c>
      <c r="B10423" s="8" t="s">
        <v>7617</v>
      </c>
      <c r="C10423" s="9">
        <v>450</v>
      </c>
      <c r="D10423" s="0">
        <v>12</v>
      </c>
      <c r="E10423" s="10">
        <f>HYPERLINK("http://www.lingerieopt.ru/images/original/e8ce43d2-e883-466e-b3ad-b84b087007e6.jpg","Фото")</f>
      </c>
    </row>
    <row r="10424">
      <c r="A10424" s="7">
        <f>HYPERLINK("http://www.lingerieopt.ru/item/920-kostyum-doktora/","920")</f>
      </c>
      <c r="B10424" s="8" t="s">
        <v>9953</v>
      </c>
      <c r="C10424" s="9">
        <v>1804</v>
      </c>
      <c r="D10424" s="0">
        <v>7</v>
      </c>
      <c r="E10424" s="10">
        <f>HYPERLINK("http://www.lingerieopt.ru/images/original/491b9f02-7f6b-423c-a8cb-3d8a4ffc99e7.jpg","Фото")</f>
      </c>
    </row>
    <row r="10425">
      <c r="A10425" s="7">
        <f>HYPERLINK("http://www.lingerieopt.ru/item/920-kostyum-doktora/","920")</f>
      </c>
      <c r="B10425" s="8" t="s">
        <v>9954</v>
      </c>
      <c r="C10425" s="9">
        <v>1804</v>
      </c>
      <c r="D10425" s="0">
        <v>8</v>
      </c>
      <c r="E10425" s="10">
        <f>HYPERLINK("http://www.lingerieopt.ru/images/original/491b9f02-7f6b-423c-a8cb-3d8a4ffc99e7.jpg","Фото")</f>
      </c>
    </row>
    <row r="10426">
      <c r="A10426" s="7">
        <f>HYPERLINK("http://www.lingerieopt.ru/item/921-kostyum-snegurochki/","921")</f>
      </c>
      <c r="B10426" s="8" t="s">
        <v>9955</v>
      </c>
      <c r="C10426" s="9">
        <v>1576</v>
      </c>
      <c r="D10426" s="0">
        <v>0</v>
      </c>
      <c r="E10426" s="10">
        <f>HYPERLINK("http://www.lingerieopt.ru/images/original/3389739e-d3b2-4d91-8516-deab29f811bd.jpg","Фото")</f>
      </c>
    </row>
    <row r="10427">
      <c r="A10427" s="7">
        <f>HYPERLINK("http://www.lingerieopt.ru/item/921-kostyum-snegurochki/","921")</f>
      </c>
      <c r="B10427" s="8" t="s">
        <v>9956</v>
      </c>
      <c r="C10427" s="9">
        <v>1576</v>
      </c>
      <c r="D10427" s="0">
        <v>2</v>
      </c>
      <c r="E10427" s="10">
        <f>HYPERLINK("http://www.lingerieopt.ru/images/original/3389739e-d3b2-4d91-8516-deab29f811bd.jpg","Фото")</f>
      </c>
    </row>
    <row r="10428">
      <c r="A10428" s="7">
        <f>HYPERLINK("http://www.lingerieopt.ru/item/921-kostyum-snegurochki/","921")</f>
      </c>
      <c r="B10428" s="8" t="s">
        <v>9957</v>
      </c>
      <c r="C10428" s="9">
        <v>1576</v>
      </c>
      <c r="D10428" s="0">
        <v>0</v>
      </c>
      <c r="E10428" s="10">
        <f>HYPERLINK("http://www.lingerieopt.ru/images/original/3389739e-d3b2-4d91-8516-deab29f811bd.jpg","Фото")</f>
      </c>
    </row>
    <row r="10429">
      <c r="A10429" s="7">
        <f>HYPERLINK("http://www.lingerieopt.ru/item/938-kostyum-medsestrj/","938")</f>
      </c>
      <c r="B10429" s="8" t="s">
        <v>9942</v>
      </c>
      <c r="C10429" s="9">
        <v>1914</v>
      </c>
      <c r="D10429" s="0">
        <v>20</v>
      </c>
      <c r="E10429" s="10">
        <f>HYPERLINK("http://www.lingerieopt.ru/images/original/8867edb7-d8bf-4439-94d5-8354a1e304e4.jpg","Фото")</f>
      </c>
    </row>
    <row r="10430">
      <c r="A10430" s="7">
        <f>HYPERLINK("http://www.lingerieopt.ru/item/938-kostyum-medsestrj/","938")</f>
      </c>
      <c r="B10430" s="8" t="s">
        <v>9941</v>
      </c>
      <c r="C10430" s="9">
        <v>1914</v>
      </c>
      <c r="D10430" s="0">
        <v>5</v>
      </c>
      <c r="E10430" s="10">
        <f>HYPERLINK("http://www.lingerieopt.ru/images/original/8867edb7-d8bf-4439-94d5-8354a1e304e4.jpg","Фото")</f>
      </c>
    </row>
    <row r="10431">
      <c r="A10431" s="7">
        <f>HYPERLINK("http://www.lingerieopt.ru/item/938-kostyum-medsestrj/","938")</f>
      </c>
      <c r="B10431" s="8" t="s">
        <v>9943</v>
      </c>
      <c r="C10431" s="9">
        <v>1914</v>
      </c>
      <c r="D10431" s="0">
        <v>1</v>
      </c>
      <c r="E10431" s="10">
        <f>HYPERLINK("http://www.lingerieopt.ru/images/original/8867edb7-d8bf-4439-94d5-8354a1e304e4.jpg","Фото")</f>
      </c>
    </row>
    <row r="10432">
      <c r="A10432" s="7">
        <f>HYPERLINK("http://www.lingerieopt.ru/item/1041-komplekt-medsestrj/","1041")</f>
      </c>
      <c r="B10432" s="8" t="s">
        <v>9958</v>
      </c>
      <c r="C10432" s="9">
        <v>1746</v>
      </c>
      <c r="D10432" s="0">
        <v>6</v>
      </c>
      <c r="E10432" s="10">
        <f>HYPERLINK("http://www.lingerieopt.ru/images/original/4d6e83eb-2694-4727-a6c4-824e09e703c2.jpg","Фото")</f>
      </c>
    </row>
    <row r="10433">
      <c r="A10433" s="7">
        <f>HYPERLINK("http://www.lingerieopt.ru/item/1041-komplekt-medsestrj/","1041")</f>
      </c>
      <c r="B10433" s="8" t="s">
        <v>9959</v>
      </c>
      <c r="C10433" s="9">
        <v>1746</v>
      </c>
      <c r="D10433" s="0">
        <v>0</v>
      </c>
      <c r="E10433" s="10">
        <f>HYPERLINK("http://www.lingerieopt.ru/images/original/4d6e83eb-2694-4727-a6c4-824e09e703c2.jpg","Фото")</f>
      </c>
    </row>
    <row r="10434">
      <c r="A10434" s="7">
        <f>HYPERLINK("http://www.lingerieopt.ru/item/1041-komplekt-medsestrj/","1041")</f>
      </c>
      <c r="B10434" s="8" t="s">
        <v>9960</v>
      </c>
      <c r="C10434" s="9">
        <v>1746</v>
      </c>
      <c r="D10434" s="0">
        <v>0</v>
      </c>
      <c r="E10434" s="10">
        <f>HYPERLINK("http://www.lingerieopt.ru/images/original/4d6e83eb-2694-4727-a6c4-824e09e703c2.jpg","Фото")</f>
      </c>
    </row>
    <row r="10435">
      <c r="A10435" s="7">
        <f>HYPERLINK("http://www.lingerieopt.ru/item/1041-komplekt-medsestrj/","1041")</f>
      </c>
      <c r="B10435" s="8" t="s">
        <v>9961</v>
      </c>
      <c r="C10435" s="9">
        <v>1746</v>
      </c>
      <c r="D10435" s="0">
        <v>0</v>
      </c>
      <c r="E10435" s="10">
        <f>HYPERLINK("http://www.lingerieopt.ru/images/original/4d6e83eb-2694-4727-a6c4-824e09e703c2.jpg","Фото")</f>
      </c>
    </row>
    <row r="10436">
      <c r="A10436" s="7">
        <f>HYPERLINK("http://www.lingerieopt.ru/item/1077-plate-medsestrj/","1077")</f>
      </c>
      <c r="B10436" s="8" t="s">
        <v>9962</v>
      </c>
      <c r="C10436" s="9">
        <v>2198</v>
      </c>
      <c r="D10436" s="0">
        <v>5</v>
      </c>
      <c r="E10436" s="10">
        <f>HYPERLINK("http://www.lingerieopt.ru/images/original/a892b38e-8ff4-453f-8eb8-0ae171f2874e.jpg","Фото")</f>
      </c>
    </row>
    <row r="10437">
      <c r="A10437" s="7">
        <f>HYPERLINK("http://www.lingerieopt.ru/item/1077-plate-medsestrj/","1077")</f>
      </c>
      <c r="B10437" s="8" t="s">
        <v>9963</v>
      </c>
      <c r="C10437" s="9">
        <v>2198</v>
      </c>
      <c r="D10437" s="0">
        <v>3</v>
      </c>
      <c r="E10437" s="10">
        <f>HYPERLINK("http://www.lingerieopt.ru/images/original/a892b38e-8ff4-453f-8eb8-0ae171f2874e.jpg","Фото")</f>
      </c>
    </row>
    <row r="10438">
      <c r="A10438" s="7">
        <f>HYPERLINK("http://www.lingerieopt.ru/item/1089-belje-pestis-s-krasnjm-krestom/","1089")</f>
      </c>
      <c r="B10438" s="8" t="s">
        <v>4265</v>
      </c>
      <c r="C10438" s="9">
        <v>330</v>
      </c>
      <c r="D10438" s="0">
        <v>4</v>
      </c>
      <c r="E10438" s="10">
        <f>HYPERLINK("http://www.lingerieopt.ru/images/original/7617cbdb-d8af-4eee-ac75-9427b9f00030.jpg","Фото")</f>
      </c>
    </row>
    <row r="10439">
      <c r="A10439" s="7">
        <f>HYPERLINK("http://www.lingerieopt.ru/item/2233-kostyum-doktora/","2233")</f>
      </c>
      <c r="B10439" s="8" t="s">
        <v>9954</v>
      </c>
      <c r="C10439" s="9">
        <v>1581</v>
      </c>
      <c r="D10439" s="0">
        <v>20</v>
      </c>
      <c r="E10439" s="10">
        <f>HYPERLINK("http://www.lingerieopt.ru/images/original/4daa9170-9b14-47d6-9d9e-9d9a5457149c.jpg","Фото")</f>
      </c>
    </row>
    <row r="10440">
      <c r="A10440" s="7">
        <f>HYPERLINK("http://www.lingerieopt.ru/item/2233-kostyum-doktora/","2233")</f>
      </c>
      <c r="B10440" s="8" t="s">
        <v>9964</v>
      </c>
      <c r="C10440" s="9">
        <v>1581</v>
      </c>
      <c r="D10440" s="0">
        <v>20</v>
      </c>
      <c r="E10440" s="10">
        <f>HYPERLINK("http://www.lingerieopt.ru/images/original/4daa9170-9b14-47d6-9d9e-9d9a5457149c.jpg","Фото")</f>
      </c>
    </row>
    <row r="10441">
      <c r="A10441" s="7">
        <f>HYPERLINK("http://www.lingerieopt.ru/item/2233-kostyum-doktora/","2233")</f>
      </c>
      <c r="B10441" s="8" t="s">
        <v>9965</v>
      </c>
      <c r="C10441" s="9">
        <v>1581</v>
      </c>
      <c r="D10441" s="0">
        <v>13</v>
      </c>
      <c r="E10441" s="10">
        <f>HYPERLINK("http://www.lingerieopt.ru/images/original/4daa9170-9b14-47d6-9d9e-9d9a5457149c.jpg","Фото")</f>
      </c>
    </row>
    <row r="10442">
      <c r="A10442" s="7">
        <f>HYPERLINK("http://www.lingerieopt.ru/item/2236-kruzhevnoi-kostyum-medsestrj/","2236")</f>
      </c>
      <c r="B10442" s="8" t="s">
        <v>9966</v>
      </c>
      <c r="C10442" s="9">
        <v>1659</v>
      </c>
      <c r="D10442" s="0">
        <v>2</v>
      </c>
      <c r="E10442" s="10">
        <f>HYPERLINK("http://www.lingerieopt.ru/images/original/b8f5d39e-f0f9-4775-9532-20f85cb195a0.jpg","Фото")</f>
      </c>
    </row>
    <row r="10443">
      <c r="A10443" s="7">
        <f>HYPERLINK("http://www.lingerieopt.ru/item/2236-kruzhevnoi-kostyum-medsestrj/","2236")</f>
      </c>
      <c r="B10443" s="8" t="s">
        <v>9967</v>
      </c>
      <c r="C10443" s="9">
        <v>1659</v>
      </c>
      <c r="D10443" s="0">
        <v>11</v>
      </c>
      <c r="E10443" s="10">
        <f>HYPERLINK("http://www.lingerieopt.ru/images/original/b8f5d39e-f0f9-4775-9532-20f85cb195a0.jpg","Фото")</f>
      </c>
    </row>
    <row r="10444">
      <c r="A10444" s="7">
        <f>HYPERLINK("http://www.lingerieopt.ru/item/2236-kruzhevnoi-kostyum-medsestrj/","2236")</f>
      </c>
      <c r="B10444" s="8" t="s">
        <v>9968</v>
      </c>
      <c r="C10444" s="9">
        <v>1659</v>
      </c>
      <c r="D10444" s="0">
        <v>11</v>
      </c>
      <c r="E10444" s="10">
        <f>HYPERLINK("http://www.lingerieopt.ru/images/original/b8f5d39e-f0f9-4775-9532-20f85cb195a0.jpg","Фото")</f>
      </c>
    </row>
    <row r="10445">
      <c r="A10445" s="7">
        <f>HYPERLINK("http://www.lingerieopt.ru/item/2742-igrovoi-kostyum-medsestrj/","2742")</f>
      </c>
      <c r="B10445" s="8" t="s">
        <v>9969</v>
      </c>
      <c r="C10445" s="9">
        <v>1743</v>
      </c>
      <c r="D10445" s="0">
        <v>5</v>
      </c>
      <c r="E10445" s="10">
        <f>HYPERLINK("http://www.lingerieopt.ru/images/original/3cbee39c-05bb-421a-9a29-ffd75c02d633.jpg","Фото")</f>
      </c>
    </row>
    <row r="10446">
      <c r="A10446" s="7">
        <f>HYPERLINK("http://www.lingerieopt.ru/item/2781-azhurnji-kostyum-medsestrj/","2781")</f>
      </c>
      <c r="B10446" s="8" t="s">
        <v>9970</v>
      </c>
      <c r="C10446" s="9">
        <v>1824</v>
      </c>
      <c r="D10446" s="0">
        <v>3</v>
      </c>
      <c r="E10446" s="10">
        <f>HYPERLINK("http://www.lingerieopt.ru/images/original/e1bcdf68-872f-43a0-98b0-853502db54c9.jpg","Фото")</f>
      </c>
    </row>
    <row r="10447">
      <c r="A10447" s="7">
        <f>HYPERLINK("http://www.lingerieopt.ru/item/2781-azhurnji-kostyum-medsestrj/","2781")</f>
      </c>
      <c r="B10447" s="8" t="s">
        <v>9971</v>
      </c>
      <c r="C10447" s="9">
        <v>1824</v>
      </c>
      <c r="D10447" s="0">
        <v>0</v>
      </c>
      <c r="E10447" s="10">
        <f>HYPERLINK("http://www.lingerieopt.ru/images/original/e1bcdf68-872f-43a0-98b0-853502db54c9.jpg","Фото")</f>
      </c>
    </row>
    <row r="10448">
      <c r="A10448" s="7">
        <f>HYPERLINK("http://www.lingerieopt.ru/item/2828-chernji-kostyum-medsestrj/","2828")</f>
      </c>
      <c r="B10448" s="8" t="s">
        <v>9972</v>
      </c>
      <c r="C10448" s="9">
        <v>1516</v>
      </c>
      <c r="D10448" s="0">
        <v>4</v>
      </c>
      <c r="E10448" s="10">
        <f>HYPERLINK("http://www.lingerieopt.ru/images/original/b8d997e1-c690-46d9-926b-bdb512e6f34d.jpg","Фото")</f>
      </c>
    </row>
    <row r="10449">
      <c r="A10449" s="7">
        <f>HYPERLINK("http://www.lingerieopt.ru/item/2829-kostyum-medsestrj/","2829")</f>
      </c>
      <c r="B10449" s="8" t="s">
        <v>9973</v>
      </c>
      <c r="C10449" s="9">
        <v>1874</v>
      </c>
      <c r="D10449" s="0">
        <v>12</v>
      </c>
      <c r="E10449" s="10">
        <f>HYPERLINK("http://www.lingerieopt.ru/images/original/4d9966db-41e7-4f84-9802-f8e4d29fdb74.jpg","Фото")</f>
      </c>
    </row>
    <row r="10450">
      <c r="A10450" s="7">
        <f>HYPERLINK("http://www.lingerieopt.ru/item/2829-kostyum-medsestrj/","2829")</f>
      </c>
      <c r="B10450" s="8" t="s">
        <v>9974</v>
      </c>
      <c r="C10450" s="9">
        <v>1874</v>
      </c>
      <c r="D10450" s="0">
        <v>16</v>
      </c>
      <c r="E10450" s="10">
        <f>HYPERLINK("http://www.lingerieopt.ru/images/original/4d9966db-41e7-4f84-9802-f8e4d29fdb74.jpg","Фото")</f>
      </c>
    </row>
    <row r="10451">
      <c r="A10451" s="7">
        <f>HYPERLINK("http://www.lingerieopt.ru/item/3375-igrovoi-kostyum-medsestrj-iz-dvuh-predmetov/","3375")</f>
      </c>
      <c r="B10451" s="8" t="s">
        <v>9975</v>
      </c>
      <c r="C10451" s="9">
        <v>1732</v>
      </c>
      <c r="D10451" s="0">
        <v>0</v>
      </c>
      <c r="E10451" s="10">
        <f>HYPERLINK("http://www.lingerieopt.ru/images/original/6c3e977b-bed9-4def-9858-cb412450b0ff.jpg","Фото")</f>
      </c>
    </row>
    <row r="10452">
      <c r="A10452" s="7">
        <f>HYPERLINK("http://www.lingerieopt.ru/item/3375-igrovoi-kostyum-medsestrj-iz-dvuh-predmetov/","3375")</f>
      </c>
      <c r="B10452" s="8" t="s">
        <v>9976</v>
      </c>
      <c r="C10452" s="9">
        <v>1732</v>
      </c>
      <c r="D10452" s="0">
        <v>8</v>
      </c>
      <c r="E10452" s="10">
        <f>HYPERLINK("http://www.lingerieopt.ru/images/original/6c3e977b-bed9-4def-9858-cb412450b0ff.jpg","Фото")</f>
      </c>
    </row>
    <row r="10453">
      <c r="A10453" s="7">
        <f>HYPERLINK("http://www.lingerieopt.ru/item/3375-igrovoi-kostyum-medsestrj-iz-dvuh-predmetov/","3375")</f>
      </c>
      <c r="B10453" s="8" t="s">
        <v>9977</v>
      </c>
      <c r="C10453" s="9">
        <v>1732</v>
      </c>
      <c r="D10453" s="0">
        <v>6</v>
      </c>
      <c r="E10453" s="10">
        <f>HYPERLINK("http://www.lingerieopt.ru/images/original/6c3e977b-bed9-4def-9858-cb412450b0ff.jpg","Фото")</f>
      </c>
    </row>
    <row r="10454">
      <c r="A10454" s="7">
        <f>HYPERLINK("http://www.lingerieopt.ru/item/3571-igrovoi-kostyum-medsestrj/","3571")</f>
      </c>
      <c r="B10454" s="8" t="s">
        <v>9978</v>
      </c>
      <c r="C10454" s="9">
        <v>1657</v>
      </c>
      <c r="D10454" s="0">
        <v>6</v>
      </c>
      <c r="E10454" s="10">
        <f>HYPERLINK("http://www.lingerieopt.ru/images/original/9b2623f9-0bfd-4975-94b9-f566ce9ff962.jpg","Фото")</f>
      </c>
    </row>
    <row r="10455">
      <c r="A10455" s="7">
        <f>HYPERLINK("http://www.lingerieopt.ru/item/3735-perchatki-medsestrj/","3735")</f>
      </c>
      <c r="B10455" s="8" t="s">
        <v>3746</v>
      </c>
      <c r="C10455" s="9">
        <v>179</v>
      </c>
      <c r="D10455" s="0">
        <v>21</v>
      </c>
      <c r="E10455" s="10">
        <f>HYPERLINK("http://www.lingerieopt.ru/images/original/4e84ae52-3c98-484a-95b8-8583f4901502.jpg","Фото")</f>
      </c>
    </row>
    <row r="10456">
      <c r="A10456" s="7">
        <f>HYPERLINK("http://www.lingerieopt.ru/item/4221-byuste-s-kruzhevom-medsestra/","4221")</f>
      </c>
      <c r="B10456" s="8" t="s">
        <v>9979</v>
      </c>
      <c r="C10456" s="9">
        <v>1787</v>
      </c>
      <c r="D10456" s="0">
        <v>6</v>
      </c>
      <c r="E10456" s="10">
        <f>HYPERLINK("http://www.lingerieopt.ru/images/original/2f25da9a-bd1e-4ce7-867e-a83d57db9afb.jpg","Фото")</f>
      </c>
    </row>
    <row r="10457">
      <c r="A10457" s="7">
        <f>HYPERLINK("http://www.lingerieopt.ru/item/4953-soblaznitelnji-igrovoi-kostyum-medsestrj/","4953")</f>
      </c>
      <c r="B10457" s="8" t="s">
        <v>9980</v>
      </c>
      <c r="C10457" s="9">
        <v>1331</v>
      </c>
      <c r="D10457" s="0">
        <v>2</v>
      </c>
      <c r="E10457" s="10">
        <f>HYPERLINK("http://www.lingerieopt.ru/images/original/e31fe10a-8b15-4ee2-966a-2fa23d964147.jpg","Фото")</f>
      </c>
    </row>
    <row r="10458">
      <c r="A10458" s="7">
        <f>HYPERLINK("http://www.lingerieopt.ru/item/4953-soblaznitelnji-igrovoi-kostyum-medsestrj/","4953")</f>
      </c>
      <c r="B10458" s="8" t="s">
        <v>9981</v>
      </c>
      <c r="C10458" s="9">
        <v>1331</v>
      </c>
      <c r="D10458" s="0">
        <v>5</v>
      </c>
      <c r="E10458" s="10">
        <f>HYPERLINK("http://www.lingerieopt.ru/images/original/e31fe10a-8b15-4ee2-966a-2fa23d964147.jpg","Фото")</f>
      </c>
    </row>
    <row r="10459">
      <c r="A10459" s="7">
        <f>HYPERLINK("http://www.lingerieopt.ru/item/5073-plate-medsestrj-iz-tyanuschegosya-materiala/","5073")</f>
      </c>
      <c r="B10459" s="8" t="s">
        <v>9982</v>
      </c>
      <c r="C10459" s="9">
        <v>1787</v>
      </c>
      <c r="D10459" s="0">
        <v>1</v>
      </c>
      <c r="E10459" s="10">
        <f>HYPERLINK("http://www.lingerieopt.ru/images/original/f82bd712-fa90-4fd0-af01-af38d1fedb7b.jpg","Фото")</f>
      </c>
    </row>
    <row r="10460">
      <c r="A10460" s="7">
        <f>HYPERLINK("http://www.lingerieopt.ru/item/5096-igrivji-kostyum-medsestrj/","5096")</f>
      </c>
      <c r="B10460" s="8" t="s">
        <v>9983</v>
      </c>
      <c r="C10460" s="9">
        <v>803</v>
      </c>
      <c r="D10460" s="0">
        <v>5</v>
      </c>
      <c r="E10460" s="10">
        <f>HYPERLINK("http://www.lingerieopt.ru/images/original/e8c52edc-8480-4d4d-a230-ed7c3d02be0d.jpg","Фото")</f>
      </c>
    </row>
    <row r="10461">
      <c r="A10461" s="7">
        <f>HYPERLINK("http://www.lingerieopt.ru/item/5096-igrivji-kostyum-medsestrj/","5096")</f>
      </c>
      <c r="B10461" s="8" t="s">
        <v>9984</v>
      </c>
      <c r="C10461" s="9">
        <v>803</v>
      </c>
      <c r="D10461" s="0">
        <v>3</v>
      </c>
      <c r="E10461" s="10">
        <f>HYPERLINK("http://www.lingerieopt.ru/images/original/e8c52edc-8480-4d4d-a230-ed7c3d02be0d.jpg","Фото")</f>
      </c>
    </row>
    <row r="10462">
      <c r="A10462" s="7">
        <f>HYPERLINK("http://www.lingerieopt.ru/item/5096-igrivji-kostyum-medsestrj/","5096")</f>
      </c>
      <c r="B10462" s="8" t="s">
        <v>9985</v>
      </c>
      <c r="C10462" s="9">
        <v>803</v>
      </c>
      <c r="D10462" s="0">
        <v>9</v>
      </c>
      <c r="E10462" s="10">
        <f>HYPERLINK("http://www.lingerieopt.ru/images/original/e8c52edc-8480-4d4d-a230-ed7c3d02be0d.jpg","Фото")</f>
      </c>
    </row>
    <row r="10463">
      <c r="A10463" s="7">
        <f>HYPERLINK("http://www.lingerieopt.ru/item/5236-igrovoi-kostyum-doktora-skoroi-pomoschi-emergency/","5236")</f>
      </c>
      <c r="B10463" s="8" t="s">
        <v>9986</v>
      </c>
      <c r="C10463" s="9">
        <v>2781</v>
      </c>
      <c r="D10463" s="0">
        <v>10</v>
      </c>
      <c r="E10463" s="10">
        <f>HYPERLINK("http://www.lingerieopt.ru/images/original/4529673f-2667-403a-9402-677d30c173e6.jpg","Фото")</f>
      </c>
    </row>
    <row r="10464">
      <c r="A10464" s="7">
        <f>HYPERLINK("http://www.lingerieopt.ru/item/5236-igrovoi-kostyum-doktora-skoroi-pomoschi-emergency/","5236")</f>
      </c>
      <c r="B10464" s="8" t="s">
        <v>9987</v>
      </c>
      <c r="C10464" s="9">
        <v>2781</v>
      </c>
      <c r="D10464" s="0">
        <v>0</v>
      </c>
      <c r="E10464" s="10">
        <f>HYPERLINK("http://www.lingerieopt.ru/images/original/4529673f-2667-403a-9402-677d30c173e6.jpg","Фото")</f>
      </c>
    </row>
    <row r="10465">
      <c r="A10465" s="7">
        <f>HYPERLINK("http://www.lingerieopt.ru/item/5280-chulki-medsestrj-v-krupnuyu-setku-i-s-bantami/","5280")</f>
      </c>
      <c r="B10465" s="8" t="s">
        <v>7859</v>
      </c>
      <c r="C10465" s="9">
        <v>486</v>
      </c>
      <c r="D10465" s="0">
        <v>11</v>
      </c>
      <c r="E10465" s="10">
        <f>HYPERLINK("http://www.lingerieopt.ru/images/original/5238ea7e-5fd7-40e1-af99-ffdf45e95f3c.jpg","Фото")</f>
      </c>
    </row>
    <row r="10466">
      <c r="A10466" s="7">
        <f>HYPERLINK("http://www.lingerieopt.ru/item/5314-otkrovennoe-bodi-medsestrj/","5314")</f>
      </c>
      <c r="B10466" s="8" t="s">
        <v>9988</v>
      </c>
      <c r="C10466" s="9">
        <v>1787</v>
      </c>
      <c r="D10466" s="0">
        <v>6</v>
      </c>
      <c r="E10466" s="10">
        <f>HYPERLINK("http://www.lingerieopt.ru/images/original/b14d436c-2cb9-4053-a1a6-ff4c9a64d115.jpg","Фото")</f>
      </c>
    </row>
    <row r="10467">
      <c r="A10467" s="7">
        <f>HYPERLINK("http://www.lingerieopt.ru/item/6826-chulki-medsestrichki-s-krasnjmi-bantami/","6826")</f>
      </c>
      <c r="B10467" s="8" t="s">
        <v>7877</v>
      </c>
      <c r="C10467" s="9">
        <v>442</v>
      </c>
      <c r="D10467" s="0">
        <v>10</v>
      </c>
      <c r="E10467" s="10">
        <f>HYPERLINK("http://www.lingerieopt.ru/images/original/983367ea-416b-4f55-9e9e-25da7f6ad684.jpg","Фото")</f>
      </c>
    </row>
    <row r="10468">
      <c r="A10468" s="7">
        <f>HYPERLINK("http://www.lingerieopt.ru/item/6945-alje-chulki-medsestrj-v-polosku/","6945")</f>
      </c>
      <c r="B10468" s="8" t="s">
        <v>7887</v>
      </c>
      <c r="C10468" s="9">
        <v>545</v>
      </c>
      <c r="D10468" s="0">
        <v>4</v>
      </c>
      <c r="E10468" s="10">
        <f>HYPERLINK("http://www.lingerieopt.ru/images/original/0f671624-447e-4038-b96e-e8aab5550a59.jpg","Фото")</f>
      </c>
    </row>
    <row r="10469">
      <c r="A10469" s="7">
        <f>HYPERLINK("http://www.lingerieopt.ru/item/7761-chulki-medsestrj-dolce-piccante/","7761")</f>
      </c>
      <c r="B10469" s="8" t="s">
        <v>7941</v>
      </c>
      <c r="C10469" s="9">
        <v>560</v>
      </c>
      <c r="D10469" s="0">
        <v>32</v>
      </c>
      <c r="E10469" s="10">
        <f>HYPERLINK("http://www.lingerieopt.ru/images/original/556b6a5e-8172-45c6-b92f-2c0231fadfac.jpg","Фото")</f>
      </c>
    </row>
    <row r="10470">
      <c r="A10470" s="7">
        <f>HYPERLINK("http://www.lingerieopt.ru/item/7834-kostyum-seksapilnoi-medsestrj/","7834")</f>
      </c>
      <c r="B10470" s="8" t="s">
        <v>9989</v>
      </c>
      <c r="C10470" s="9">
        <v>1857</v>
      </c>
      <c r="D10470" s="0">
        <v>32</v>
      </c>
      <c r="E10470" s="10">
        <f>HYPERLINK("http://www.lingerieopt.ru/images/original/cd1749a3-9fca-4fbe-a97e-36a916ee4ee7.jpg","Фото")</f>
      </c>
    </row>
    <row r="10471">
      <c r="A10471" s="7">
        <f>HYPERLINK("http://www.lingerieopt.ru/item/7899-kostyum-medsestrj-caregirl/","7899")</f>
      </c>
      <c r="B10471" s="8" t="s">
        <v>9990</v>
      </c>
      <c r="C10471" s="9">
        <v>2673</v>
      </c>
      <c r="D10471" s="0">
        <v>0</v>
      </c>
      <c r="E10471" s="10">
        <f>HYPERLINK("http://www.lingerieopt.ru/images/original/6f16c3ae-38f2-4eab-8aa5-e40ea7b238ac.jpg","Фото")</f>
      </c>
    </row>
    <row r="10472">
      <c r="A10472" s="7">
        <f>HYPERLINK("http://www.lingerieopt.ru/item/7899-kostyum-medsestrj-caregirl/","7899")</f>
      </c>
      <c r="B10472" s="8" t="s">
        <v>9991</v>
      </c>
      <c r="C10472" s="9">
        <v>2673</v>
      </c>
      <c r="D10472" s="0">
        <v>1</v>
      </c>
      <c r="E10472" s="10">
        <f>HYPERLINK("http://www.lingerieopt.ru/images/original/6f16c3ae-38f2-4eab-8aa5-e40ea7b238ac.jpg","Фото")</f>
      </c>
    </row>
    <row r="10473">
      <c r="A10473" s="7">
        <f>HYPERLINK("http://www.lingerieopt.ru/item/8529-kostyum-medsestrj-siena/","8529")</f>
      </c>
      <c r="B10473" s="8" t="s">
        <v>9992</v>
      </c>
      <c r="C10473" s="9">
        <v>1299</v>
      </c>
      <c r="D10473" s="0">
        <v>2</v>
      </c>
      <c r="E10473" s="10">
        <f>HYPERLINK("http://www.lingerieopt.ru/images/original/263bac4b-7e92-4bef-b844-9b6281179cde.jpg","Фото")</f>
      </c>
    </row>
    <row r="10474">
      <c r="A10474" s="7">
        <f>HYPERLINK("http://www.lingerieopt.ru/item/8529-kostyum-medsestrj-siena/","8529")</f>
      </c>
      <c r="B10474" s="8" t="s">
        <v>9993</v>
      </c>
      <c r="C10474" s="9">
        <v>1299</v>
      </c>
      <c r="D10474" s="0">
        <v>3</v>
      </c>
      <c r="E10474" s="10">
        <f>HYPERLINK("http://www.lingerieopt.ru/images/original/263bac4b-7e92-4bef-b844-9b6281179cde.jpg","Фото")</f>
      </c>
    </row>
    <row r="10475">
      <c r="A10475" s="7">
        <f>HYPERLINK("http://www.lingerieopt.ru/item/8559-komplekt-medsestrj-persea/","8559")</f>
      </c>
      <c r="B10475" s="8" t="s">
        <v>9994</v>
      </c>
      <c r="C10475" s="9">
        <v>1039</v>
      </c>
      <c r="D10475" s="0">
        <v>0</v>
      </c>
      <c r="E10475" s="10">
        <f>HYPERLINK("http://www.lingerieopt.ru/images/original/429f5fca-8fd0-417c-a892-8c2f7d510eef.jpg","Фото")</f>
      </c>
    </row>
    <row r="10476">
      <c r="A10476" s="7">
        <f>HYPERLINK("http://www.lingerieopt.ru/item/8559-komplekt-medsestrj-persea/","8559")</f>
      </c>
      <c r="B10476" s="8" t="s">
        <v>9995</v>
      </c>
      <c r="C10476" s="9">
        <v>1039</v>
      </c>
      <c r="D10476" s="0">
        <v>1</v>
      </c>
      <c r="E10476" s="10">
        <f>HYPERLINK("http://www.lingerieopt.ru/images/original/429f5fca-8fd0-417c-a892-8c2f7d510eef.jpg","Фото")</f>
      </c>
    </row>
    <row r="10477">
      <c r="A10477" s="7">
        <f>HYPERLINK("http://www.lingerieopt.ru/item/8559-komplekt-medsestrj-persea/","8559")</f>
      </c>
      <c r="B10477" s="8" t="s">
        <v>9996</v>
      </c>
      <c r="C10477" s="9">
        <v>1039</v>
      </c>
      <c r="D10477" s="0">
        <v>0</v>
      </c>
      <c r="E10477" s="10">
        <f>HYPERLINK("http://www.lingerieopt.ru/images/original/429f5fca-8fd0-417c-a892-8c2f7d510eef.jpg","Фото")</f>
      </c>
    </row>
    <row r="10478">
      <c r="A10478" s="7">
        <f>HYPERLINK("http://www.lingerieopt.ru/item/8559-komplekt-medsestrj-persea/","8559")</f>
      </c>
      <c r="B10478" s="8" t="s">
        <v>9997</v>
      </c>
      <c r="C10478" s="9">
        <v>1039</v>
      </c>
      <c r="D10478" s="0">
        <v>5</v>
      </c>
      <c r="E10478" s="10">
        <f>HYPERLINK("http://www.lingerieopt.ru/images/original/429f5fca-8fd0-417c-a892-8c2f7d510eef.jpg","Фото")</f>
      </c>
    </row>
    <row r="10479">
      <c r="A10479" s="7">
        <f>HYPERLINK("http://www.lingerieopt.ru/item/8855-komplekt-medsestrj-shane/","8855")</f>
      </c>
      <c r="B10479" s="8" t="s">
        <v>9998</v>
      </c>
      <c r="C10479" s="9">
        <v>1291</v>
      </c>
      <c r="D10479" s="0">
        <v>6</v>
      </c>
      <c r="E10479" s="10">
        <f>HYPERLINK("http://www.lingerieopt.ru/images/original/7ff1ccbf-9271-452d-af6a-6460914680a8.jpg","Фото")</f>
      </c>
    </row>
    <row r="10480">
      <c r="A10480" s="7">
        <f>HYPERLINK("http://www.lingerieopt.ru/item/8855-komplekt-medsestrj-shane/","8855")</f>
      </c>
      <c r="B10480" s="8" t="s">
        <v>9999</v>
      </c>
      <c r="C10480" s="9">
        <v>1291</v>
      </c>
      <c r="D10480" s="0">
        <v>3</v>
      </c>
      <c r="E10480" s="10">
        <f>HYPERLINK("http://www.lingerieopt.ru/images/original/7ff1ccbf-9271-452d-af6a-6460914680a8.jpg","Фото")</f>
      </c>
    </row>
    <row r="10481">
      <c r="A10481" s="7">
        <f>HYPERLINK("http://www.lingerieopt.ru/item/8855-komplekt-medsestrj-shane/","8855")</f>
      </c>
      <c r="B10481" s="8" t="s">
        <v>10000</v>
      </c>
      <c r="C10481" s="9">
        <v>1291</v>
      </c>
      <c r="D10481" s="0">
        <v>12</v>
      </c>
      <c r="E10481" s="10">
        <f>HYPERLINK("http://www.lingerieopt.ru/images/original/7ff1ccbf-9271-452d-af6a-6460914680a8.jpg","Фото")</f>
      </c>
    </row>
    <row r="10482">
      <c r="A10482" s="7">
        <f>HYPERLINK("http://www.lingerieopt.ru/item/9317-soblaznitelnji-komplekt-medsestrj-iz-setki/","9317")</f>
      </c>
      <c r="B10482" s="8" t="s">
        <v>2162</v>
      </c>
      <c r="C10482" s="9">
        <v>1769</v>
      </c>
      <c r="D10482" s="0">
        <v>5</v>
      </c>
      <c r="E10482" s="10">
        <f>HYPERLINK("http://www.lingerieopt.ru/images/original/80796a2c-3fb7-4cff-8e37-14e7943a9d5f.jpg","Фото")</f>
      </c>
    </row>
    <row r="10483">
      <c r="A10483" s="7">
        <f>HYPERLINK("http://www.lingerieopt.ru/item/9317-soblaznitelnji-komplekt-medsestrj-iz-setki/","9317")</f>
      </c>
      <c r="B10483" s="8" t="s">
        <v>2163</v>
      </c>
      <c r="C10483" s="9">
        <v>1769</v>
      </c>
      <c r="D10483" s="0">
        <v>10</v>
      </c>
      <c r="E10483" s="10">
        <f>HYPERLINK("http://www.lingerieopt.ru/images/original/80796a2c-3fb7-4cff-8e37-14e7943a9d5f.jpg","Фото")</f>
      </c>
    </row>
    <row r="10484">
      <c r="A10484" s="7">
        <f>HYPERLINK("http://www.lingerieopt.ru/item/9723-komplekt-medsestrj-persea-plus-size/","9723")</f>
      </c>
      <c r="B10484" s="8" t="s">
        <v>10001</v>
      </c>
      <c r="C10484" s="9">
        <v>1039</v>
      </c>
      <c r="D10484" s="0">
        <v>0</v>
      </c>
      <c r="E10484" s="10">
        <f>HYPERLINK("http://www.lingerieopt.ru/images/original/4cddabb7-79c8-47c8-a144-0d22721a8928.jpg","Фото")</f>
      </c>
    </row>
    <row r="10485">
      <c r="A10485" s="7">
        <f>HYPERLINK("http://www.lingerieopt.ru/item/9723-komplekt-medsestrj-persea-plus-size/","9723")</f>
      </c>
      <c r="B10485" s="8" t="s">
        <v>10002</v>
      </c>
      <c r="C10485" s="9">
        <v>1039</v>
      </c>
      <c r="D10485" s="0">
        <v>2</v>
      </c>
      <c r="E10485" s="10">
        <f>HYPERLINK("http://www.lingerieopt.ru/images/original/4cddabb7-79c8-47c8-a144-0d22721a8928.jpg","Фото")</f>
      </c>
    </row>
    <row r="10486">
      <c r="A10486" s="7">
        <f>HYPERLINK("http://www.lingerieopt.ru/item/10096-kostyum-igrivoi-medsestrj-siena-plus-size/","10096")</f>
      </c>
      <c r="B10486" s="8" t="s">
        <v>10003</v>
      </c>
      <c r="C10486" s="9">
        <v>1299</v>
      </c>
      <c r="D10486" s="0">
        <v>1</v>
      </c>
      <c r="E10486" s="10">
        <f>HYPERLINK("http://www.lingerieopt.ru/images/original/de95e156-fad1-45dc-ace4-60adeaa66ede.jpg","Фото")</f>
      </c>
    </row>
    <row r="10487">
      <c r="A10487" s="7">
        <f>HYPERLINK("http://www.lingerieopt.ru/item/10320-kostyum-soblaznitelnicj-medsestrj-akkie/","10320")</f>
      </c>
      <c r="B10487" s="8" t="s">
        <v>10004</v>
      </c>
      <c r="C10487" s="9">
        <v>1299</v>
      </c>
      <c r="D10487" s="0">
        <v>3</v>
      </c>
      <c r="E10487" s="10">
        <f>HYPERLINK("http://www.lingerieopt.ru/images/original/bac509bb-dc01-44c7-9bb6-1999af0d9051.jpg","Фото")</f>
      </c>
    </row>
    <row r="10488">
      <c r="A10488" s="7">
        <f>HYPERLINK("http://www.lingerieopt.ru/item/10320-kostyum-soblaznitelnicj-medsestrj-akkie/","10320")</f>
      </c>
      <c r="B10488" s="8" t="s">
        <v>10005</v>
      </c>
      <c r="C10488" s="9">
        <v>1299</v>
      </c>
      <c r="D10488" s="0">
        <v>3</v>
      </c>
      <c r="E10488" s="10">
        <f>HYPERLINK("http://www.lingerieopt.ru/images/original/bac509bb-dc01-44c7-9bb6-1999af0d9051.jpg","Фото")</f>
      </c>
    </row>
    <row r="10489">
      <c r="A10489" s="7">
        <f>HYPERLINK("http://www.lingerieopt.ru/item/10821-kostyum-medsestrj-bodi-i-golovnoi-ubor/","10821")</f>
      </c>
      <c r="B10489" s="8" t="s">
        <v>10006</v>
      </c>
      <c r="C10489" s="9">
        <v>1033</v>
      </c>
      <c r="D10489" s="0">
        <v>12</v>
      </c>
      <c r="E10489" s="10">
        <f>HYPERLINK("http://www.lingerieopt.ru/images/original/4ac1a5fe-6107-4aaa-b216-1d06f34ea4ba.jpg","Фото")</f>
      </c>
    </row>
    <row r="10490">
      <c r="A10490" s="7">
        <f>HYPERLINK("http://www.lingerieopt.ru/item/11134-soblaznitelnji-kostyum-medsestrj/","11134")</f>
      </c>
      <c r="B10490" s="8" t="s">
        <v>10007</v>
      </c>
      <c r="C10490" s="9">
        <v>3134</v>
      </c>
      <c r="D10490" s="0">
        <v>5</v>
      </c>
      <c r="E10490" s="10">
        <f>HYPERLINK("http://www.lingerieopt.ru/images/original/a760de54-55eb-43a1-8db2-9b548556587e.jpg","Фото")</f>
      </c>
    </row>
    <row r="10491">
      <c r="A10491" s="7">
        <f>HYPERLINK("http://www.lingerieopt.ru/item/11134-soblaznitelnji-kostyum-medsestrj/","11134")</f>
      </c>
      <c r="B10491" s="8" t="s">
        <v>10008</v>
      </c>
      <c r="C10491" s="9">
        <v>3134</v>
      </c>
      <c r="D10491" s="0">
        <v>4</v>
      </c>
      <c r="E10491" s="10">
        <f>HYPERLINK("http://www.lingerieopt.ru/images/original/a760de54-55eb-43a1-8db2-9b548556587e.jpg","Фото")</f>
      </c>
    </row>
    <row r="10492">
      <c r="A10492" s="7">
        <f>HYPERLINK("http://www.lingerieopt.ru/item/11134-soblaznitelnji-kostyum-medsestrj/","11134")</f>
      </c>
      <c r="B10492" s="8" t="s">
        <v>10009</v>
      </c>
      <c r="C10492" s="9">
        <v>3134</v>
      </c>
      <c r="D10492" s="0">
        <v>4</v>
      </c>
      <c r="E10492" s="10">
        <f>HYPERLINK("http://www.lingerieopt.ru/images/original/a760de54-55eb-43a1-8db2-9b548556587e.jpg","Фото")</f>
      </c>
    </row>
    <row r="10493">
      <c r="A10493" s="7">
        <f>HYPERLINK("http://www.lingerieopt.ru/item/11134-soblaznitelnji-kostyum-medsestrj/","11134")</f>
      </c>
      <c r="B10493" s="8" t="s">
        <v>10010</v>
      </c>
      <c r="C10493" s="9">
        <v>3134</v>
      </c>
      <c r="D10493" s="0">
        <v>5</v>
      </c>
      <c r="E10493" s="10">
        <f>HYPERLINK("http://www.lingerieopt.ru/images/original/a760de54-55eb-43a1-8db2-9b548556587e.jpg","Фото")</f>
      </c>
    </row>
    <row r="10494">
      <c r="A10494" s="5"/>
      <c r="B10494" s="6" t="s">
        <v>10011</v>
      </c>
      <c r="C10494" s="5"/>
      <c r="D10494" s="5"/>
      <c r="E10494" s="5"/>
    </row>
    <row r="10495">
      <c r="A10495" s="7">
        <f>HYPERLINK("http://www.lingerieopt.ru/item/804-kostyum-piratki-miss-flint/","804")</f>
      </c>
      <c r="B10495" s="8" t="s">
        <v>10012</v>
      </c>
      <c r="C10495" s="9">
        <v>1649</v>
      </c>
      <c r="D10495" s="0">
        <v>3</v>
      </c>
      <c r="E10495" s="10">
        <f>HYPERLINK("http://www.lingerieopt.ru/images/original/94a209f7-4383-442b-abb8-0b4f80963516.jpg","Фото")</f>
      </c>
    </row>
    <row r="10496">
      <c r="A10496" s="7">
        <f>HYPERLINK("http://www.lingerieopt.ru/item/804-kostyum-piratki-miss-flint/","804")</f>
      </c>
      <c r="B10496" s="8" t="s">
        <v>10013</v>
      </c>
      <c r="C10496" s="9">
        <v>1649</v>
      </c>
      <c r="D10496" s="0">
        <v>0</v>
      </c>
      <c r="E10496" s="10">
        <f>HYPERLINK("http://www.lingerieopt.ru/images/original/94a209f7-4383-442b-abb8-0b4f80963516.jpg","Фото")</f>
      </c>
    </row>
    <row r="10497">
      <c r="A10497" s="7">
        <f>HYPERLINK("http://www.lingerieopt.ru/item/829-plate-dzhekki-vorobei/","829")</f>
      </c>
      <c r="B10497" s="8" t="s">
        <v>10014</v>
      </c>
      <c r="C10497" s="9">
        <v>1141</v>
      </c>
      <c r="D10497" s="0">
        <v>0</v>
      </c>
      <c r="E10497" s="10">
        <f>HYPERLINK("http://www.lingerieopt.ru/images/original/477af787-152e-4284-8ed7-161ead7276d8.jpg","Фото")</f>
      </c>
    </row>
    <row r="10498">
      <c r="A10498" s="7">
        <f>HYPERLINK("http://www.lingerieopt.ru/item/829-plate-dzhekki-vorobei/","829")</f>
      </c>
      <c r="B10498" s="8" t="s">
        <v>10015</v>
      </c>
      <c r="C10498" s="9">
        <v>1141</v>
      </c>
      <c r="D10498" s="0">
        <v>1</v>
      </c>
      <c r="E10498" s="10">
        <f>HYPERLINK("http://www.lingerieopt.ru/images/original/477af787-152e-4284-8ed7-161ead7276d8.jpg","Фото")</f>
      </c>
    </row>
    <row r="10499">
      <c r="A10499" s="7">
        <f>HYPERLINK("http://www.lingerieopt.ru/item/829-plate-dzhekki-vorobei/","829")</f>
      </c>
      <c r="B10499" s="8" t="s">
        <v>10016</v>
      </c>
      <c r="C10499" s="9">
        <v>1141</v>
      </c>
      <c r="D10499" s="0">
        <v>0</v>
      </c>
      <c r="E10499" s="10">
        <f>HYPERLINK("http://www.lingerieopt.ru/images/original/477af787-152e-4284-8ed7-161ead7276d8.jpg","Фото")</f>
      </c>
    </row>
    <row r="10500">
      <c r="A10500" s="7">
        <f>HYPERLINK("http://www.lingerieopt.ru/item/829-plate-dzhekki-vorobei/","829")</f>
      </c>
      <c r="B10500" s="8" t="s">
        <v>10017</v>
      </c>
      <c r="C10500" s="9">
        <v>1141</v>
      </c>
      <c r="D10500" s="0">
        <v>0</v>
      </c>
      <c r="E10500" s="10">
        <f>HYPERLINK("http://www.lingerieopt.ru/images/original/477af787-152e-4284-8ed7-161ead7276d8.jpg","Фото")</f>
      </c>
    </row>
    <row r="10501">
      <c r="A10501" s="7">
        <f>HYPERLINK("http://www.lingerieopt.ru/item/2124-zakolka-moryachki/","2124")</f>
      </c>
      <c r="B10501" s="8" t="s">
        <v>10018</v>
      </c>
      <c r="C10501" s="9">
        <v>93</v>
      </c>
      <c r="D10501" s="0">
        <v>20</v>
      </c>
      <c r="E10501" s="10">
        <f>HYPERLINK("http://www.lingerieopt.ru/images/original/2d7dd01f-7ad1-429d-92eb-c1312ce50733.jpg","Фото")</f>
      </c>
    </row>
    <row r="10502">
      <c r="A10502" s="7">
        <f>HYPERLINK("http://www.lingerieopt.ru/item/2125-podvyazka-moryachki/","2125")</f>
      </c>
      <c r="B10502" s="8" t="s">
        <v>4157</v>
      </c>
      <c r="C10502" s="9">
        <v>95</v>
      </c>
      <c r="D10502" s="0">
        <v>20</v>
      </c>
      <c r="E10502" s="10">
        <f>HYPERLINK("http://www.lingerieopt.ru/images/original/2cb5026e-7dcd-4cc1-8ce0-e22fc9a43913.jpg","Фото")</f>
      </c>
    </row>
    <row r="10503">
      <c r="A10503" s="7">
        <f>HYPERLINK("http://www.lingerieopt.ru/item/4002-maskaradnji-kostyum-moryachki/","4002")</f>
      </c>
      <c r="B10503" s="8" t="s">
        <v>10019</v>
      </c>
      <c r="C10503" s="9">
        <v>2479</v>
      </c>
      <c r="D10503" s="0">
        <v>0</v>
      </c>
      <c r="E10503" s="10">
        <f>HYPERLINK("http://www.lingerieopt.ru/images/original/81ac8163-4406-48e5-9935-0959c40152b0.jpg","Фото")</f>
      </c>
    </row>
    <row r="10504">
      <c r="A10504" s="7">
        <f>HYPERLINK("http://www.lingerieopt.ru/item/4002-maskaradnji-kostyum-moryachki/","4002")</f>
      </c>
      <c r="B10504" s="8" t="s">
        <v>10020</v>
      </c>
      <c r="C10504" s="9">
        <v>2479</v>
      </c>
      <c r="D10504" s="0">
        <v>3</v>
      </c>
      <c r="E10504" s="10">
        <f>HYPERLINK("http://www.lingerieopt.ru/images/original/81ac8163-4406-48e5-9935-0959c40152b0.jpg","Фото")</f>
      </c>
    </row>
    <row r="10505">
      <c r="A10505" s="7">
        <f>HYPERLINK("http://www.lingerieopt.ru/item/5295-zhenskii-kostyum-matrosa/","5295")</f>
      </c>
      <c r="B10505" s="8" t="s">
        <v>10021</v>
      </c>
      <c r="C10505" s="9">
        <v>1525</v>
      </c>
      <c r="D10505" s="0">
        <v>2</v>
      </c>
      <c r="E10505" s="10">
        <f>HYPERLINK("http://www.lingerieopt.ru/images/original/417ca75d-7325-4efd-9260-52a36c335800.jpg","Фото")</f>
      </c>
    </row>
    <row r="10506">
      <c r="A10506" s="7">
        <f>HYPERLINK("http://www.lingerieopt.ru/item/5502-kostyum-strogoi-piratki/","5502")</f>
      </c>
      <c r="B10506" s="8" t="s">
        <v>10022</v>
      </c>
      <c r="C10506" s="9">
        <v>2498</v>
      </c>
      <c r="D10506" s="0">
        <v>1</v>
      </c>
      <c r="E10506" s="10">
        <f>HYPERLINK("http://www.lingerieopt.ru/images/original/f6738582-f4c9-4157-922b-cf8b55ac72c5.jpg","Фото")</f>
      </c>
    </row>
    <row r="10507">
      <c r="A10507" s="7">
        <f>HYPERLINK("http://www.lingerieopt.ru/item/7787-kostyum-moryachki/","7787")</f>
      </c>
      <c r="B10507" s="8" t="s">
        <v>10023</v>
      </c>
      <c r="C10507" s="9">
        <v>1499</v>
      </c>
      <c r="D10507" s="0">
        <v>1</v>
      </c>
      <c r="E10507" s="10">
        <f>HYPERLINK("http://www.lingerieopt.ru/images/original/783ac5d2-3dde-48f8-b685-b77207350d2f.jpg","Фото")</f>
      </c>
    </row>
    <row r="10508">
      <c r="A10508" s="7">
        <f>HYPERLINK("http://www.lingerieopt.ru/item/7904-kostyum-moryachki/","7904")</f>
      </c>
      <c r="B10508" s="8" t="s">
        <v>10024</v>
      </c>
      <c r="C10508" s="9">
        <v>1615</v>
      </c>
      <c r="D10508" s="0">
        <v>5</v>
      </c>
      <c r="E10508" s="10">
        <f>HYPERLINK("http://www.lingerieopt.ru/images/original/d54983b2-91e0-48c4-88a4-d1662db462b2.jpg","Фото")</f>
      </c>
    </row>
    <row r="10509">
      <c r="A10509" s="7">
        <f>HYPERLINK("http://www.lingerieopt.ru/item/7904-kostyum-moryachki/","7904")</f>
      </c>
      <c r="B10509" s="8" t="s">
        <v>10025</v>
      </c>
      <c r="C10509" s="9">
        <v>1615</v>
      </c>
      <c r="D10509" s="0">
        <v>4</v>
      </c>
      <c r="E10509" s="10">
        <f>HYPERLINK("http://www.lingerieopt.ru/images/original/d54983b2-91e0-48c4-88a4-d1662db462b2.jpg","Фото")</f>
      </c>
    </row>
    <row r="10510">
      <c r="A10510" s="7">
        <f>HYPERLINK("http://www.lingerieopt.ru/item/8616-kostyum-piratki-pirate/","8616")</f>
      </c>
      <c r="B10510" s="8" t="s">
        <v>10026</v>
      </c>
      <c r="C10510" s="9">
        <v>2003</v>
      </c>
      <c r="D10510" s="0">
        <v>10</v>
      </c>
      <c r="E10510" s="10">
        <f>HYPERLINK("http://www.lingerieopt.ru/images/original/c0eb48e6-e514-4ac7-9af3-8357b4cf391c.jpg","Фото")</f>
      </c>
    </row>
    <row r="10511">
      <c r="A10511" s="7">
        <f>HYPERLINK("http://www.lingerieopt.ru/item/8616-kostyum-piratki-pirate/","8616")</f>
      </c>
      <c r="B10511" s="8" t="s">
        <v>10027</v>
      </c>
      <c r="C10511" s="9">
        <v>2003</v>
      </c>
      <c r="D10511" s="0">
        <v>10</v>
      </c>
      <c r="E10511" s="10">
        <f>HYPERLINK("http://www.lingerieopt.ru/images/original/c0eb48e6-e514-4ac7-9af3-8357b4cf391c.jpg","Фото")</f>
      </c>
    </row>
    <row r="10512">
      <c r="A10512" s="7">
        <f>HYPERLINK("http://www.lingerieopt.ru/item/9007-golovnoi-ubor-piratki/","9007")</f>
      </c>
      <c r="B10512" s="8" t="s">
        <v>10028</v>
      </c>
      <c r="C10512" s="9">
        <v>165</v>
      </c>
      <c r="D10512" s="0">
        <v>10</v>
      </c>
      <c r="E10512" s="10">
        <f>HYPERLINK("http://www.lingerieopt.ru/images/original/2dabcd54-af92-48b9-ada0-bef9c1222550.jpg","Фото")</f>
      </c>
    </row>
    <row r="10513">
      <c r="A10513" s="7">
        <f>HYPERLINK("http://www.lingerieopt.ru/item/10426-otkrovennji-kostyum-moryachki/","10426")</f>
      </c>
      <c r="B10513" s="8" t="s">
        <v>10029</v>
      </c>
      <c r="C10513" s="9">
        <v>2354</v>
      </c>
      <c r="D10513" s="0">
        <v>10</v>
      </c>
      <c r="E10513" s="10">
        <f>HYPERLINK("http://www.lingerieopt.ru/images/original/7f3b39d0-64b1-47b9-b69a-0d065e056f4d.jpg","Фото")</f>
      </c>
    </row>
    <row r="10514">
      <c r="A10514" s="7">
        <f>HYPERLINK("http://www.lingerieopt.ru/item/11116-soblaznitelnji-kostyum-moryachki-plus-size/","11116")</f>
      </c>
      <c r="B10514" s="8" t="s">
        <v>10030</v>
      </c>
      <c r="C10514" s="9">
        <v>3158</v>
      </c>
      <c r="D10514" s="0">
        <v>5</v>
      </c>
      <c r="E10514" s="10">
        <f>HYPERLINK("http://www.lingerieopt.ru/images/original/f4a2e919-49ca-46bc-a4f0-c36e8f69444e.jpg","Фото")</f>
      </c>
    </row>
    <row r="10515">
      <c r="A10515" s="7">
        <f>HYPERLINK("http://www.lingerieopt.ru/item/11126-igrovoi-kostyum-moryachki/","11126")</f>
      </c>
      <c r="B10515" s="8" t="s">
        <v>10031</v>
      </c>
      <c r="C10515" s="9">
        <v>3158</v>
      </c>
      <c r="D10515" s="0">
        <v>5</v>
      </c>
      <c r="E10515" s="10">
        <f>HYPERLINK("http://www.lingerieopt.ru/images/original/b56645e2-2cfb-4110-8b60-285df73fee45.jpg","Фото")</f>
      </c>
    </row>
    <row r="10516">
      <c r="A10516" s="7">
        <f>HYPERLINK("http://www.lingerieopt.ru/item/11126-igrovoi-kostyum-moryachki/","11126")</f>
      </c>
      <c r="B10516" s="8" t="s">
        <v>10032</v>
      </c>
      <c r="C10516" s="9">
        <v>3158</v>
      </c>
      <c r="D10516" s="0">
        <v>5</v>
      </c>
      <c r="E10516" s="10">
        <f>HYPERLINK("http://www.lingerieopt.ru/images/original/b56645e2-2cfb-4110-8b60-285df73fee45.jpg","Фото")</f>
      </c>
    </row>
    <row r="10517">
      <c r="A10517" s="7">
        <f>HYPERLINK("http://www.lingerieopt.ru/item/11126-igrovoi-kostyum-moryachki/","11126")</f>
      </c>
      <c r="B10517" s="8" t="s">
        <v>10033</v>
      </c>
      <c r="C10517" s="9">
        <v>3158</v>
      </c>
      <c r="D10517" s="0">
        <v>5</v>
      </c>
      <c r="E10517" s="10">
        <f>HYPERLINK("http://www.lingerieopt.ru/images/original/b56645e2-2cfb-4110-8b60-285df73fee45.jpg","Фото")</f>
      </c>
    </row>
    <row r="10518">
      <c r="A10518" s="7">
        <f>HYPERLINK("http://www.lingerieopt.ru/item/11126-igrovoi-kostyum-moryachki/","11126")</f>
      </c>
      <c r="B10518" s="8" t="s">
        <v>10034</v>
      </c>
      <c r="C10518" s="9">
        <v>3158</v>
      </c>
      <c r="D10518" s="0">
        <v>4</v>
      </c>
      <c r="E10518" s="10">
        <f>HYPERLINK("http://www.lingerieopt.ru/images/original/b56645e2-2cfb-4110-8b60-285df73fee45.jpg","Фото")</f>
      </c>
    </row>
    <row r="10519">
      <c r="A10519" s="7">
        <f>HYPERLINK("http://www.lingerieopt.ru/item/11146-kostyum-moryachki-plus-size-korset-yubka-trusiki-stringi-pilotka-i-golfj/","11146")</f>
      </c>
      <c r="B10519" s="8" t="s">
        <v>10035</v>
      </c>
      <c r="C10519" s="9">
        <v>3129</v>
      </c>
      <c r="D10519" s="0">
        <v>5</v>
      </c>
      <c r="E10519" s="10">
        <f>HYPERLINK("http://www.lingerieopt.ru/images/original/79dd8e1b-a6bc-425f-9d99-c35f7097aa5b.jpg","Фото")</f>
      </c>
    </row>
    <row r="10520">
      <c r="A10520" s="7">
        <f>HYPERLINK("http://www.lingerieopt.ru/item/11147-kostyum-soblaznitelnoi-moryachki/","11147")</f>
      </c>
      <c r="B10520" s="8" t="s">
        <v>10036</v>
      </c>
      <c r="C10520" s="9">
        <v>3129</v>
      </c>
      <c r="D10520" s="0">
        <v>5</v>
      </c>
      <c r="E10520" s="10">
        <f>HYPERLINK("http://www.lingerieopt.ru/images/original/82dd63b5-83c5-4f89-bf48-f600edb0bee8.jpg","Фото")</f>
      </c>
    </row>
    <row r="10521">
      <c r="A10521" s="7">
        <f>HYPERLINK("http://www.lingerieopt.ru/item/11147-kostyum-soblaznitelnoi-moryachki/","11147")</f>
      </c>
      <c r="B10521" s="8" t="s">
        <v>10037</v>
      </c>
      <c r="C10521" s="9">
        <v>3129</v>
      </c>
      <c r="D10521" s="0">
        <v>5</v>
      </c>
      <c r="E10521" s="10">
        <f>HYPERLINK("http://www.lingerieopt.ru/images/original/82dd63b5-83c5-4f89-bf48-f600edb0bee8.jpg","Фото")</f>
      </c>
    </row>
    <row r="10522">
      <c r="A10522" s="7">
        <f>HYPERLINK("http://www.lingerieopt.ru/item/11147-kostyum-soblaznitelnoi-moryachki/","11147")</f>
      </c>
      <c r="B10522" s="8" t="s">
        <v>10038</v>
      </c>
      <c r="C10522" s="9">
        <v>3129</v>
      </c>
      <c r="D10522" s="0">
        <v>2</v>
      </c>
      <c r="E10522" s="10">
        <f>HYPERLINK("http://www.lingerieopt.ru/images/original/82dd63b5-83c5-4f89-bf48-f600edb0bee8.jpg","Фото")</f>
      </c>
    </row>
    <row r="10523">
      <c r="A10523" s="7">
        <f>HYPERLINK("http://www.lingerieopt.ru/item/11147-kostyum-soblaznitelnoi-moryachki/","11147")</f>
      </c>
      <c r="B10523" s="8" t="s">
        <v>10039</v>
      </c>
      <c r="C10523" s="9">
        <v>3129</v>
      </c>
      <c r="D10523" s="0">
        <v>3</v>
      </c>
      <c r="E10523" s="10">
        <f>HYPERLINK("http://www.lingerieopt.ru/images/original/82dd63b5-83c5-4f89-bf48-f600edb0bee8.jpg","Фото")</f>
      </c>
    </row>
    <row r="10524">
      <c r="A10524" s="5"/>
      <c r="B10524" s="6" t="s">
        <v>10040</v>
      </c>
      <c r="C10524" s="5"/>
      <c r="D10524" s="5"/>
      <c r="E10524" s="5"/>
    </row>
    <row r="10525">
      <c r="A10525" s="7">
        <f>HYPERLINK("http://www.lingerieopt.ru/item/182-novogodnyaya-shapochka-kolpak/","182")</f>
      </c>
      <c r="B10525" s="8" t="s">
        <v>10041</v>
      </c>
      <c r="C10525" s="9">
        <v>188</v>
      </c>
      <c r="D10525" s="0">
        <v>1</v>
      </c>
      <c r="E10525" s="10">
        <f>HYPERLINK("http://www.lingerieopt.ru/images/original/f033832b-989e-472f-a51d-011104c22f5a.jpg","Фото")</f>
      </c>
    </row>
    <row r="10526">
      <c r="A10526" s="7">
        <f>HYPERLINK("http://www.lingerieopt.ru/item/519-korotkii-novogodnii-top/","519")</f>
      </c>
      <c r="B10526" s="8" t="s">
        <v>10042</v>
      </c>
      <c r="C10526" s="9">
        <v>203</v>
      </c>
      <c r="D10526" s="0">
        <v>0</v>
      </c>
      <c r="E10526" s="10">
        <f>HYPERLINK("http://www.lingerieopt.ru/images/original/cf64dca1-df02-41aa-8b0a-1d9b92277251.jpg","Фото")</f>
      </c>
    </row>
    <row r="10527">
      <c r="A10527" s="7">
        <f>HYPERLINK("http://www.lingerieopt.ru/item/519-korotkii-novogodnii-top/","519")</f>
      </c>
      <c r="B10527" s="8" t="s">
        <v>10043</v>
      </c>
      <c r="C10527" s="9">
        <v>203</v>
      </c>
      <c r="D10527" s="0">
        <v>0</v>
      </c>
      <c r="E10527" s="10">
        <f>HYPERLINK("http://www.lingerieopt.ru/images/original/cf64dca1-df02-41aa-8b0a-1d9b92277251.jpg","Фото")</f>
      </c>
    </row>
    <row r="10528">
      <c r="A10528" s="7">
        <f>HYPERLINK("http://www.lingerieopt.ru/item/519-korotkii-novogodnii-top/","519")</f>
      </c>
      <c r="B10528" s="8" t="s">
        <v>10044</v>
      </c>
      <c r="C10528" s="9">
        <v>203</v>
      </c>
      <c r="D10528" s="0">
        <v>1</v>
      </c>
      <c r="E10528" s="10">
        <f>HYPERLINK("http://www.lingerieopt.ru/images/original/cf64dca1-df02-41aa-8b0a-1d9b92277251.jpg","Фото")</f>
      </c>
    </row>
    <row r="10529">
      <c r="A10529" s="7">
        <f>HYPERLINK("http://www.lingerieopt.ru/item/519-korotkii-novogodnii-top/","519")</f>
      </c>
      <c r="B10529" s="8" t="s">
        <v>10045</v>
      </c>
      <c r="C10529" s="9">
        <v>203</v>
      </c>
      <c r="D10529" s="0">
        <v>3</v>
      </c>
      <c r="E10529" s="10">
        <f>HYPERLINK("http://www.lingerieopt.ru/images/original/cf64dca1-df02-41aa-8b0a-1d9b92277251.jpg","Фото")</f>
      </c>
    </row>
    <row r="10530">
      <c r="A10530" s="7">
        <f>HYPERLINK("http://www.lingerieopt.ru/item/892-novogodnie-chulki-s-bantami/","892")</f>
      </c>
      <c r="B10530" s="8" t="s">
        <v>7620</v>
      </c>
      <c r="C10530" s="9">
        <v>415</v>
      </c>
      <c r="D10530" s="0">
        <v>1</v>
      </c>
      <c r="E10530" s="10">
        <f>HYPERLINK("http://www.lingerieopt.ru/images/original/b67f7230-ed76-48ee-9dcd-abc8f6c22af3.jpg","Фото")</f>
      </c>
    </row>
    <row r="10531">
      <c r="A10531" s="7">
        <f>HYPERLINK("http://www.lingerieopt.ru/item/896-novogodnie-chulki-v-krupnuyu-setku/","896")</f>
      </c>
      <c r="B10531" s="8" t="s">
        <v>7621</v>
      </c>
      <c r="C10531" s="9">
        <v>415</v>
      </c>
      <c r="D10531" s="0">
        <v>2</v>
      </c>
      <c r="E10531" s="10">
        <f>HYPERLINK("http://www.lingerieopt.ru/images/original/0a23588a-31fa-4a12-ab07-623a9caa5b46.jpg","Фото")</f>
      </c>
    </row>
    <row r="10532">
      <c r="A10532" s="7">
        <f>HYPERLINK("http://www.lingerieopt.ru/item/944-novogodnii-kostyum-snegurki/","944")</f>
      </c>
      <c r="B10532" s="8" t="s">
        <v>10046</v>
      </c>
      <c r="C10532" s="9">
        <v>2288</v>
      </c>
      <c r="D10532" s="0">
        <v>1</v>
      </c>
      <c r="E10532" s="10">
        <f>HYPERLINK("http://www.lingerieopt.ru/images/original/c89f4417-bb77-4715-890f-248b072341ba.jpg","Фото")</f>
      </c>
    </row>
    <row r="10533">
      <c r="A10533" s="7">
        <f>HYPERLINK("http://www.lingerieopt.ru/item/944-novogodnii-kostyum-snegurki/","944")</f>
      </c>
      <c r="B10533" s="8" t="s">
        <v>10047</v>
      </c>
      <c r="C10533" s="9">
        <v>2288</v>
      </c>
      <c r="D10533" s="0">
        <v>0</v>
      </c>
      <c r="E10533" s="10">
        <f>HYPERLINK("http://www.lingerieopt.ru/images/original/c89f4417-bb77-4715-890f-248b072341ba.jpg","Фото")</f>
      </c>
    </row>
    <row r="10534">
      <c r="A10534" s="7">
        <f>HYPERLINK("http://www.lingerieopt.ru/item/944-novogodnii-kostyum-snegurki/","944")</f>
      </c>
      <c r="B10534" s="8" t="s">
        <v>10048</v>
      </c>
      <c r="C10534" s="9">
        <v>2288</v>
      </c>
      <c r="D10534" s="0">
        <v>0</v>
      </c>
      <c r="E10534" s="10">
        <f>HYPERLINK("http://www.lingerieopt.ru/images/original/c89f4417-bb77-4715-890f-248b072341ba.jpg","Фото")</f>
      </c>
    </row>
    <row r="10535">
      <c r="A10535" s="7">
        <f>HYPERLINK("http://www.lingerieopt.ru/item/2387-sinii-novogodnii-kostyum-deda-moroza/","2387")</f>
      </c>
      <c r="B10535" s="8" t="s">
        <v>10049</v>
      </c>
      <c r="C10535" s="9">
        <v>1909</v>
      </c>
      <c r="D10535" s="0">
        <v>1</v>
      </c>
      <c r="E10535" s="10">
        <f>HYPERLINK("http://www.lingerieopt.ru/images/original/e30dcdc5-8acf-4afb-b00c-e8b03e84ac6c.jpg","Фото")</f>
      </c>
    </row>
    <row r="10536">
      <c r="A10536" s="7">
        <f>HYPERLINK("http://www.lingerieopt.ru/item/5639-novogodnee-mini-plate-s-mehovoi-otdelkoi/","5639")</f>
      </c>
      <c r="B10536" s="8" t="s">
        <v>3975</v>
      </c>
      <c r="C10536" s="9">
        <v>1981</v>
      </c>
      <c r="D10536" s="0">
        <v>1</v>
      </c>
      <c r="E10536" s="10">
        <f>HYPERLINK("http://www.lingerieopt.ru/images/original/0d0864ff-c254-43dc-a65f-0c542f4aa3bc.jpg","Фото")</f>
      </c>
    </row>
    <row r="10537">
      <c r="A10537" s="7">
        <f>HYPERLINK("http://www.lingerieopt.ru/item/5639-novogodnee-mini-plate-s-mehovoi-otdelkoi/","5639")</f>
      </c>
      <c r="B10537" s="8" t="s">
        <v>3976</v>
      </c>
      <c r="C10537" s="9">
        <v>1981</v>
      </c>
      <c r="D10537" s="0">
        <v>0</v>
      </c>
      <c r="E10537" s="10">
        <f>HYPERLINK("http://www.lingerieopt.ru/images/original/0d0864ff-c254-43dc-a65f-0c542f4aa3bc.jpg","Фото")</f>
      </c>
    </row>
    <row r="10538">
      <c r="A10538" s="7">
        <f>HYPERLINK("http://www.lingerieopt.ru/item/5677-kostyum-podruzhki-santj/","5677")</f>
      </c>
      <c r="B10538" s="8" t="s">
        <v>10050</v>
      </c>
      <c r="C10538" s="9">
        <v>953</v>
      </c>
      <c r="D10538" s="0">
        <v>0</v>
      </c>
      <c r="E10538" s="10">
        <f>HYPERLINK("http://www.lingerieopt.ru/images/original/87638788-d512-4586-821c-2bde28c0247a.jpg","Фото")</f>
      </c>
    </row>
    <row r="10539">
      <c r="A10539" s="7">
        <f>HYPERLINK("http://www.lingerieopt.ru/item/5677-kostyum-podruzhki-santj/","5677")</f>
      </c>
      <c r="B10539" s="8" t="s">
        <v>10051</v>
      </c>
      <c r="C10539" s="9">
        <v>953</v>
      </c>
      <c r="D10539" s="0">
        <v>3</v>
      </c>
      <c r="E10539" s="10">
        <f>HYPERLINK("http://www.lingerieopt.ru/images/original/87638788-d512-4586-821c-2bde28c0247a.jpg","Фото")</f>
      </c>
    </row>
    <row r="10540">
      <c r="A10540" s="7">
        <f>HYPERLINK("http://www.lingerieopt.ru/item/5711-sorochka-v-novogodnem-stile/","5711")</f>
      </c>
      <c r="B10540" s="8" t="s">
        <v>4828</v>
      </c>
      <c r="C10540" s="9">
        <v>3745</v>
      </c>
      <c r="D10540" s="0">
        <v>0</v>
      </c>
      <c r="E10540" s="10">
        <f>HYPERLINK("http://www.lingerieopt.ru/images/original/0c3c5ca4-1a9e-4e08-b8bc-cfca66eb6bde.jpg","Фото")</f>
      </c>
    </row>
    <row r="10541">
      <c r="A10541" s="7">
        <f>HYPERLINK("http://www.lingerieopt.ru/item/5711-sorochka-v-novogodnem-stile/","5711")</f>
      </c>
      <c r="B10541" s="8" t="s">
        <v>4829</v>
      </c>
      <c r="C10541" s="9">
        <v>3745</v>
      </c>
      <c r="D10541" s="0">
        <v>3</v>
      </c>
      <c r="E10541" s="10">
        <f>HYPERLINK("http://www.lingerieopt.ru/images/original/0c3c5ca4-1a9e-4e08-b8bc-cfca66eb6bde.jpg","Фото")</f>
      </c>
    </row>
    <row r="10542">
      <c r="A10542" s="7">
        <f>HYPERLINK("http://www.lingerieopt.ru/item/5711-sorochka-v-novogodnem-stile/","5711")</f>
      </c>
      <c r="B10542" s="8" t="s">
        <v>4827</v>
      </c>
      <c r="C10542" s="9">
        <v>3745</v>
      </c>
      <c r="D10542" s="0">
        <v>7</v>
      </c>
      <c r="E10542" s="10">
        <f>HYPERLINK("http://www.lingerieopt.ru/images/original/0c3c5ca4-1a9e-4e08-b8bc-cfca66eb6bde.jpg","Фото")</f>
      </c>
    </row>
    <row r="10543">
      <c r="A10543" s="7">
        <f>HYPERLINK("http://www.lingerieopt.ru/item/7136-kostyum-pomoschnicj-santj/","7136")</f>
      </c>
      <c r="B10543" s="8" t="s">
        <v>10052</v>
      </c>
      <c r="C10543" s="9">
        <v>1156</v>
      </c>
      <c r="D10543" s="0">
        <v>1</v>
      </c>
      <c r="E10543" s="10">
        <f>HYPERLINK("http://www.lingerieopt.ru/images/original/b72e03ea-65e2-4647-bf62-46b25281613e.jpg","Фото")</f>
      </c>
    </row>
    <row r="10544">
      <c r="A10544" s="7">
        <f>HYPERLINK("http://www.lingerieopt.ru/item/11251-kostyum-transformer-pomoschnica-santj-ili-alji-komplekt-belya-s-oborkami/","11251")</f>
      </c>
      <c r="B10544" s="8" t="s">
        <v>2715</v>
      </c>
      <c r="C10544" s="9">
        <v>2426</v>
      </c>
      <c r="D10544" s="0">
        <v>2</v>
      </c>
      <c r="E10544" s="10">
        <f>HYPERLINK("http://www.lingerieopt.ru/images/original/624de50f-620e-4982-abb8-8156f2efa300.jpg","Фото")</f>
      </c>
    </row>
    <row r="10545">
      <c r="A10545" s="7">
        <f>HYPERLINK("http://www.lingerieopt.ru/item/11251-kostyum-transformer-pomoschnica-santj-ili-alji-komplekt-belya-s-oborkami/","11251")</f>
      </c>
      <c r="B10545" s="8" t="s">
        <v>2716</v>
      </c>
      <c r="C10545" s="9">
        <v>2426</v>
      </c>
      <c r="D10545" s="0">
        <v>5</v>
      </c>
      <c r="E10545" s="10">
        <f>HYPERLINK("http://www.lingerieopt.ru/images/original/624de50f-620e-4982-abb8-8156f2efa300.jpg","Фото")</f>
      </c>
    </row>
    <row r="10546">
      <c r="A10546" s="5"/>
      <c r="B10546" s="6" t="s">
        <v>10053</v>
      </c>
      <c r="C10546" s="5"/>
      <c r="D10546" s="5"/>
      <c r="E10546" s="5"/>
    </row>
    <row r="10547">
      <c r="A10547" s="7">
        <f>HYPERLINK("http://www.lingerieopt.ru/item/143-igrovoi-kostyum-styuardessj/","143")</f>
      </c>
      <c r="B10547" s="8" t="s">
        <v>10054</v>
      </c>
      <c r="C10547" s="9">
        <v>2922</v>
      </c>
      <c r="D10547" s="0">
        <v>0</v>
      </c>
      <c r="E10547" s="10">
        <f>HYPERLINK("http://www.lingerieopt.ru/images/original/9c7116bb-cf32-481a-a209-e312c859af50.jpg","Фото")</f>
      </c>
    </row>
    <row r="10548">
      <c r="A10548" s="7">
        <f>HYPERLINK("http://www.lingerieopt.ru/item/143-igrovoi-kostyum-styuardessj/","143")</f>
      </c>
      <c r="B10548" s="8" t="s">
        <v>10055</v>
      </c>
      <c r="C10548" s="9">
        <v>2922</v>
      </c>
      <c r="D10548" s="0">
        <v>2</v>
      </c>
      <c r="E10548" s="10">
        <f>HYPERLINK("http://www.lingerieopt.ru/images/original/9c7116bb-cf32-481a-a209-e312c859af50.jpg","Фото")</f>
      </c>
    </row>
    <row r="10549">
      <c r="A10549" s="7">
        <f>HYPERLINK("http://www.lingerieopt.ru/item/834-zhenskoe-plate-aviapilota/","834")</f>
      </c>
      <c r="B10549" s="8" t="s">
        <v>10056</v>
      </c>
      <c r="C10549" s="9">
        <v>1620</v>
      </c>
      <c r="D10549" s="0">
        <v>2</v>
      </c>
      <c r="E10549" s="10">
        <f>HYPERLINK("http://www.lingerieopt.ru/images/original/b0d1b2ed-755f-4d13-bffd-3f44aa1c7cad.jpg","Фото")</f>
      </c>
    </row>
    <row r="10550">
      <c r="A10550" s="7">
        <f>HYPERLINK("http://www.lingerieopt.ru/item/834-zhenskoe-plate-aviapilota/","834")</f>
      </c>
      <c r="B10550" s="8" t="s">
        <v>10057</v>
      </c>
      <c r="C10550" s="9">
        <v>1620</v>
      </c>
      <c r="D10550" s="0">
        <v>0</v>
      </c>
      <c r="E10550" s="10">
        <f>HYPERLINK("http://www.lingerieopt.ru/images/original/b0d1b2ed-755f-4d13-bffd-3f44aa1c7cad.jpg","Фото")</f>
      </c>
    </row>
    <row r="10551">
      <c r="A10551" s="7">
        <f>HYPERLINK("http://www.lingerieopt.ru/item/834-zhenskoe-plate-aviapilota/","834")</f>
      </c>
      <c r="B10551" s="8" t="s">
        <v>10058</v>
      </c>
      <c r="C10551" s="9">
        <v>1620</v>
      </c>
      <c r="D10551" s="0">
        <v>0</v>
      </c>
      <c r="E10551" s="10">
        <f>HYPERLINK("http://www.lingerieopt.ru/images/original/b0d1b2ed-755f-4d13-bffd-3f44aa1c7cad.jpg","Фото")</f>
      </c>
    </row>
    <row r="10552">
      <c r="A10552" s="7">
        <f>HYPERLINK("http://www.lingerieopt.ru/item/937-kostyum-styuardessj/","937")</f>
      </c>
      <c r="B10552" s="8" t="s">
        <v>10059</v>
      </c>
      <c r="C10552" s="9">
        <v>1784</v>
      </c>
      <c r="D10552" s="0">
        <v>8</v>
      </c>
      <c r="E10552" s="10">
        <f>HYPERLINK("http://www.lingerieopt.ru/images/original/0a62a79c-3d64-4c1e-9dab-b5fbb9ba3ffe.jpg","Фото")</f>
      </c>
    </row>
    <row r="10553">
      <c r="A10553" s="7">
        <f>HYPERLINK("http://www.lingerieopt.ru/item/2831-kostyum-bortprovodnicj/","2831")</f>
      </c>
      <c r="B10553" s="8" t="s">
        <v>10060</v>
      </c>
      <c r="C10553" s="9">
        <v>1883</v>
      </c>
      <c r="D10553" s="0">
        <v>0</v>
      </c>
      <c r="E10553" s="10">
        <f>HYPERLINK("http://www.lingerieopt.ru/images/original/d8187936-0f19-4282-8fbc-511d3462e826.jpg","Фото")</f>
      </c>
    </row>
    <row r="10554">
      <c r="A10554" s="7">
        <f>HYPERLINK("http://www.lingerieopt.ru/item/2831-kostyum-bortprovodnicj/","2831")</f>
      </c>
      <c r="B10554" s="8" t="s">
        <v>10061</v>
      </c>
      <c r="C10554" s="9">
        <v>1883</v>
      </c>
      <c r="D10554" s="0">
        <v>20</v>
      </c>
      <c r="E10554" s="10">
        <f>HYPERLINK("http://www.lingerieopt.ru/images/original/d8187936-0f19-4282-8fbc-511d3462e826.jpg","Фото")</f>
      </c>
    </row>
    <row r="10555">
      <c r="A10555" s="7">
        <f>HYPERLINK("http://www.lingerieopt.ru/item/6827-kostyum-styuardessj-premium-klassa/","6827")</f>
      </c>
      <c r="B10555" s="8" t="s">
        <v>10062</v>
      </c>
      <c r="C10555" s="9">
        <v>2069</v>
      </c>
      <c r="D10555" s="0">
        <v>2</v>
      </c>
      <c r="E10555" s="10">
        <f>HYPERLINK("http://www.lingerieopt.ru/images/original/f97ae81a-aec1-4a88-a4a4-04718974d90c.jpg","Фото")</f>
      </c>
    </row>
    <row r="10556">
      <c r="A10556" s="7">
        <f>HYPERLINK("http://www.lingerieopt.ru/item/6827-kostyum-styuardessj-premium-klassa/","6827")</f>
      </c>
      <c r="B10556" s="8" t="s">
        <v>10063</v>
      </c>
      <c r="C10556" s="9">
        <v>2069</v>
      </c>
      <c r="D10556" s="0">
        <v>4</v>
      </c>
      <c r="E10556" s="10">
        <f>HYPERLINK("http://www.lingerieopt.ru/images/original/f97ae81a-aec1-4a88-a4a4-04718974d90c.jpg","Фото")</f>
      </c>
    </row>
    <row r="10557">
      <c r="A10557" s="7">
        <f>HYPERLINK("http://www.lingerieopt.ru/item/6827-kostyum-styuardessj-premium-klassa/","6827")</f>
      </c>
      <c r="B10557" s="8" t="s">
        <v>10064</v>
      </c>
      <c r="C10557" s="9">
        <v>2069</v>
      </c>
      <c r="D10557" s="0">
        <v>5</v>
      </c>
      <c r="E10557" s="10">
        <f>HYPERLINK("http://www.lingerieopt.ru/images/original/f97ae81a-aec1-4a88-a4a4-04718974d90c.jpg","Фото")</f>
      </c>
    </row>
    <row r="10558">
      <c r="A10558" s="7">
        <f>HYPERLINK("http://www.lingerieopt.ru/item/8685-kostyum-styuardessj-pacifica/","8685")</f>
      </c>
      <c r="B10558" s="8" t="s">
        <v>10065</v>
      </c>
      <c r="C10558" s="9">
        <v>1751</v>
      </c>
      <c r="D10558" s="0">
        <v>6</v>
      </c>
      <c r="E10558" s="10">
        <f>HYPERLINK("http://www.lingerieopt.ru/images/original/63808e1f-355c-4169-9033-e823a511c8cd.jpg","Фото")</f>
      </c>
    </row>
    <row r="10559">
      <c r="A10559" s="7">
        <f>HYPERLINK("http://www.lingerieopt.ru/item/8685-kostyum-styuardessj-pacifica/","8685")</f>
      </c>
      <c r="B10559" s="8" t="s">
        <v>10066</v>
      </c>
      <c r="C10559" s="9">
        <v>1751</v>
      </c>
      <c r="D10559" s="0">
        <v>10</v>
      </c>
      <c r="E10559" s="10">
        <f>HYPERLINK("http://www.lingerieopt.ru/images/original/63808e1f-355c-4169-9033-e823a511c8cd.jpg","Фото")</f>
      </c>
    </row>
    <row r="10560">
      <c r="A10560" s="7">
        <f>HYPERLINK("http://www.lingerieopt.ru/item/8997-kostyum-soblaznitelnoi-styuardessj-iz-5-predmetov/","8997")</f>
      </c>
      <c r="B10560" s="8" t="s">
        <v>10067</v>
      </c>
      <c r="C10560" s="9">
        <v>2260</v>
      </c>
      <c r="D10560" s="0">
        <v>6</v>
      </c>
      <c r="E10560" s="10">
        <f>HYPERLINK("http://www.lingerieopt.ru/images/original/0e7b6c35-38b1-44c2-8af5-3c7569785f2d.jpg","Фото")</f>
      </c>
    </row>
    <row r="10561">
      <c r="A10561" s="7">
        <f>HYPERLINK("http://www.lingerieopt.ru/item/8997-kostyum-soblaznitelnoi-styuardessj-iz-5-predmetov/","8997")</f>
      </c>
      <c r="B10561" s="8" t="s">
        <v>10068</v>
      </c>
      <c r="C10561" s="9">
        <v>2260</v>
      </c>
      <c r="D10561" s="0">
        <v>10</v>
      </c>
      <c r="E10561" s="10">
        <f>HYPERLINK("http://www.lingerieopt.ru/images/original/0e7b6c35-38b1-44c2-8af5-3c7569785f2d.jpg","Фото")</f>
      </c>
    </row>
    <row r="10562">
      <c r="A10562" s="7">
        <f>HYPERLINK("http://www.lingerieopt.ru/item/9273-pilotka-styuardessj-iz-iskusstvennoi-kozhi/","9273")</f>
      </c>
      <c r="B10562" s="8" t="s">
        <v>10069</v>
      </c>
      <c r="C10562" s="9">
        <v>744</v>
      </c>
      <c r="D10562" s="0">
        <v>5</v>
      </c>
      <c r="E10562" s="10">
        <f>HYPERLINK("http://www.lingerieopt.ru/images/original/1011f511-3b0b-41c8-b885-3caeae1b519d.jpg","Фото")</f>
      </c>
    </row>
    <row r="10563">
      <c r="A10563" s="7">
        <f>HYPERLINK("http://www.lingerieopt.ru/item/10025-kostyum-styuardessj-air-hostess/","10025")</f>
      </c>
      <c r="B10563" s="8" t="s">
        <v>10070</v>
      </c>
      <c r="C10563" s="9">
        <v>2551</v>
      </c>
      <c r="D10563" s="0">
        <v>1</v>
      </c>
      <c r="E10563" s="10">
        <f>HYPERLINK("http://www.lingerieopt.ru/images/original/3ad06cdb-e52e-4e0f-8d9c-52c2a114c7fb.jpg","Фото")</f>
      </c>
    </row>
    <row r="10564">
      <c r="A10564" s="7">
        <f>HYPERLINK("http://www.lingerieopt.ru/item/11100-igrovoi-kostyum-styuardessj-razmerom-plus-size/","11100")</f>
      </c>
      <c r="B10564" s="8" t="s">
        <v>10071</v>
      </c>
      <c r="C10564" s="9">
        <v>3149</v>
      </c>
      <c r="D10564" s="0">
        <v>4</v>
      </c>
      <c r="E10564" s="10">
        <f>HYPERLINK("http://www.lingerieopt.ru/images/original/28bb34b0-35e3-4471-9812-0d74642d2466.jpg","Фото")</f>
      </c>
    </row>
    <row r="10565">
      <c r="A10565" s="7">
        <f>HYPERLINK("http://www.lingerieopt.ru/item/11101-bordovji-kostyum-styuardessj/","11101")</f>
      </c>
      <c r="B10565" s="8" t="s">
        <v>10072</v>
      </c>
      <c r="C10565" s="9">
        <v>3149</v>
      </c>
      <c r="D10565" s="0">
        <v>4</v>
      </c>
      <c r="E10565" s="10">
        <f>HYPERLINK("http://www.lingerieopt.ru/images/original/2ae3b42c-f8d1-45fa-8826-568adfca7f3d.jpg","Фото")</f>
      </c>
    </row>
    <row r="10566">
      <c r="A10566" s="7">
        <f>HYPERLINK("http://www.lingerieopt.ru/item/11101-bordovji-kostyum-styuardessj/","11101")</f>
      </c>
      <c r="B10566" s="8" t="s">
        <v>10073</v>
      </c>
      <c r="C10566" s="9">
        <v>3149</v>
      </c>
      <c r="D10566" s="0">
        <v>4</v>
      </c>
      <c r="E10566" s="10">
        <f>HYPERLINK("http://www.lingerieopt.ru/images/original/2ae3b42c-f8d1-45fa-8826-568adfca7f3d.jpg","Фото")</f>
      </c>
    </row>
    <row r="10567">
      <c r="A10567" s="7">
        <f>HYPERLINK("http://www.lingerieopt.ru/item/11101-bordovji-kostyum-styuardessj/","11101")</f>
      </c>
      <c r="B10567" s="8" t="s">
        <v>10074</v>
      </c>
      <c r="C10567" s="9">
        <v>3149</v>
      </c>
      <c r="D10567" s="0">
        <v>0</v>
      </c>
      <c r="E10567" s="10">
        <f>HYPERLINK("http://www.lingerieopt.ru/images/original/2ae3b42c-f8d1-45fa-8826-568adfca7f3d.jpg","Фото")</f>
      </c>
    </row>
    <row r="10568">
      <c r="A10568" s="7">
        <f>HYPERLINK("http://www.lingerieopt.ru/item/11101-bordovji-kostyum-styuardessj/","11101")</f>
      </c>
      <c r="B10568" s="8" t="s">
        <v>10075</v>
      </c>
      <c r="C10568" s="9">
        <v>3149</v>
      </c>
      <c r="D10568" s="0">
        <v>2</v>
      </c>
      <c r="E10568" s="10">
        <f>HYPERLINK("http://www.lingerieopt.ru/images/original/2ae3b42c-f8d1-45fa-8826-568adfca7f3d.jpg","Фото")</f>
      </c>
    </row>
    <row r="10569">
      <c r="A10569" s="7">
        <f>HYPERLINK("http://www.lingerieopt.ru/item/11121-poluprozrachnji-kostyum-pilota-uvelichennogo-razmera/","11121")</f>
      </c>
      <c r="B10569" s="8" t="s">
        <v>10076</v>
      </c>
      <c r="C10569" s="9">
        <v>3043</v>
      </c>
      <c r="D10569" s="0">
        <v>5</v>
      </c>
      <c r="E10569" s="10">
        <f>HYPERLINK("http://www.lingerieopt.ru/images/original/502b0d89-b9cd-4405-9f2e-8dc709a2d7ce.jpg","Фото")</f>
      </c>
    </row>
    <row r="10570">
      <c r="A10570" s="7">
        <f>HYPERLINK("http://www.lingerieopt.ru/item/11135-kostyum-pilota/","11135")</f>
      </c>
      <c r="B10570" s="8" t="s">
        <v>10077</v>
      </c>
      <c r="C10570" s="9">
        <v>3043</v>
      </c>
      <c r="D10570" s="0">
        <v>5</v>
      </c>
      <c r="E10570" s="10">
        <f>HYPERLINK("http://www.lingerieopt.ru/images/original/ba0a50e9-5a12-4fa6-8525-ebb55ca4fada.jpg","Фото")</f>
      </c>
    </row>
    <row r="10571">
      <c r="A10571" s="7">
        <f>HYPERLINK("http://www.lingerieopt.ru/item/11135-kostyum-pilota/","11135")</f>
      </c>
      <c r="B10571" s="8" t="s">
        <v>10078</v>
      </c>
      <c r="C10571" s="9">
        <v>3043</v>
      </c>
      <c r="D10571" s="0">
        <v>4</v>
      </c>
      <c r="E10571" s="10">
        <f>HYPERLINK("http://www.lingerieopt.ru/images/original/ba0a50e9-5a12-4fa6-8525-ebb55ca4fada.jpg","Фото")</f>
      </c>
    </row>
    <row r="10572">
      <c r="A10572" s="7">
        <f>HYPERLINK("http://www.lingerieopt.ru/item/11135-kostyum-pilota/","11135")</f>
      </c>
      <c r="B10572" s="8" t="s">
        <v>10079</v>
      </c>
      <c r="C10572" s="9">
        <v>3043</v>
      </c>
      <c r="D10572" s="0">
        <v>4</v>
      </c>
      <c r="E10572" s="10">
        <f>HYPERLINK("http://www.lingerieopt.ru/images/original/ba0a50e9-5a12-4fa6-8525-ebb55ca4fada.jpg","Фото")</f>
      </c>
    </row>
    <row r="10573">
      <c r="A10573" s="7">
        <f>HYPERLINK("http://www.lingerieopt.ru/item/11135-kostyum-pilota/","11135")</f>
      </c>
      <c r="B10573" s="8" t="s">
        <v>10080</v>
      </c>
      <c r="C10573" s="9">
        <v>3043</v>
      </c>
      <c r="D10573" s="0">
        <v>4</v>
      </c>
      <c r="E10573" s="10">
        <f>HYPERLINK("http://www.lingerieopt.ru/images/original/ba0a50e9-5a12-4fa6-8525-ebb55ca4fada.jpg","Фото")</f>
      </c>
    </row>
    <row r="10574">
      <c r="A10574" s="5"/>
      <c r="B10574" s="6" t="s">
        <v>10081</v>
      </c>
      <c r="C10574" s="5"/>
      <c r="D10574" s="5"/>
      <c r="E10574" s="5"/>
    </row>
    <row r="10575">
      <c r="A10575" s="7">
        <f>HYPERLINK("http://www.lingerieopt.ru/item/748-chernoe-plate-admirala/","748")</f>
      </c>
      <c r="B10575" s="8" t="s">
        <v>10082</v>
      </c>
      <c r="C10575" s="9">
        <v>1627</v>
      </c>
      <c r="D10575" s="0">
        <v>2</v>
      </c>
      <c r="E10575" s="10">
        <f>HYPERLINK("http://www.lingerieopt.ru/images/original/3964a701-25bb-4b92-997e-ed2a9734bc6d.jpg","Фото")</f>
      </c>
    </row>
    <row r="10576">
      <c r="A10576" s="7">
        <f>HYPERLINK("http://www.lingerieopt.ru/item/765-zhenskii-kostyum-kopa/","765")</f>
      </c>
      <c r="B10576" s="8" t="s">
        <v>10083</v>
      </c>
      <c r="C10576" s="9">
        <v>2138</v>
      </c>
      <c r="D10576" s="0">
        <v>5</v>
      </c>
      <c r="E10576" s="10">
        <f>HYPERLINK("http://www.lingerieopt.ru/images/original/e8478d1c-d988-4616-94a0-a7db78a5ce1d.jpg","Фото")</f>
      </c>
    </row>
    <row r="10577">
      <c r="A10577" s="7">
        <f>HYPERLINK("http://www.lingerieopt.ru/item/765-zhenskii-kostyum-kopa/","765")</f>
      </c>
      <c r="B10577" s="8" t="s">
        <v>10084</v>
      </c>
      <c r="C10577" s="9">
        <v>2138</v>
      </c>
      <c r="D10577" s="0">
        <v>3</v>
      </c>
      <c r="E10577" s="10">
        <f>HYPERLINK("http://www.lingerieopt.ru/images/original/e8478d1c-d988-4616-94a0-a7db78a5ce1d.jpg","Фото")</f>
      </c>
    </row>
    <row r="10578">
      <c r="A10578" s="7">
        <f>HYPERLINK("http://www.lingerieopt.ru/item/765-zhenskii-kostyum-kopa/","765")</f>
      </c>
      <c r="B10578" s="8" t="s">
        <v>10085</v>
      </c>
      <c r="C10578" s="9">
        <v>2138</v>
      </c>
      <c r="D10578" s="0">
        <v>0</v>
      </c>
      <c r="E10578" s="10">
        <f>HYPERLINK("http://www.lingerieopt.ru/images/original/e8478d1c-d988-4616-94a0-a7db78a5ce1d.jpg","Фото")</f>
      </c>
    </row>
    <row r="10579">
      <c r="A10579" s="7">
        <f>HYPERLINK("http://www.lingerieopt.ru/item/802-kostyum-zaklyuchennoi/","802")</f>
      </c>
      <c r="B10579" s="8" t="s">
        <v>10086</v>
      </c>
      <c r="C10579" s="9">
        <v>710</v>
      </c>
      <c r="D10579" s="0">
        <v>2</v>
      </c>
      <c r="E10579" s="10">
        <f>HYPERLINK("http://www.lingerieopt.ru/images/original/c3a221af-3cb4-4703-b5a0-4a0c45d9eb1f.jpg","Фото")</f>
      </c>
    </row>
    <row r="10580">
      <c r="A10580" s="7">
        <f>HYPERLINK("http://www.lingerieopt.ru/item/831-zhenskii-kostyum-policeiskogo/","831")</f>
      </c>
      <c r="B10580" s="8" t="s">
        <v>10087</v>
      </c>
      <c r="C10580" s="9">
        <v>2069</v>
      </c>
      <c r="D10580" s="0">
        <v>2</v>
      </c>
      <c r="E10580" s="10">
        <f>HYPERLINK("http://www.lingerieopt.ru/images/original/aebc77e8-e833-4519-b988-9a922452db1b.jpg","Фото")</f>
      </c>
    </row>
    <row r="10581">
      <c r="A10581" s="7">
        <f>HYPERLINK("http://www.lingerieopt.ru/item/846-kostyum-policeiskogo/","846")</f>
      </c>
      <c r="B10581" s="8" t="s">
        <v>10088</v>
      </c>
      <c r="C10581" s="9">
        <v>2069</v>
      </c>
      <c r="D10581" s="0">
        <v>20</v>
      </c>
      <c r="E10581" s="10">
        <f>HYPERLINK("http://www.lingerieopt.ru/images/original/85e05961-8bf9-437e-bb4d-c69251dd8e84.jpg","Фото")</f>
      </c>
    </row>
    <row r="10582">
      <c r="A10582" s="7">
        <f>HYPERLINK("http://www.lingerieopt.ru/item/846-kostyum-policeiskogo/","846")</f>
      </c>
      <c r="B10582" s="8" t="s">
        <v>10089</v>
      </c>
      <c r="C10582" s="9">
        <v>2069</v>
      </c>
      <c r="D10582" s="0">
        <v>7</v>
      </c>
      <c r="E10582" s="10">
        <f>HYPERLINK("http://www.lingerieopt.ru/images/original/85e05961-8bf9-437e-bb4d-c69251dd8e84.jpg","Фото")</f>
      </c>
    </row>
    <row r="10583">
      <c r="A10583" s="7">
        <f>HYPERLINK("http://www.lingerieopt.ru/item/846-kostyum-policeiskogo/","846")</f>
      </c>
      <c r="B10583" s="8" t="s">
        <v>10090</v>
      </c>
      <c r="C10583" s="9">
        <v>2069</v>
      </c>
      <c r="D10583" s="0">
        <v>21</v>
      </c>
      <c r="E10583" s="10">
        <f>HYPERLINK("http://www.lingerieopt.ru/images/original/85e05961-8bf9-437e-bb4d-c69251dd8e84.jpg","Фото")</f>
      </c>
    </row>
    <row r="10584">
      <c r="A10584" s="7">
        <f>HYPERLINK("http://www.lingerieopt.ru/item/886-furazhka-policeiskogo/","886")</f>
      </c>
      <c r="B10584" s="8" t="s">
        <v>10091</v>
      </c>
      <c r="C10584" s="9">
        <v>442</v>
      </c>
      <c r="D10584" s="0">
        <v>20</v>
      </c>
      <c r="E10584" s="10">
        <f>HYPERLINK("http://www.lingerieopt.ru/images/original/04542a5e-74ba-40a3-a080-8b10430415b5.jpg","Фото")</f>
      </c>
    </row>
    <row r="10585">
      <c r="A10585" s="7">
        <f>HYPERLINK("http://www.lingerieopt.ru/item/888-chernje-chulki-v-setku-so-znachkom-police/","888")</f>
      </c>
      <c r="B10585" s="8" t="s">
        <v>7618</v>
      </c>
      <c r="C10585" s="9">
        <v>505</v>
      </c>
      <c r="D10585" s="0">
        <v>2</v>
      </c>
      <c r="E10585" s="10">
        <f>HYPERLINK("http://www.lingerieopt.ru/images/original/e572ef30-0137-491e-994d-350987cd9369.jpg","Фото")</f>
      </c>
    </row>
    <row r="10586">
      <c r="A10586" s="7">
        <f>HYPERLINK("http://www.lingerieopt.ru/item/931-kostyum-polisvumen/","931")</f>
      </c>
      <c r="B10586" s="8" t="s">
        <v>10092</v>
      </c>
      <c r="C10586" s="9">
        <v>1941</v>
      </c>
      <c r="D10586" s="0">
        <v>3</v>
      </c>
      <c r="E10586" s="10">
        <f>HYPERLINK("http://www.lingerieopt.ru/images/original/fa05d512-de89-4c97-ad2b-efef469dcb87.jpg","Фото")</f>
      </c>
    </row>
    <row r="10587">
      <c r="A10587" s="7">
        <f>HYPERLINK("http://www.lingerieopt.ru/item/933-kostyum-prestupnicj/","933")</f>
      </c>
      <c r="B10587" s="8" t="s">
        <v>10093</v>
      </c>
      <c r="C10587" s="9">
        <v>1178</v>
      </c>
      <c r="D10587" s="0">
        <v>1</v>
      </c>
      <c r="E10587" s="10">
        <f>HYPERLINK("http://www.lingerieopt.ru/images/original/b3cc78e6-e990-461d-9b6b-e3d762f690ab.jpg","Фото")</f>
      </c>
    </row>
    <row r="10588">
      <c r="A10588" s="7">
        <f>HYPERLINK("http://www.lingerieopt.ru/item/936-kostyum-policeiskogo/","936")</f>
      </c>
      <c r="B10588" s="8" t="s">
        <v>10094</v>
      </c>
      <c r="C10588" s="9">
        <v>1550</v>
      </c>
      <c r="D10588" s="0">
        <v>8</v>
      </c>
      <c r="E10588" s="10">
        <f>HYPERLINK("http://www.lingerieopt.ru/images/original/b70597ed-4c7c-46c3-8c8d-acc0a45464f0.jpg","Фото")</f>
      </c>
    </row>
    <row r="10589">
      <c r="A10589" s="7">
        <f>HYPERLINK("http://www.lingerieopt.ru/item/936-kostyum-policeiskogo/","936")</f>
      </c>
      <c r="B10589" s="8" t="s">
        <v>10089</v>
      </c>
      <c r="C10589" s="9">
        <v>1550</v>
      </c>
      <c r="D10589" s="0">
        <v>20</v>
      </c>
      <c r="E10589" s="10">
        <f>HYPERLINK("http://www.lingerieopt.ru/images/original/b70597ed-4c7c-46c3-8c8d-acc0a45464f0.jpg","Фото")</f>
      </c>
    </row>
    <row r="10590">
      <c r="A10590" s="7">
        <f>HYPERLINK("http://www.lingerieopt.ru/item/936-kostyum-policeiskogo/","936")</f>
      </c>
      <c r="B10590" s="8" t="s">
        <v>10090</v>
      </c>
      <c r="C10590" s="9">
        <v>1550</v>
      </c>
      <c r="D10590" s="0">
        <v>16</v>
      </c>
      <c r="E10590" s="10">
        <f>HYPERLINK("http://www.lingerieopt.ru/images/original/b70597ed-4c7c-46c3-8c8d-acc0a45464f0.jpg","Фото")</f>
      </c>
    </row>
    <row r="10591">
      <c r="A10591" s="7">
        <f>HYPERLINK("http://www.lingerieopt.ru/item/1348-igrovoi-kostyum-nadziratelnica/","1348")</f>
      </c>
      <c r="B10591" s="8" t="s">
        <v>10095</v>
      </c>
      <c r="C10591" s="9">
        <v>3115</v>
      </c>
      <c r="D10591" s="0">
        <v>0</v>
      </c>
      <c r="E10591" s="10">
        <f>HYPERLINK("http://www.lingerieopt.ru/images/original/3b68675f-466e-4d78-b1df-1ae7a1190964.jpg","Фото")</f>
      </c>
    </row>
    <row r="10592">
      <c r="A10592" s="7">
        <f>HYPERLINK("http://www.lingerieopt.ru/item/1348-igrovoi-kostyum-nadziratelnica/","1348")</f>
      </c>
      <c r="B10592" s="8" t="s">
        <v>10096</v>
      </c>
      <c r="C10592" s="9">
        <v>3115</v>
      </c>
      <c r="D10592" s="0">
        <v>0</v>
      </c>
      <c r="E10592" s="10">
        <f>HYPERLINK("http://www.lingerieopt.ru/images/original/3b68675f-466e-4d78-b1df-1ae7a1190964.jpg","Фото")</f>
      </c>
    </row>
    <row r="10593">
      <c r="A10593" s="7">
        <f>HYPERLINK("http://www.lingerieopt.ru/item/1348-igrovoi-kostyum-nadziratelnica/","1348")</f>
      </c>
      <c r="B10593" s="8" t="s">
        <v>10097</v>
      </c>
      <c r="C10593" s="9">
        <v>3115</v>
      </c>
      <c r="D10593" s="0">
        <v>0</v>
      </c>
      <c r="E10593" s="10">
        <f>HYPERLINK("http://www.lingerieopt.ru/images/original/3b68675f-466e-4d78-b1df-1ae7a1190964.jpg","Фото")</f>
      </c>
    </row>
    <row r="10594">
      <c r="A10594" s="7">
        <f>HYPERLINK("http://www.lingerieopt.ru/item/1348-igrovoi-kostyum-nadziratelnica/","1348")</f>
      </c>
      <c r="B10594" s="8" t="s">
        <v>10098</v>
      </c>
      <c r="C10594" s="9">
        <v>3115</v>
      </c>
      <c r="D10594" s="0">
        <v>11</v>
      </c>
      <c r="E10594" s="10">
        <f>HYPERLINK("http://www.lingerieopt.ru/images/original/3b68675f-466e-4d78-b1df-1ae7a1190964.jpg","Фото")</f>
      </c>
    </row>
    <row r="10595">
      <c r="A10595" s="7">
        <f>HYPERLINK("http://www.lingerieopt.ru/item/2123-furazhka-policeiskogo/","2123")</f>
      </c>
      <c r="B10595" s="8" t="s">
        <v>10099</v>
      </c>
      <c r="C10595" s="9">
        <v>376</v>
      </c>
      <c r="D10595" s="0">
        <v>20</v>
      </c>
      <c r="E10595" s="10">
        <f>HYPERLINK("http://www.lingerieopt.ru/images/original/47fe0455-cfce-4591-bc5a-76c61a735aa6.jpg","Фото")</f>
      </c>
    </row>
    <row r="10596">
      <c r="A10596" s="7">
        <f>HYPERLINK("http://www.lingerieopt.ru/item/2466-forma-polisvumen/","2466")</f>
      </c>
      <c r="B10596" s="8" t="s">
        <v>10100</v>
      </c>
      <c r="C10596" s="9">
        <v>2855</v>
      </c>
      <c r="D10596" s="0">
        <v>5</v>
      </c>
      <c r="E10596" s="10">
        <f>HYPERLINK("http://www.lingerieopt.ru/images/original/7797d5a1-f672-4379-b059-44011eaedce2.jpg","Фото")</f>
      </c>
    </row>
    <row r="10597">
      <c r="A10597" s="7">
        <f>HYPERLINK("http://www.lingerieopt.ru/item/2466-forma-polisvumen/","2466")</f>
      </c>
      <c r="B10597" s="8" t="s">
        <v>10101</v>
      </c>
      <c r="C10597" s="9">
        <v>2855</v>
      </c>
      <c r="D10597" s="0">
        <v>5</v>
      </c>
      <c r="E10597" s="10">
        <f>HYPERLINK("http://www.lingerieopt.ru/images/original/7797d5a1-f672-4379-b059-44011eaedce2.jpg","Фото")</f>
      </c>
    </row>
    <row r="10598">
      <c r="A10598" s="7">
        <f>HYPERLINK("http://www.lingerieopt.ru/item/2736-armeiskii-kostyum/","2736")</f>
      </c>
      <c r="B10598" s="8" t="s">
        <v>1522</v>
      </c>
      <c r="C10598" s="9">
        <v>1100</v>
      </c>
      <c r="D10598" s="0">
        <v>3</v>
      </c>
      <c r="E10598" s="10">
        <f>HYPERLINK("http://www.lingerieopt.ru/images/original/b77ac4eb-dc1d-4b7c-9b07-a4c12aebd8e7.jpg","Фото")</f>
      </c>
    </row>
    <row r="10599">
      <c r="A10599" s="7">
        <f>HYPERLINK("http://www.lingerieopt.ru/item/2741-igrovoi-kostyum-zaklyuchennoi/","2741")</f>
      </c>
      <c r="B10599" s="8" t="s">
        <v>10102</v>
      </c>
      <c r="C10599" s="9">
        <v>695</v>
      </c>
      <c r="D10599" s="0">
        <v>14</v>
      </c>
      <c r="E10599" s="10">
        <f>HYPERLINK("http://www.lingerieopt.ru/images/original/99b682ad-146f-4a32-b305-9b9568daebff.jpg","Фото")</f>
      </c>
    </row>
    <row r="10600">
      <c r="A10600" s="7">
        <f>HYPERLINK("http://www.lingerieopt.ru/item/3591-forma-strogoi-polisvumen/","3591")</f>
      </c>
      <c r="B10600" s="8" t="s">
        <v>10103</v>
      </c>
      <c r="C10600" s="9">
        <v>1547</v>
      </c>
      <c r="D10600" s="0">
        <v>2</v>
      </c>
      <c r="E10600" s="10">
        <f>HYPERLINK("http://www.lingerieopt.ru/images/original/fb883b4a-c4e1-4578-9c94-a8e10119f1dd.jpg","Фото")</f>
      </c>
    </row>
    <row r="10601">
      <c r="A10601" s="7">
        <f>HYPERLINK("http://www.lingerieopt.ru/item/4681-kostyum-devushka-policeiskii/","4681")</f>
      </c>
      <c r="B10601" s="8" t="s">
        <v>10104</v>
      </c>
      <c r="C10601" s="9">
        <v>3702</v>
      </c>
      <c r="D10601" s="0">
        <v>8</v>
      </c>
      <c r="E10601" s="10">
        <f>HYPERLINK("http://www.lingerieopt.ru/images/original/0c807047-c4ab-423c-93cb-520f87faeb42.jpg","Фото")</f>
      </c>
    </row>
    <row r="10602">
      <c r="A10602" s="7">
        <f>HYPERLINK("http://www.lingerieopt.ru/item/5289-kostyum-derzkogo-kopa/","5289")</f>
      </c>
      <c r="B10602" s="8" t="s">
        <v>10105</v>
      </c>
      <c r="C10602" s="9">
        <v>1842</v>
      </c>
      <c r="D10602" s="0">
        <v>1</v>
      </c>
      <c r="E10602" s="10">
        <f>HYPERLINK("http://www.lingerieopt.ru/images/original/1780f402-9d91-4f80-bfb6-8d21e8d9e691.jpg","Фото")</f>
      </c>
    </row>
    <row r="10603">
      <c r="A10603" s="7">
        <f>HYPERLINK("http://www.lingerieopt.ru/item/5289-kostyum-derzkogo-kopa/","5289")</f>
      </c>
      <c r="B10603" s="8" t="s">
        <v>10106</v>
      </c>
      <c r="C10603" s="9">
        <v>1842</v>
      </c>
      <c r="D10603" s="0">
        <v>21</v>
      </c>
      <c r="E10603" s="10">
        <f>HYPERLINK("http://www.lingerieopt.ru/images/original/1780f402-9d91-4f80-bfb6-8d21e8d9e691.jpg","Фото")</f>
      </c>
    </row>
    <row r="10604">
      <c r="A10604" s="7">
        <f>HYPERLINK("http://www.lingerieopt.ru/item/5292-derzkii-kostyum-nachalnika-kopov/","5292")</f>
      </c>
      <c r="B10604" s="8" t="s">
        <v>10107</v>
      </c>
      <c r="C10604" s="9">
        <v>1485</v>
      </c>
      <c r="D10604" s="0">
        <v>20</v>
      </c>
      <c r="E10604" s="10">
        <f>HYPERLINK("http://www.lingerieopt.ru/images/original/68c7c725-eade-4b04-b0e5-6fce2b25a6c2.jpg","Фото")</f>
      </c>
    </row>
    <row r="10605">
      <c r="A10605" s="7">
        <f>HYPERLINK("http://www.lingerieopt.ru/item/5292-derzkii-kostyum-nachalnika-kopov/","5292")</f>
      </c>
      <c r="B10605" s="8" t="s">
        <v>10108</v>
      </c>
      <c r="C10605" s="9">
        <v>1485</v>
      </c>
      <c r="D10605" s="0">
        <v>20</v>
      </c>
      <c r="E10605" s="10">
        <f>HYPERLINK("http://www.lingerieopt.ru/images/original/68c7c725-eade-4b04-b0e5-6fce2b25a6c2.jpg","Фото")</f>
      </c>
    </row>
    <row r="10606">
      <c r="A10606" s="7">
        <f>HYPERLINK("http://www.lingerieopt.ru/item/5292-derzkii-kostyum-nachalnika-kopov/","5292")</f>
      </c>
      <c r="B10606" s="8" t="s">
        <v>10109</v>
      </c>
      <c r="C10606" s="9">
        <v>1485</v>
      </c>
      <c r="D10606" s="0">
        <v>12</v>
      </c>
      <c r="E10606" s="10">
        <f>HYPERLINK("http://www.lingerieopt.ru/images/original/68c7c725-eade-4b04-b0e5-6fce2b25a6c2.jpg","Фото")</f>
      </c>
    </row>
    <row r="10607">
      <c r="A10607" s="7">
        <f>HYPERLINK("http://www.lingerieopt.ru/item/6987-kostyum-gaishnica/","6987")</f>
      </c>
      <c r="B10607" s="8" t="s">
        <v>10110</v>
      </c>
      <c r="C10607" s="9">
        <v>1176</v>
      </c>
      <c r="D10607" s="0">
        <v>5</v>
      </c>
      <c r="E10607" s="10">
        <f>HYPERLINK("http://www.lingerieopt.ru/images/original/f5bf62fd-46ab-40bf-812f-7b137310c79f.jpg","Фото")</f>
      </c>
    </row>
    <row r="10608">
      <c r="A10608" s="7">
        <f>HYPERLINK("http://www.lingerieopt.ru/item/6987-kostyum-gaishnica/","6987")</f>
      </c>
      <c r="B10608" s="8" t="s">
        <v>10111</v>
      </c>
      <c r="C10608" s="9">
        <v>1176</v>
      </c>
      <c r="D10608" s="0">
        <v>2</v>
      </c>
      <c r="E10608" s="10">
        <f>HYPERLINK("http://www.lingerieopt.ru/images/original/f5bf62fd-46ab-40bf-812f-7b137310c79f.jpg","Фото")</f>
      </c>
    </row>
    <row r="10609">
      <c r="A10609" s="7">
        <f>HYPERLINK("http://www.lingerieopt.ru/item/7161-kostyum-policeiskogo-iz-3-predmetov/","7161")</f>
      </c>
      <c r="B10609" s="8" t="s">
        <v>10112</v>
      </c>
      <c r="C10609" s="9">
        <v>3005</v>
      </c>
      <c r="D10609" s="0">
        <v>0</v>
      </c>
      <c r="E10609" s="10">
        <f>HYPERLINK("http://www.lingerieopt.ru/images/original/6bce3885-6f43-45d7-9587-d2748af34a24.jpg","Фото")</f>
      </c>
    </row>
    <row r="10610">
      <c r="A10610" s="7">
        <f>HYPERLINK("http://www.lingerieopt.ru/item/7161-kostyum-policeiskogo-iz-3-predmetov/","7161")</f>
      </c>
      <c r="B10610" s="8" t="s">
        <v>10113</v>
      </c>
      <c r="C10610" s="9">
        <v>3005</v>
      </c>
      <c r="D10610" s="0">
        <v>3</v>
      </c>
      <c r="E10610" s="10">
        <f>HYPERLINK("http://www.lingerieopt.ru/images/original/6bce3885-6f43-45d7-9587-d2748af34a24.jpg","Фото")</f>
      </c>
    </row>
    <row r="10611">
      <c r="A10611" s="7">
        <f>HYPERLINK("http://www.lingerieopt.ru/item/7161-kostyum-policeiskogo-iz-3-predmetov/","7161")</f>
      </c>
      <c r="B10611" s="8" t="s">
        <v>10114</v>
      </c>
      <c r="C10611" s="9">
        <v>3005</v>
      </c>
      <c r="D10611" s="0">
        <v>5</v>
      </c>
      <c r="E10611" s="10">
        <f>HYPERLINK("http://www.lingerieopt.ru/images/original/6bce3885-6f43-45d7-9587-d2748af34a24.jpg","Фото")</f>
      </c>
    </row>
    <row r="10612">
      <c r="A10612" s="7">
        <f>HYPERLINK("http://www.lingerieopt.ru/item/8994-kostyum-soldatki-iz-4-predmetov/","8994")</f>
      </c>
      <c r="B10612" s="8" t="s">
        <v>10115</v>
      </c>
      <c r="C10612" s="9">
        <v>2479</v>
      </c>
      <c r="D10612" s="0">
        <v>10</v>
      </c>
      <c r="E10612" s="10">
        <f>HYPERLINK("http://www.lingerieopt.ru/images/original/48d13ee5-566d-4fcb-bb32-a82a2da3cd31.jpg","Фото")</f>
      </c>
    </row>
    <row r="10613">
      <c r="A10613" s="7">
        <f>HYPERLINK("http://www.lingerieopt.ru/item/8994-kostyum-soldatki-iz-4-predmetov/","8994")</f>
      </c>
      <c r="B10613" s="8" t="s">
        <v>10116</v>
      </c>
      <c r="C10613" s="9">
        <v>2479</v>
      </c>
      <c r="D10613" s="0">
        <v>3</v>
      </c>
      <c r="E10613" s="10">
        <f>HYPERLINK("http://www.lingerieopt.ru/images/original/48d13ee5-566d-4fcb-bb32-a82a2da3cd31.jpg","Фото")</f>
      </c>
    </row>
    <row r="10614">
      <c r="A10614" s="7">
        <f>HYPERLINK("http://www.lingerieopt.ru/item/9272-voennaya-pilotka/","9272")</f>
      </c>
      <c r="B10614" s="8" t="s">
        <v>10117</v>
      </c>
      <c r="C10614" s="9">
        <v>744</v>
      </c>
      <c r="D10614" s="0">
        <v>9</v>
      </c>
      <c r="E10614" s="10">
        <f>HYPERLINK("http://www.lingerieopt.ru/images/original/0e36821f-d120-4aa2-9e77-30636e590cad.jpg","Фото")</f>
      </c>
    </row>
    <row r="10615">
      <c r="A10615" s="7">
        <f>HYPERLINK("http://www.lingerieopt.ru/item/9311-kostyum-zhenschinj-sherifa/","9311")</f>
      </c>
      <c r="B10615" s="8" t="s">
        <v>10118</v>
      </c>
      <c r="C10615" s="9">
        <v>2721</v>
      </c>
      <c r="D10615" s="0">
        <v>5</v>
      </c>
      <c r="E10615" s="10">
        <f>HYPERLINK("http://www.lingerieopt.ru/images/original/50b63b72-7536-4c3e-a927-65c37c95dc17.jpg","Фото")</f>
      </c>
    </row>
    <row r="10616">
      <c r="A10616" s="7">
        <f>HYPERLINK("http://www.lingerieopt.ru/item/10295-igrovoi-kostyum-police-s-vjrezami-na-grudi/","10295")</f>
      </c>
      <c r="B10616" s="8" t="s">
        <v>10119</v>
      </c>
      <c r="C10616" s="9">
        <v>2242</v>
      </c>
      <c r="D10616" s="0">
        <v>5</v>
      </c>
      <c r="E10616" s="10">
        <f>HYPERLINK("http://www.lingerieopt.ru/images/original/71155e50-411b-457f-ad82-ec3e0f2abee1.jpg","Фото")</f>
      </c>
    </row>
    <row r="10617">
      <c r="A10617" s="7">
        <f>HYPERLINK("http://www.lingerieopt.ru/item/10296-kostyum-police-s-furazhkoi/","10296")</f>
      </c>
      <c r="B10617" s="8" t="s">
        <v>10120</v>
      </c>
      <c r="C10617" s="9">
        <v>2446</v>
      </c>
      <c r="D10617" s="0">
        <v>6</v>
      </c>
      <c r="E10617" s="10">
        <f>HYPERLINK("http://www.lingerieopt.ru/images/original/4ac0177f-686c-4d24-88a8-e00e925c9f93.jpg","Фото")</f>
      </c>
    </row>
    <row r="10618">
      <c r="A10618" s="7">
        <f>HYPERLINK("http://www.lingerieopt.ru/item/10405-strogii-kostyum-policeiskogo-police/","10405")</f>
      </c>
      <c r="B10618" s="8" t="s">
        <v>10121</v>
      </c>
      <c r="C10618" s="9">
        <v>2464</v>
      </c>
      <c r="D10618" s="0">
        <v>10</v>
      </c>
      <c r="E10618" s="10">
        <f>HYPERLINK("http://www.lingerieopt.ru/images/original/3892dec4-eee3-4aa7-bd19-508dbe081458.jpg","Фото")</f>
      </c>
    </row>
    <row r="10619">
      <c r="A10619" s="7">
        <f>HYPERLINK("http://www.lingerieopt.ru/item/11122-cherno-sinii-kostyum-polisvuman-plus-size/","11122")</f>
      </c>
      <c r="B10619" s="8" t="s">
        <v>10122</v>
      </c>
      <c r="C10619" s="9">
        <v>3043</v>
      </c>
      <c r="D10619" s="0">
        <v>4</v>
      </c>
      <c r="E10619" s="10">
        <f>HYPERLINK("http://www.lingerieopt.ru/images/original/69739dc5-8f5e-4395-bfea-51d88ed1c76e.jpg","Фото")</f>
      </c>
    </row>
    <row r="10620">
      <c r="A10620" s="7">
        <f>HYPERLINK("http://www.lingerieopt.ru/item/11123-cherno-sinii-kostyum-policeiskogo/","11123")</f>
      </c>
      <c r="B10620" s="8" t="s">
        <v>10123</v>
      </c>
      <c r="C10620" s="9">
        <v>3043</v>
      </c>
      <c r="D10620" s="0">
        <v>4</v>
      </c>
      <c r="E10620" s="10">
        <f>HYPERLINK("http://www.lingerieopt.ru/images/original/98b9abb5-4959-48d6-80a6-7c372321f306.jpg","Фото")</f>
      </c>
    </row>
    <row r="10621">
      <c r="A10621" s="7">
        <f>HYPERLINK("http://www.lingerieopt.ru/item/11123-cherno-sinii-kostyum-policeiskogo/","11123")</f>
      </c>
      <c r="B10621" s="8" t="s">
        <v>10124</v>
      </c>
      <c r="C10621" s="9">
        <v>3043</v>
      </c>
      <c r="D10621" s="0">
        <v>3</v>
      </c>
      <c r="E10621" s="10">
        <f>HYPERLINK("http://www.lingerieopt.ru/images/original/98b9abb5-4959-48d6-80a6-7c372321f306.jpg","Фото")</f>
      </c>
    </row>
    <row r="10622">
      <c r="A10622" s="7">
        <f>HYPERLINK("http://www.lingerieopt.ru/item/11123-cherno-sinii-kostyum-policeiskogo/","11123")</f>
      </c>
      <c r="B10622" s="8" t="s">
        <v>10125</v>
      </c>
      <c r="C10622" s="9">
        <v>3043</v>
      </c>
      <c r="D10622" s="0">
        <v>4</v>
      </c>
      <c r="E10622" s="10">
        <f>HYPERLINK("http://www.lingerieopt.ru/images/original/98b9abb5-4959-48d6-80a6-7c372321f306.jpg","Фото")</f>
      </c>
    </row>
    <row r="10623">
      <c r="A10623" s="7">
        <f>HYPERLINK("http://www.lingerieopt.ru/item/11123-cherno-sinii-kostyum-policeiskogo/","11123")</f>
      </c>
      <c r="B10623" s="8" t="s">
        <v>10126</v>
      </c>
      <c r="C10623" s="9">
        <v>3043</v>
      </c>
      <c r="D10623" s="0">
        <v>5</v>
      </c>
      <c r="E10623" s="10">
        <f>HYPERLINK("http://www.lingerieopt.ru/images/original/98b9abb5-4959-48d6-80a6-7c372321f306.jpg","Фото")</f>
      </c>
    </row>
    <row r="10624">
      <c r="A10624" s="7">
        <f>HYPERLINK("http://www.lingerieopt.ru/item/11196-kostyum-soblaznitelnogo-policeiskogo-plus-size/","11196")</f>
      </c>
      <c r="B10624" s="8" t="s">
        <v>10127</v>
      </c>
      <c r="C10624" s="9">
        <v>3037</v>
      </c>
      <c r="D10624" s="0">
        <v>4</v>
      </c>
      <c r="E10624" s="10">
        <f>HYPERLINK("http://www.lingerieopt.ru/images/original/27695c5f-f0d2-4477-afdf-95f32de93481.jpg","Фото")</f>
      </c>
    </row>
    <row r="10625">
      <c r="A10625" s="7">
        <f>HYPERLINK("http://www.lingerieopt.ru/item/11197-kostyum-policeiskogo/","11197")</f>
      </c>
      <c r="B10625" s="8" t="s">
        <v>10128</v>
      </c>
      <c r="C10625" s="9">
        <v>3037</v>
      </c>
      <c r="D10625" s="0">
        <v>4</v>
      </c>
      <c r="E10625" s="10">
        <f>HYPERLINK("http://www.lingerieopt.ru/images/original/b5e78a33-2a43-4253-b2d6-de420e782345.jpg","Фото")</f>
      </c>
    </row>
    <row r="10626">
      <c r="A10626" s="7">
        <f>HYPERLINK("http://www.lingerieopt.ru/item/11197-kostyum-policeiskogo/","11197")</f>
      </c>
      <c r="B10626" s="8" t="s">
        <v>10129</v>
      </c>
      <c r="C10626" s="9">
        <v>3037</v>
      </c>
      <c r="D10626" s="0">
        <v>5</v>
      </c>
      <c r="E10626" s="10">
        <f>HYPERLINK("http://www.lingerieopt.ru/images/original/b5e78a33-2a43-4253-b2d6-de420e782345.jpg","Фото")</f>
      </c>
    </row>
    <row r="10627">
      <c r="A10627" s="7">
        <f>HYPERLINK("http://www.lingerieopt.ru/item/11197-kostyum-policeiskogo/","11197")</f>
      </c>
      <c r="B10627" s="8" t="s">
        <v>10130</v>
      </c>
      <c r="C10627" s="9">
        <v>3037</v>
      </c>
      <c r="D10627" s="0">
        <v>5</v>
      </c>
      <c r="E10627" s="10">
        <f>HYPERLINK("http://www.lingerieopt.ru/images/original/b5e78a33-2a43-4253-b2d6-de420e782345.jpg","Фото")</f>
      </c>
    </row>
    <row r="10628">
      <c r="A10628" s="7">
        <f>HYPERLINK("http://www.lingerieopt.ru/item/11197-kostyum-policeiskogo/","11197")</f>
      </c>
      <c r="B10628" s="8" t="s">
        <v>10131</v>
      </c>
      <c r="C10628" s="9">
        <v>3037</v>
      </c>
      <c r="D10628" s="0">
        <v>3</v>
      </c>
      <c r="E10628" s="10">
        <f>HYPERLINK("http://www.lingerieopt.ru/images/original/b5e78a33-2a43-4253-b2d6-de420e782345.jpg","Фото")</f>
      </c>
    </row>
    <row r="10629">
      <c r="A10629" s="5"/>
      <c r="B10629" s="6" t="s">
        <v>10132</v>
      </c>
      <c r="C10629" s="5"/>
      <c r="D10629" s="5"/>
      <c r="E10629" s="5"/>
    </row>
    <row r="10630">
      <c r="A10630" s="5"/>
      <c r="B10630" s="6" t="s">
        <v>10133</v>
      </c>
      <c r="C10630" s="5"/>
      <c r="D10630" s="5"/>
      <c r="E10630" s="5"/>
    </row>
    <row r="10631">
      <c r="A10631" s="7">
        <f>HYPERLINK("http://www.lingerieopt.ru/item/2295-komplekt-krasnaya-shapochka/","2295")</f>
      </c>
      <c r="B10631" s="8" t="s">
        <v>10134</v>
      </c>
      <c r="C10631" s="9">
        <v>1618</v>
      </c>
      <c r="D10631" s="0">
        <v>7</v>
      </c>
      <c r="E10631" s="10">
        <f>HYPERLINK("http://www.lingerieopt.ru/images/original/a364dc46-1ee0-4c38-ad0d-f0391a1b46ba.jpg","Фото")</f>
      </c>
    </row>
    <row r="10632">
      <c r="A10632" s="7">
        <f>HYPERLINK("http://www.lingerieopt.ru/item/2295-komplekt-krasnaya-shapochka/","2295")</f>
      </c>
      <c r="B10632" s="8" t="s">
        <v>10135</v>
      </c>
      <c r="C10632" s="9">
        <v>1618</v>
      </c>
      <c r="D10632" s="0">
        <v>9</v>
      </c>
      <c r="E10632" s="10">
        <f>HYPERLINK("http://www.lingerieopt.ru/images/original/a364dc46-1ee0-4c38-ad0d-f0391a1b46ba.jpg","Фото")</f>
      </c>
    </row>
    <row r="10633">
      <c r="A10633" s="7">
        <f>HYPERLINK("http://www.lingerieopt.ru/item/2300-kostyum-krasnaya-shapochka/","2300")</f>
      </c>
      <c r="B10633" s="8" t="s">
        <v>10136</v>
      </c>
      <c r="C10633" s="9">
        <v>2050</v>
      </c>
      <c r="D10633" s="0">
        <v>1</v>
      </c>
      <c r="E10633" s="10">
        <f>HYPERLINK("http://www.lingerieopt.ru/images/original/3018c914-d809-4b45-b700-8df375700eb6.jpg","Фото")</f>
      </c>
    </row>
    <row r="10634">
      <c r="A10634" s="7">
        <f>HYPERLINK("http://www.lingerieopt.ru/item/2300-kostyum-krasnaya-shapochka/","2300")</f>
      </c>
      <c r="B10634" s="8" t="s">
        <v>10137</v>
      </c>
      <c r="C10634" s="9">
        <v>2050</v>
      </c>
      <c r="D10634" s="0">
        <v>0</v>
      </c>
      <c r="E10634" s="10">
        <f>HYPERLINK("http://www.lingerieopt.ru/images/original/3018c914-d809-4b45-b700-8df375700eb6.jpg","Фото")</f>
      </c>
    </row>
    <row r="10635">
      <c r="A10635" s="7">
        <f>HYPERLINK("http://www.lingerieopt.ru/item/5045-kostyum-kukla-malvina/","5045")</f>
      </c>
      <c r="B10635" s="8" t="s">
        <v>10138</v>
      </c>
      <c r="C10635" s="9">
        <v>1484</v>
      </c>
      <c r="D10635" s="0">
        <v>3</v>
      </c>
      <c r="E10635" s="10">
        <f>HYPERLINK("http://www.lingerieopt.ru/images/original/a3240818-409b-4ce2-8f09-bfe00993691a.jpg","Фото")</f>
      </c>
    </row>
    <row r="10636">
      <c r="A10636" s="7">
        <f>HYPERLINK("http://www.lingerieopt.ru/item/5045-kostyum-kukla-malvina/","5045")</f>
      </c>
      <c r="B10636" s="8" t="s">
        <v>10139</v>
      </c>
      <c r="C10636" s="9">
        <v>1484</v>
      </c>
      <c r="D10636" s="0">
        <v>5</v>
      </c>
      <c r="E10636" s="10">
        <f>HYPERLINK("http://www.lingerieopt.ru/images/original/a3240818-409b-4ce2-8f09-bfe00993691a.jpg","Фото")</f>
      </c>
    </row>
    <row r="10637">
      <c r="A10637" s="7">
        <f>HYPERLINK("http://www.lingerieopt.ru/item/5127-igrovoi-kostyum-klassnaya-shapochka/","5127")</f>
      </c>
      <c r="B10637" s="8" t="s">
        <v>10140</v>
      </c>
      <c r="C10637" s="9">
        <v>1601</v>
      </c>
      <c r="D10637" s="0">
        <v>2</v>
      </c>
      <c r="E10637" s="10">
        <f>HYPERLINK("http://www.lingerieopt.ru/images/original/633cf5f4-e2f4-4022-adda-e1dec33aa340.jpg","Фото")</f>
      </c>
    </row>
    <row r="10638">
      <c r="A10638" s="7">
        <f>HYPERLINK("http://www.lingerieopt.ru/item/5127-igrovoi-kostyum-klassnaya-shapochka/","5127")</f>
      </c>
      <c r="B10638" s="8" t="s">
        <v>10141</v>
      </c>
      <c r="C10638" s="9">
        <v>1601</v>
      </c>
      <c r="D10638" s="0">
        <v>0</v>
      </c>
      <c r="E10638" s="10">
        <f>HYPERLINK("http://www.lingerieopt.ru/images/original/633cf5f4-e2f4-4022-adda-e1dec33aa340.jpg","Фото")</f>
      </c>
    </row>
    <row r="10639">
      <c r="A10639" s="7">
        <f>HYPERLINK("http://www.lingerieopt.ru/item/5127-igrovoi-kostyum-klassnaya-shapochka/","5127")</f>
      </c>
      <c r="B10639" s="8" t="s">
        <v>10142</v>
      </c>
      <c r="C10639" s="9">
        <v>1601</v>
      </c>
      <c r="D10639" s="0">
        <v>1</v>
      </c>
      <c r="E10639" s="10">
        <f>HYPERLINK("http://www.lingerieopt.ru/images/original/633cf5f4-e2f4-4022-adda-e1dec33aa340.jpg","Фото")</f>
      </c>
    </row>
    <row r="10640">
      <c r="A10640" s="5"/>
      <c r="B10640" s="6" t="s">
        <v>10143</v>
      </c>
      <c r="C10640" s="5"/>
      <c r="D10640" s="5"/>
      <c r="E10640" s="5"/>
    </row>
    <row r="10641">
      <c r="A10641" s="7">
        <f>HYPERLINK("http://www.lingerieopt.ru/item/639-kostyum-shkolnicj/","639")</f>
      </c>
      <c r="B10641" s="8" t="s">
        <v>10144</v>
      </c>
      <c r="C10641" s="9">
        <v>1163</v>
      </c>
      <c r="D10641" s="0">
        <v>8</v>
      </c>
      <c r="E10641" s="10">
        <f>HYPERLINK("http://www.lingerieopt.ru/images/original/66b468e2-6c75-4b29-a981-dee51c744656.jpg","Фото")</f>
      </c>
    </row>
    <row r="10642">
      <c r="A10642" s="7">
        <f>HYPERLINK("http://www.lingerieopt.ru/item/800-kostyum-odnoklassnicj/","800")</f>
      </c>
      <c r="B10642" s="8" t="s">
        <v>10145</v>
      </c>
      <c r="C10642" s="9">
        <v>1193</v>
      </c>
      <c r="D10642" s="0">
        <v>5</v>
      </c>
      <c r="E10642" s="10">
        <f>HYPERLINK("http://www.lingerieopt.ru/images/original/fab96918-c250-4975-b15c-83b672b7ecaa.jpg","Фото")</f>
      </c>
    </row>
    <row r="10643">
      <c r="A10643" s="7">
        <f>HYPERLINK("http://www.lingerieopt.ru/item/800-kostyum-odnoklassnicj/","800")</f>
      </c>
      <c r="B10643" s="8" t="s">
        <v>10146</v>
      </c>
      <c r="C10643" s="9">
        <v>1193</v>
      </c>
      <c r="D10643" s="0">
        <v>8</v>
      </c>
      <c r="E10643" s="10">
        <f>HYPERLINK("http://www.lingerieopt.ru/images/original/fab96918-c250-4975-b15c-83b672b7ecaa.jpg","Фото")</f>
      </c>
    </row>
    <row r="10644">
      <c r="A10644" s="7">
        <f>HYPERLINK("http://www.lingerieopt.ru/item/800-kostyum-odnoklassnicj/","800")</f>
      </c>
      <c r="B10644" s="8" t="s">
        <v>10147</v>
      </c>
      <c r="C10644" s="9">
        <v>1193</v>
      </c>
      <c r="D10644" s="0">
        <v>5</v>
      </c>
      <c r="E10644" s="10">
        <f>HYPERLINK("http://www.lingerieopt.ru/images/original/fab96918-c250-4975-b15c-83b672b7ecaa.jpg","Фото")</f>
      </c>
    </row>
    <row r="10645">
      <c r="A10645" s="7">
        <f>HYPERLINK("http://www.lingerieopt.ru/item/800-kostyum-odnoklassnicj/","800")</f>
      </c>
      <c r="B10645" s="8" t="s">
        <v>10148</v>
      </c>
      <c r="C10645" s="9">
        <v>1193</v>
      </c>
      <c r="D10645" s="0">
        <v>0</v>
      </c>
      <c r="E10645" s="10">
        <f>HYPERLINK("http://www.lingerieopt.ru/images/original/fab96918-c250-4975-b15c-83b672b7ecaa.jpg","Фото")</f>
      </c>
    </row>
    <row r="10646">
      <c r="A10646" s="7">
        <f>HYPERLINK("http://www.lingerieopt.ru/item/810-kostyum-shkolnicj/","810")</f>
      </c>
      <c r="B10646" s="8" t="s">
        <v>10149</v>
      </c>
      <c r="C10646" s="9">
        <v>1958</v>
      </c>
      <c r="D10646" s="0">
        <v>1</v>
      </c>
      <c r="E10646" s="10">
        <f>HYPERLINK("http://www.lingerieopt.ru/images/original/d04b4816-4177-452c-bbf2-ab8381e12693.jpg","Фото")</f>
      </c>
    </row>
    <row r="10647">
      <c r="A10647" s="7">
        <f>HYPERLINK("http://www.lingerieopt.ru/item/810-kostyum-shkolnicj/","810")</f>
      </c>
      <c r="B10647" s="8" t="s">
        <v>10150</v>
      </c>
      <c r="C10647" s="9">
        <v>1958</v>
      </c>
      <c r="D10647" s="0">
        <v>20</v>
      </c>
      <c r="E10647" s="10">
        <f>HYPERLINK("http://www.lingerieopt.ru/images/original/d04b4816-4177-452c-bbf2-ab8381e12693.jpg","Фото")</f>
      </c>
    </row>
    <row r="10648">
      <c r="A10648" s="7">
        <f>HYPERLINK("http://www.lingerieopt.ru/item/810-kostyum-shkolnicj/","810")</f>
      </c>
      <c r="B10648" s="8" t="s">
        <v>10151</v>
      </c>
      <c r="C10648" s="9">
        <v>1958</v>
      </c>
      <c r="D10648" s="0">
        <v>13</v>
      </c>
      <c r="E10648" s="10">
        <f>HYPERLINK("http://www.lingerieopt.ru/images/original/d04b4816-4177-452c-bbf2-ab8381e12693.jpg","Фото")</f>
      </c>
    </row>
    <row r="10649">
      <c r="A10649" s="7">
        <f>HYPERLINK("http://www.lingerieopt.ru/item/843-kostyum-shkolnicj/","843")</f>
      </c>
      <c r="B10649" s="8" t="s">
        <v>10151</v>
      </c>
      <c r="C10649" s="9">
        <v>2069</v>
      </c>
      <c r="D10649" s="0">
        <v>3</v>
      </c>
      <c r="E10649" s="10">
        <f>HYPERLINK("http://www.lingerieopt.ru/images/original/8564891e-6beb-4eb2-b584-6c3083f38825.jpg","Фото")</f>
      </c>
    </row>
    <row r="10650">
      <c r="A10650" s="7">
        <f>HYPERLINK("http://www.lingerieopt.ru/item/843-kostyum-shkolnicj/","843")</f>
      </c>
      <c r="B10650" s="8" t="s">
        <v>10150</v>
      </c>
      <c r="C10650" s="9">
        <v>2069</v>
      </c>
      <c r="D10650" s="0">
        <v>20</v>
      </c>
      <c r="E10650" s="10">
        <f>HYPERLINK("http://www.lingerieopt.ru/images/original/8564891e-6beb-4eb2-b584-6c3083f38825.jpg","Фото")</f>
      </c>
    </row>
    <row r="10651">
      <c r="A10651" s="7">
        <f>HYPERLINK("http://www.lingerieopt.ru/item/843-kostyum-shkolnicj/","843")</f>
      </c>
      <c r="B10651" s="8" t="s">
        <v>10152</v>
      </c>
      <c r="C10651" s="9">
        <v>2069</v>
      </c>
      <c r="D10651" s="0">
        <v>2</v>
      </c>
      <c r="E10651" s="10">
        <f>HYPERLINK("http://www.lingerieopt.ru/images/original/8564891e-6beb-4eb2-b584-6c3083f38825.jpg","Фото")</f>
      </c>
    </row>
    <row r="10652">
      <c r="A10652" s="7">
        <f>HYPERLINK("http://www.lingerieopt.ru/item/934-kostyum-uchenicj/","934")</f>
      </c>
      <c r="B10652" s="8" t="s">
        <v>10153</v>
      </c>
      <c r="C10652" s="9">
        <v>1486</v>
      </c>
      <c r="D10652" s="0">
        <v>20</v>
      </c>
      <c r="E10652" s="10">
        <f>HYPERLINK("http://www.lingerieopt.ru/images/original/091aa3d5-91ca-4ac1-b075-e3a5beb53e55.jpg","Фото")</f>
      </c>
    </row>
    <row r="10653">
      <c r="A10653" s="7">
        <f>HYPERLINK("http://www.lingerieopt.ru/item/940-kostyum-studentki/","940")</f>
      </c>
      <c r="B10653" s="8" t="s">
        <v>10154</v>
      </c>
      <c r="C10653" s="9">
        <v>1486</v>
      </c>
      <c r="D10653" s="0">
        <v>8</v>
      </c>
      <c r="E10653" s="10">
        <f>HYPERLINK("http://www.lingerieopt.ru/images/original/e70baf24-3d5f-4997-99ef-edbf727333d6.jpg","Фото")</f>
      </c>
    </row>
    <row r="10654">
      <c r="A10654" s="7">
        <f>HYPERLINK("http://www.lingerieopt.ru/item/945-kostyum-shkolnicj/","945")</f>
      </c>
      <c r="B10654" s="8" t="s">
        <v>10151</v>
      </c>
      <c r="C10654" s="9">
        <v>1536</v>
      </c>
      <c r="D10654" s="0">
        <v>5</v>
      </c>
      <c r="E10654" s="10">
        <f>HYPERLINK("http://www.lingerieopt.ru/images/original/016d7d37-af6e-424e-8ddd-b9bb276231ec.jpg","Фото")</f>
      </c>
    </row>
    <row r="10655">
      <c r="A10655" s="7">
        <f>HYPERLINK("http://www.lingerieopt.ru/item/945-kostyum-shkolnicj/","945")</f>
      </c>
      <c r="B10655" s="8" t="s">
        <v>10155</v>
      </c>
      <c r="C10655" s="9">
        <v>1536</v>
      </c>
      <c r="D10655" s="0">
        <v>15</v>
      </c>
      <c r="E10655" s="10">
        <f>HYPERLINK("http://www.lingerieopt.ru/images/original/016d7d37-af6e-424e-8ddd-b9bb276231ec.jpg","Фото")</f>
      </c>
    </row>
    <row r="10656">
      <c r="A10656" s="7">
        <f>HYPERLINK("http://www.lingerieopt.ru/item/945-kostyum-shkolnicj/","945")</f>
      </c>
      <c r="B10656" s="8" t="s">
        <v>10156</v>
      </c>
      <c r="C10656" s="9">
        <v>1536</v>
      </c>
      <c r="D10656" s="0">
        <v>8</v>
      </c>
      <c r="E10656" s="10">
        <f>HYPERLINK("http://www.lingerieopt.ru/images/original/016d7d37-af6e-424e-8ddd-b9bb276231ec.jpg","Фото")</f>
      </c>
    </row>
    <row r="10657">
      <c r="A10657" s="7">
        <f>HYPERLINK("http://www.lingerieopt.ru/item/2234-kostyum-shkolnicj/","2234")</f>
      </c>
      <c r="B10657" s="8" t="s">
        <v>10152</v>
      </c>
      <c r="C10657" s="9">
        <v>1620</v>
      </c>
      <c r="D10657" s="0">
        <v>10</v>
      </c>
      <c r="E10657" s="10">
        <f>HYPERLINK("http://www.lingerieopt.ru/images/original/c3d202f6-9a38-44f6-b4ec-d47c0cb0b611.jpg","Фото")</f>
      </c>
    </row>
    <row r="10658">
      <c r="A10658" s="7">
        <f>HYPERLINK("http://www.lingerieopt.ru/item/2234-kostyum-shkolnicj/","2234")</f>
      </c>
      <c r="B10658" s="8" t="s">
        <v>10157</v>
      </c>
      <c r="C10658" s="9">
        <v>1620</v>
      </c>
      <c r="D10658" s="0">
        <v>16</v>
      </c>
      <c r="E10658" s="10">
        <f>HYPERLINK("http://www.lingerieopt.ru/images/original/c3d202f6-9a38-44f6-b4ec-d47c0cb0b611.jpg","Фото")</f>
      </c>
    </row>
    <row r="10659">
      <c r="A10659" s="7">
        <f>HYPERLINK("http://www.lingerieopt.ru/item/2234-kostyum-shkolnicj/","2234")</f>
      </c>
      <c r="B10659" s="8" t="s">
        <v>10151</v>
      </c>
      <c r="C10659" s="9">
        <v>1620</v>
      </c>
      <c r="D10659" s="0">
        <v>7</v>
      </c>
      <c r="E10659" s="10">
        <f>HYPERLINK("http://www.lingerieopt.ru/images/original/c3d202f6-9a38-44f6-b4ec-d47c0cb0b611.jpg","Фото")</f>
      </c>
    </row>
    <row r="10660">
      <c r="A10660" s="7">
        <f>HYPERLINK("http://www.lingerieopt.ru/item/3457-kostyum-soblaznitelnoi-uchitelnicj/","3457")</f>
      </c>
      <c r="B10660" s="8" t="s">
        <v>10158</v>
      </c>
      <c r="C10660" s="9">
        <v>1294</v>
      </c>
      <c r="D10660" s="0">
        <v>12</v>
      </c>
      <c r="E10660" s="10">
        <f>HYPERLINK("http://www.lingerieopt.ru/images/original/eddc2e02-98e6-4a98-91d3-297964d73f67.jpg","Фото")</f>
      </c>
    </row>
    <row r="10661">
      <c r="A10661" s="7">
        <f>HYPERLINK("http://www.lingerieopt.ru/item/3465-chernji-shkolnji-top-s-kletchatjm-vorotnikom/","3465")</f>
      </c>
      <c r="B10661" s="8" t="s">
        <v>8437</v>
      </c>
      <c r="C10661" s="9">
        <v>203</v>
      </c>
      <c r="D10661" s="0">
        <v>30</v>
      </c>
      <c r="E10661" s="10">
        <f>HYPERLINK("http://www.lingerieopt.ru/images/original/10030b74-ff68-45c2-9701-6ad4f439a7a5.jpg","Фото")</f>
      </c>
    </row>
    <row r="10662">
      <c r="A10662" s="7">
        <f>HYPERLINK("http://www.lingerieopt.ru/item/3510-kletchatji-galstuk-hustler/","3510")</f>
      </c>
      <c r="B10662" s="8" t="s">
        <v>8439</v>
      </c>
      <c r="C10662" s="9">
        <v>754</v>
      </c>
      <c r="D10662" s="0">
        <v>0</v>
      </c>
      <c r="E10662" s="10">
        <f>HYPERLINK("http://www.lingerieopt.ru/images/original/5f21e6f4-5c08-443f-897e-c3358073661e.jpg","Фото")</f>
      </c>
    </row>
    <row r="10663">
      <c r="A10663" s="7">
        <f>HYPERLINK("http://www.lingerieopt.ru/item/3510-kletchatji-galstuk-hustler/","3510")</f>
      </c>
      <c r="B10663" s="8" t="s">
        <v>8440</v>
      </c>
      <c r="C10663" s="9">
        <v>754</v>
      </c>
      <c r="D10663" s="0">
        <v>6</v>
      </c>
      <c r="E10663" s="10">
        <f>HYPERLINK("http://www.lingerieopt.ru/images/original/5f21e6f4-5c08-443f-897e-c3358073661e.jpg","Фото")</f>
      </c>
    </row>
    <row r="10664">
      <c r="A10664" s="7">
        <f>HYPERLINK("http://www.lingerieopt.ru/item/3510-kletchatji-galstuk-hustler/","3510")</f>
      </c>
      <c r="B10664" s="8" t="s">
        <v>8441</v>
      </c>
      <c r="C10664" s="9">
        <v>754</v>
      </c>
      <c r="D10664" s="0">
        <v>1</v>
      </c>
      <c r="E10664" s="10">
        <f>HYPERLINK("http://www.lingerieopt.ru/images/original/5f21e6f4-5c08-443f-897e-c3358073661e.jpg","Фото")</f>
      </c>
    </row>
    <row r="10665">
      <c r="A10665" s="7">
        <f>HYPERLINK("http://www.lingerieopt.ru/item/3510-kletchatji-galstuk-hustler/","3510")</f>
      </c>
      <c r="B10665" s="8" t="s">
        <v>8438</v>
      </c>
      <c r="C10665" s="9">
        <v>754</v>
      </c>
      <c r="D10665" s="0">
        <v>0</v>
      </c>
      <c r="E10665" s="10">
        <f>HYPERLINK("http://www.lingerieopt.ru/images/original/5f21e6f4-5c08-443f-897e-c3358073661e.jpg","Фото")</f>
      </c>
    </row>
    <row r="10666">
      <c r="A10666" s="7">
        <f>HYPERLINK("http://www.lingerieopt.ru/item/5133-kostyum-soblaznitelnoi-shkolnicj/","5133")</f>
      </c>
      <c r="B10666" s="8" t="s">
        <v>10159</v>
      </c>
      <c r="C10666" s="9">
        <v>1054</v>
      </c>
      <c r="D10666" s="0">
        <v>20</v>
      </c>
      <c r="E10666" s="10">
        <f>HYPERLINK("http://www.lingerieopt.ru/images/original/5ad2156d-28a3-4eae-b49a-79b01852eafd.jpg","Фото")</f>
      </c>
    </row>
    <row r="10667">
      <c r="A10667" s="7">
        <f>HYPERLINK("http://www.lingerieopt.ru/item/5207-igrovoi-kostyum-studentki-kiki/","5207")</f>
      </c>
      <c r="B10667" s="8" t="s">
        <v>10160</v>
      </c>
      <c r="C10667" s="9">
        <v>2279</v>
      </c>
      <c r="D10667" s="0">
        <v>4</v>
      </c>
      <c r="E10667" s="10">
        <f>HYPERLINK("http://www.lingerieopt.ru/images/original/964b4836-ce8c-423c-89a3-5e7abd457009.jpg","Фото")</f>
      </c>
    </row>
    <row r="10668">
      <c r="A10668" s="7">
        <f>HYPERLINK("http://www.lingerieopt.ru/item/5207-igrovoi-kostyum-studentki-kiki/","5207")</f>
      </c>
      <c r="B10668" s="8" t="s">
        <v>10161</v>
      </c>
      <c r="C10668" s="9">
        <v>2279</v>
      </c>
      <c r="D10668" s="0">
        <v>2</v>
      </c>
      <c r="E10668" s="10">
        <f>HYPERLINK("http://www.lingerieopt.ru/images/original/964b4836-ce8c-423c-89a3-5e7abd457009.jpg","Фото")</f>
      </c>
    </row>
    <row r="10669">
      <c r="A10669" s="7">
        <f>HYPERLINK("http://www.lingerieopt.ru/item/5298-kostyum-shkolnicj-otlichnicj/","5298")</f>
      </c>
      <c r="B10669" s="8" t="s">
        <v>10162</v>
      </c>
      <c r="C10669" s="9">
        <v>1707</v>
      </c>
      <c r="D10669" s="0">
        <v>20</v>
      </c>
      <c r="E10669" s="10">
        <f>HYPERLINK("http://www.lingerieopt.ru/images/original/da00aef5-037e-4602-99f2-dc129e09f842.jpg","Фото")</f>
      </c>
    </row>
    <row r="10670">
      <c r="A10670" s="7">
        <f>HYPERLINK("http://www.lingerieopt.ru/item/5298-kostyum-shkolnicj-otlichnicj/","5298")</f>
      </c>
      <c r="B10670" s="8" t="s">
        <v>10163</v>
      </c>
      <c r="C10670" s="9">
        <v>1707</v>
      </c>
      <c r="D10670" s="0">
        <v>20</v>
      </c>
      <c r="E10670" s="10">
        <f>HYPERLINK("http://www.lingerieopt.ru/images/original/da00aef5-037e-4602-99f2-dc129e09f842.jpg","Фото")</f>
      </c>
    </row>
    <row r="10671">
      <c r="A10671" s="7">
        <f>HYPERLINK("http://www.lingerieopt.ru/item/5299-kostyum-shkolnicj-prokaznicj/","5299")</f>
      </c>
      <c r="B10671" s="8" t="s">
        <v>10164</v>
      </c>
      <c r="C10671" s="9">
        <v>1755</v>
      </c>
      <c r="D10671" s="0">
        <v>1</v>
      </c>
      <c r="E10671" s="10">
        <f>HYPERLINK("http://www.lingerieopt.ru/images/original/0fd0abad-fa90-4050-86c4-0fec84df7a2e.jpg","Фото")</f>
      </c>
    </row>
    <row r="10672">
      <c r="A10672" s="7">
        <f>HYPERLINK("http://www.lingerieopt.ru/item/5299-kostyum-shkolnicj-prokaznicj/","5299")</f>
      </c>
      <c r="B10672" s="8" t="s">
        <v>10165</v>
      </c>
      <c r="C10672" s="9">
        <v>1755</v>
      </c>
      <c r="D10672" s="0">
        <v>1</v>
      </c>
      <c r="E10672" s="10">
        <f>HYPERLINK("http://www.lingerieopt.ru/images/original/0fd0abad-fa90-4050-86c4-0fec84df7a2e.jpg","Фото")</f>
      </c>
    </row>
    <row r="10673">
      <c r="A10673" s="7">
        <f>HYPERLINK("http://www.lingerieopt.ru/item/6672-kostyum-studentki-kolledzha-cheeky-college/","6672")</f>
      </c>
      <c r="B10673" s="8" t="s">
        <v>10166</v>
      </c>
      <c r="C10673" s="9">
        <v>1388</v>
      </c>
      <c r="D10673" s="0">
        <v>2</v>
      </c>
      <c r="E10673" s="10">
        <f>HYPERLINK("http://www.lingerieopt.ru/images/original/503a5f95-0279-4e40-bab2-b5ca2f162d96.jpg","Фото")</f>
      </c>
    </row>
    <row r="10674">
      <c r="A10674" s="7">
        <f>HYPERLINK("http://www.lingerieopt.ru/item/6672-kostyum-studentki-kolledzha-cheeky-college/","6672")</f>
      </c>
      <c r="B10674" s="8" t="s">
        <v>10167</v>
      </c>
      <c r="C10674" s="9">
        <v>1388</v>
      </c>
      <c r="D10674" s="0">
        <v>0</v>
      </c>
      <c r="E10674" s="10">
        <f>HYPERLINK("http://www.lingerieopt.ru/images/original/503a5f95-0279-4e40-bab2-b5ca2f162d96.jpg","Фото")</f>
      </c>
    </row>
    <row r="10675">
      <c r="A10675" s="7">
        <f>HYPERLINK("http://www.lingerieopt.ru/item/6672-kostyum-studentki-kolledzha-cheeky-college/","6672")</f>
      </c>
      <c r="B10675" s="8" t="s">
        <v>10168</v>
      </c>
      <c r="C10675" s="9">
        <v>1388</v>
      </c>
      <c r="D10675" s="0">
        <v>3</v>
      </c>
      <c r="E10675" s="10">
        <f>HYPERLINK("http://www.lingerieopt.ru/images/original/503a5f95-0279-4e40-bab2-b5ca2f162d96.jpg","Фото")</f>
      </c>
    </row>
    <row r="10676">
      <c r="A10676" s="7">
        <f>HYPERLINK("http://www.lingerieopt.ru/item/6672-kostyum-studentki-kolledzha-cheeky-college/","6672")</f>
      </c>
      <c r="B10676" s="8" t="s">
        <v>10169</v>
      </c>
      <c r="C10676" s="9">
        <v>1388</v>
      </c>
      <c r="D10676" s="0">
        <v>0</v>
      </c>
      <c r="E10676" s="10">
        <f>HYPERLINK("http://www.lingerieopt.ru/images/original/503a5f95-0279-4e40-bab2-b5ca2f162d96.jpg","Фото")</f>
      </c>
    </row>
    <row r="10677">
      <c r="A10677" s="7">
        <f>HYPERLINK("http://www.lingerieopt.ru/item/6972-mini-yubka-shkolnicj/","6972")</f>
      </c>
      <c r="B10677" s="8" t="s">
        <v>8317</v>
      </c>
      <c r="C10677" s="9">
        <v>709</v>
      </c>
      <c r="D10677" s="0">
        <v>1</v>
      </c>
      <c r="E10677" s="10">
        <f>HYPERLINK("http://www.lingerieopt.ru/images/original/5b9eca9b-b014-4e56-9656-a750864acae7.jpg","Фото")</f>
      </c>
    </row>
    <row r="10678">
      <c r="A10678" s="7">
        <f>HYPERLINK("http://www.lingerieopt.ru/item/6972-mini-yubka-shkolnicj/","6972")</f>
      </c>
      <c r="B10678" s="8" t="s">
        <v>8318</v>
      </c>
      <c r="C10678" s="9">
        <v>709</v>
      </c>
      <c r="D10678" s="0">
        <v>1</v>
      </c>
      <c r="E10678" s="10">
        <f>HYPERLINK("http://www.lingerieopt.ru/images/original/5b9eca9b-b014-4e56-9656-a750864acae7.jpg","Фото")</f>
      </c>
    </row>
    <row r="10679">
      <c r="A10679" s="7">
        <f>HYPERLINK("http://www.lingerieopt.ru/item/7772-kostyum-igrivoi-studentki/","7772")</f>
      </c>
      <c r="B10679" s="8" t="s">
        <v>10170</v>
      </c>
      <c r="C10679" s="9">
        <v>2322</v>
      </c>
      <c r="D10679" s="0">
        <v>11</v>
      </c>
      <c r="E10679" s="10">
        <f>HYPERLINK("http://www.lingerieopt.ru/images/original/4dfb9804-0171-4045-95e4-6de913d0f9f9.jpg","Фото")</f>
      </c>
    </row>
    <row r="10680">
      <c r="A10680" s="7">
        <f>HYPERLINK("http://www.lingerieopt.ru/item/7772-kostyum-igrivoi-studentki/","7772")</f>
      </c>
      <c r="B10680" s="8" t="s">
        <v>10171</v>
      </c>
      <c r="C10680" s="9">
        <v>2322</v>
      </c>
      <c r="D10680" s="0">
        <v>12</v>
      </c>
      <c r="E10680" s="10">
        <f>HYPERLINK("http://www.lingerieopt.ru/images/original/4dfb9804-0171-4045-95e4-6de913d0f9f9.jpg","Фото")</f>
      </c>
    </row>
    <row r="10681">
      <c r="A10681" s="7">
        <f>HYPERLINK("http://www.lingerieopt.ru/item/7835-rolevoi-kostyum-uchitelnicj/","7835")</f>
      </c>
      <c r="B10681" s="8" t="s">
        <v>10172</v>
      </c>
      <c r="C10681" s="9">
        <v>1649</v>
      </c>
      <c r="D10681" s="0">
        <v>19</v>
      </c>
      <c r="E10681" s="10">
        <f>HYPERLINK("http://www.lingerieopt.ru/images/original/bca4ee59-6a73-4369-ab75-5067b0f72944.jpg","Фото")</f>
      </c>
    </row>
    <row r="10682">
      <c r="A10682" s="7">
        <f>HYPERLINK("http://www.lingerieopt.ru/item/8469-kostyum-shkolnicj-top-yubka-i-stringi/","8469")</f>
      </c>
      <c r="B10682" s="8" t="s">
        <v>10173</v>
      </c>
      <c r="C10682" s="9">
        <v>1177</v>
      </c>
      <c r="D10682" s="0">
        <v>1</v>
      </c>
      <c r="E10682" s="10">
        <f>HYPERLINK("http://www.lingerieopt.ru/images/original/55b71849-12c6-4ba8-bf96-ec44c9273f7b.jpg","Фото")</f>
      </c>
    </row>
    <row r="10683">
      <c r="A10683" s="7">
        <f>HYPERLINK("http://www.lingerieopt.ru/item/9312-igrovoi-kostyum-bezotkaznoi-studentki/","9312")</f>
      </c>
      <c r="B10683" s="8" t="s">
        <v>10174</v>
      </c>
      <c r="C10683" s="9">
        <v>1978</v>
      </c>
      <c r="D10683" s="0">
        <v>8</v>
      </c>
      <c r="E10683" s="10">
        <f>HYPERLINK("http://www.lingerieopt.ru/images/original/e130a593-33dc-4356-9464-57383b956f88.jpg","Фото")</f>
      </c>
    </row>
    <row r="10684">
      <c r="A10684" s="7">
        <f>HYPERLINK("http://www.lingerieopt.ru/item/9312-igrovoi-kostyum-bezotkaznoi-studentki/","9312")</f>
      </c>
      <c r="B10684" s="8" t="s">
        <v>10175</v>
      </c>
      <c r="C10684" s="9">
        <v>1978</v>
      </c>
      <c r="D10684" s="0">
        <v>4</v>
      </c>
      <c r="E10684" s="10">
        <f>HYPERLINK("http://www.lingerieopt.ru/images/original/e130a593-33dc-4356-9464-57383b956f88.jpg","Фото")</f>
      </c>
    </row>
    <row r="10685">
      <c r="A10685" s="7">
        <f>HYPERLINK("http://www.lingerieopt.ru/item/9540-igrovoi-kostyum-ajsle-shkolnaya-yubka-i-top-s-galstukom/","9540")</f>
      </c>
      <c r="B10685" s="8" t="s">
        <v>10176</v>
      </c>
      <c r="C10685" s="9">
        <v>1602</v>
      </c>
      <c r="D10685" s="0">
        <v>0</v>
      </c>
      <c r="E10685" s="10">
        <f>HYPERLINK("http://www.lingerieopt.ru/images/original/273a5942-a496-4e25-9e32-c4d697c76221.jpg","Фото")</f>
      </c>
    </row>
    <row r="10686">
      <c r="A10686" s="7">
        <f>HYPERLINK("http://www.lingerieopt.ru/item/9540-igrovoi-kostyum-ajsle-shkolnaya-yubka-i-top-s-galstukom/","9540")</f>
      </c>
      <c r="B10686" s="8" t="s">
        <v>10177</v>
      </c>
      <c r="C10686" s="9">
        <v>1602</v>
      </c>
      <c r="D10686" s="0">
        <v>0</v>
      </c>
      <c r="E10686" s="10">
        <f>HYPERLINK("http://www.lingerieopt.ru/images/original/273a5942-a496-4e25-9e32-c4d697c76221.jpg","Фото")</f>
      </c>
    </row>
    <row r="10687">
      <c r="A10687" s="7">
        <f>HYPERLINK("http://www.lingerieopt.ru/item/9540-igrovoi-kostyum-ajsle-shkolnaya-yubka-i-top-s-galstukom/","9540")</f>
      </c>
      <c r="B10687" s="8" t="s">
        <v>10178</v>
      </c>
      <c r="C10687" s="9">
        <v>1602</v>
      </c>
      <c r="D10687" s="0">
        <v>0</v>
      </c>
      <c r="E10687" s="10">
        <f>HYPERLINK("http://www.lingerieopt.ru/images/original/273a5942-a496-4e25-9e32-c4d697c76221.jpg","Фото")</f>
      </c>
    </row>
    <row r="10688">
      <c r="A10688" s="7">
        <f>HYPERLINK("http://www.lingerieopt.ru/item/9540-igrovoi-kostyum-ajsle-shkolnaya-yubka-i-top-s-galstukom/","9540")</f>
      </c>
      <c r="B10688" s="8" t="s">
        <v>10179</v>
      </c>
      <c r="C10688" s="9">
        <v>1602</v>
      </c>
      <c r="D10688" s="0">
        <v>1</v>
      </c>
      <c r="E10688" s="10">
        <f>HYPERLINK("http://www.lingerieopt.ru/images/original/273a5942-a496-4e25-9e32-c4d697c76221.jpg","Фото")</f>
      </c>
    </row>
    <row r="10689">
      <c r="A10689" s="7">
        <f>HYPERLINK("http://www.lingerieopt.ru/item/10164-kostyum-studentki-debbie/","10164")</f>
      </c>
      <c r="B10689" s="8" t="s">
        <v>10180</v>
      </c>
      <c r="C10689" s="9">
        <v>900</v>
      </c>
      <c r="D10689" s="0">
        <v>0</v>
      </c>
      <c r="E10689" s="10">
        <f>HYPERLINK("http://www.lingerieopt.ru/images/original/6d1ebcf3-374c-4211-a8c2-3c3c40f67285.jpg","Фото")</f>
      </c>
    </row>
    <row r="10690">
      <c r="A10690" s="7">
        <f>HYPERLINK("http://www.lingerieopt.ru/item/10164-kostyum-studentki-debbie/","10164")</f>
      </c>
      <c r="B10690" s="8" t="s">
        <v>10181</v>
      </c>
      <c r="C10690" s="9">
        <v>900</v>
      </c>
      <c r="D10690" s="0">
        <v>7</v>
      </c>
      <c r="E10690" s="10">
        <f>HYPERLINK("http://www.lingerieopt.ru/images/original/6d1ebcf3-374c-4211-a8c2-3c3c40f67285.jpg","Фото")</f>
      </c>
    </row>
    <row r="10691">
      <c r="A10691" s="7">
        <f>HYPERLINK("http://www.lingerieopt.ru/item/10297-kostyum-ozornoi-shkolnicj/","10297")</f>
      </c>
      <c r="B10691" s="8" t="s">
        <v>10182</v>
      </c>
      <c r="C10691" s="9">
        <v>2446</v>
      </c>
      <c r="D10691" s="0">
        <v>7</v>
      </c>
      <c r="E10691" s="10">
        <f>HYPERLINK("http://www.lingerieopt.ru/images/original/9470863a-0d2f-4b4b-8478-8089ad434187.jpg","Фото")</f>
      </c>
    </row>
    <row r="10692">
      <c r="A10692" s="7">
        <f>HYPERLINK("http://www.lingerieopt.ru/item/10298-kletchatji-kostyum-forma-shkolnicj/","10298")</f>
      </c>
      <c r="B10692" s="8" t="s">
        <v>10183</v>
      </c>
      <c r="C10692" s="9">
        <v>2650</v>
      </c>
      <c r="D10692" s="0">
        <v>13</v>
      </c>
      <c r="E10692" s="10">
        <f>HYPERLINK("http://www.lingerieopt.ru/images/original/c621ff25-663b-47dc-aeae-125b10926408.jpg","Фото")</f>
      </c>
    </row>
    <row r="10693">
      <c r="A10693" s="7">
        <f>HYPERLINK("http://www.lingerieopt.ru/item/10921-soblaznitelnji-kostyum-shkolnicj-cloda/","10921")</f>
      </c>
      <c r="B10693" s="8" t="s">
        <v>10184</v>
      </c>
      <c r="C10693" s="9">
        <v>2061</v>
      </c>
      <c r="D10693" s="0">
        <v>5</v>
      </c>
      <c r="E10693" s="10">
        <f>HYPERLINK("http://www.lingerieopt.ru/images/original/64188975-a0e1-4cc4-9019-21c279630ba9.jpg","Фото")</f>
      </c>
    </row>
    <row r="10694">
      <c r="A10694" s="7">
        <f>HYPERLINK("http://www.lingerieopt.ru/item/10921-soblaznitelnji-kostyum-shkolnicj-cloda/","10921")</f>
      </c>
      <c r="B10694" s="8" t="s">
        <v>10185</v>
      </c>
      <c r="C10694" s="9">
        <v>2061</v>
      </c>
      <c r="D10694" s="0">
        <v>7</v>
      </c>
      <c r="E10694" s="10">
        <f>HYPERLINK("http://www.lingerieopt.ru/images/original/64188975-a0e1-4cc4-9019-21c279630ba9.jpg","Фото")</f>
      </c>
    </row>
    <row r="10695">
      <c r="A10695" s="7">
        <f>HYPERLINK("http://www.lingerieopt.ru/item/10921-soblaznitelnji-kostyum-shkolnicj-cloda/","10921")</f>
      </c>
      <c r="B10695" s="8" t="s">
        <v>10186</v>
      </c>
      <c r="C10695" s="9">
        <v>2061</v>
      </c>
      <c r="D10695" s="0">
        <v>10</v>
      </c>
      <c r="E10695" s="10">
        <f>HYPERLINK("http://www.lingerieopt.ru/images/original/64188975-a0e1-4cc4-9019-21c279630ba9.jpg","Фото")</f>
      </c>
    </row>
    <row r="10696">
      <c r="A10696" s="7">
        <f>HYPERLINK("http://www.lingerieopt.ru/item/11117-soblaznitelnji-kostyum-shkolnicj-plus-size-razmerom/","11117")</f>
      </c>
      <c r="B10696" s="8" t="s">
        <v>10187</v>
      </c>
      <c r="C10696" s="9">
        <v>3061</v>
      </c>
      <c r="D10696" s="0">
        <v>4</v>
      </c>
      <c r="E10696" s="10">
        <f>HYPERLINK("http://www.lingerieopt.ru/images/original/3586e433-af53-4040-adce-6b9601d5d397.jpg","Фото")</f>
      </c>
    </row>
    <row r="10697">
      <c r="A10697" s="7">
        <f>HYPERLINK("http://www.lingerieopt.ru/item/11118-effektnji-kostyum-shkolnicj-s-podtyazhkami/","11118")</f>
      </c>
      <c r="B10697" s="8" t="s">
        <v>10188</v>
      </c>
      <c r="C10697" s="9">
        <v>3037</v>
      </c>
      <c r="D10697" s="0">
        <v>5</v>
      </c>
      <c r="E10697" s="10">
        <f>HYPERLINK("http://www.lingerieopt.ru/images/original/a0fa7337-f8c0-4792-a1f5-472ba8547d33.jpg","Фото")</f>
      </c>
    </row>
    <row r="10698">
      <c r="A10698" s="7">
        <f>HYPERLINK("http://www.lingerieopt.ru/item/11118-effektnji-kostyum-shkolnicj-s-podtyazhkami/","11118")</f>
      </c>
      <c r="B10698" s="8" t="s">
        <v>10189</v>
      </c>
      <c r="C10698" s="9">
        <v>3037</v>
      </c>
      <c r="D10698" s="0">
        <v>4</v>
      </c>
      <c r="E10698" s="10">
        <f>HYPERLINK("http://www.lingerieopt.ru/images/original/a0fa7337-f8c0-4792-a1f5-472ba8547d33.jpg","Фото")</f>
      </c>
    </row>
    <row r="10699">
      <c r="A10699" s="7">
        <f>HYPERLINK("http://www.lingerieopt.ru/item/11118-effektnji-kostyum-shkolnicj-s-podtyazhkami/","11118")</f>
      </c>
      <c r="B10699" s="8" t="s">
        <v>10190</v>
      </c>
      <c r="C10699" s="9">
        <v>3037</v>
      </c>
      <c r="D10699" s="0">
        <v>4</v>
      </c>
      <c r="E10699" s="10">
        <f>HYPERLINK("http://www.lingerieopt.ru/images/original/a0fa7337-f8c0-4792-a1f5-472ba8547d33.jpg","Фото")</f>
      </c>
    </row>
    <row r="10700">
      <c r="A10700" s="7">
        <f>HYPERLINK("http://www.lingerieopt.ru/item/11118-effektnji-kostyum-shkolnicj-s-podtyazhkami/","11118")</f>
      </c>
      <c r="B10700" s="8" t="s">
        <v>10191</v>
      </c>
      <c r="C10700" s="9">
        <v>3037</v>
      </c>
      <c r="D10700" s="0">
        <v>4</v>
      </c>
      <c r="E10700" s="10">
        <f>HYPERLINK("http://www.lingerieopt.ru/images/original/a0fa7337-f8c0-4792-a1f5-472ba8547d33.jpg","Фото")</f>
      </c>
    </row>
    <row r="10701">
      <c r="A10701" s="7">
        <f>HYPERLINK("http://www.lingerieopt.ru/item/11124-kostyum-shkolnicj-top-galstuk-stringi-i-golfj/","11124")</f>
      </c>
      <c r="B10701" s="8" t="s">
        <v>10192</v>
      </c>
      <c r="C10701" s="9">
        <v>3061</v>
      </c>
      <c r="D10701" s="0">
        <v>3</v>
      </c>
      <c r="E10701" s="10">
        <f>HYPERLINK("http://www.lingerieopt.ru/images/original/db9cd017-72a0-494f-8919-f212bcfad89c.jpg","Фото")</f>
      </c>
    </row>
    <row r="10702">
      <c r="A10702" s="7">
        <f>HYPERLINK("http://www.lingerieopt.ru/item/11124-kostyum-shkolnicj-top-galstuk-stringi-i-golfj/","11124")</f>
      </c>
      <c r="B10702" s="8" t="s">
        <v>10193</v>
      </c>
      <c r="C10702" s="9">
        <v>3061</v>
      </c>
      <c r="D10702" s="0">
        <v>3</v>
      </c>
      <c r="E10702" s="10">
        <f>HYPERLINK("http://www.lingerieopt.ru/images/original/db9cd017-72a0-494f-8919-f212bcfad89c.jpg","Фото")</f>
      </c>
    </row>
    <row r="10703">
      <c r="A10703" s="7">
        <f>HYPERLINK("http://www.lingerieopt.ru/item/11124-kostyum-shkolnicj-top-galstuk-stringi-i-golfj/","11124")</f>
      </c>
      <c r="B10703" s="8" t="s">
        <v>10194</v>
      </c>
      <c r="C10703" s="9">
        <v>3061</v>
      </c>
      <c r="D10703" s="0">
        <v>4</v>
      </c>
      <c r="E10703" s="10">
        <f>HYPERLINK("http://www.lingerieopt.ru/images/original/db9cd017-72a0-494f-8919-f212bcfad89c.jpg","Фото")</f>
      </c>
    </row>
    <row r="10704">
      <c r="A10704" s="7">
        <f>HYPERLINK("http://www.lingerieopt.ru/item/11124-kostyum-shkolnicj-top-galstuk-stringi-i-golfj/","11124")</f>
      </c>
      <c r="B10704" s="8" t="s">
        <v>10195</v>
      </c>
      <c r="C10704" s="9">
        <v>3061</v>
      </c>
      <c r="D10704" s="0">
        <v>4</v>
      </c>
      <c r="E10704" s="10">
        <f>HYPERLINK("http://www.lingerieopt.ru/images/original/db9cd017-72a0-494f-8919-f212bcfad89c.jpg","Фото")</f>
      </c>
    </row>
    <row r="10705">
      <c r="A10705" s="7">
        <f>HYPERLINK("http://www.lingerieopt.ru/item/11132-kostyum-mechtatelnoi-shkolnicj/","11132")</f>
      </c>
      <c r="B10705" s="8" t="s">
        <v>10196</v>
      </c>
      <c r="C10705" s="9">
        <v>3043</v>
      </c>
      <c r="D10705" s="0">
        <v>2</v>
      </c>
      <c r="E10705" s="10">
        <f>HYPERLINK("http://www.lingerieopt.ru/images/original/00deadae-ae27-4ff7-82e6-eb8253f908e9.jpg","Фото")</f>
      </c>
    </row>
    <row r="10706">
      <c r="A10706" s="7">
        <f>HYPERLINK("http://www.lingerieopt.ru/item/11132-kostyum-mechtatelnoi-shkolnicj/","11132")</f>
      </c>
      <c r="B10706" s="8" t="s">
        <v>10197</v>
      </c>
      <c r="C10706" s="9">
        <v>3043</v>
      </c>
      <c r="D10706" s="0">
        <v>3</v>
      </c>
      <c r="E10706" s="10">
        <f>HYPERLINK("http://www.lingerieopt.ru/images/original/00deadae-ae27-4ff7-82e6-eb8253f908e9.jpg","Фото")</f>
      </c>
    </row>
    <row r="10707">
      <c r="A10707" s="7">
        <f>HYPERLINK("http://www.lingerieopt.ru/item/11132-kostyum-mechtatelnoi-shkolnicj/","11132")</f>
      </c>
      <c r="B10707" s="8" t="s">
        <v>10198</v>
      </c>
      <c r="C10707" s="9">
        <v>3043</v>
      </c>
      <c r="D10707" s="0">
        <v>0</v>
      </c>
      <c r="E10707" s="10">
        <f>HYPERLINK("http://www.lingerieopt.ru/images/original/00deadae-ae27-4ff7-82e6-eb8253f908e9.jpg","Фото")</f>
      </c>
    </row>
    <row r="10708">
      <c r="A10708" s="7">
        <f>HYPERLINK("http://www.lingerieopt.ru/item/11132-kostyum-mechtatelnoi-shkolnicj/","11132")</f>
      </c>
      <c r="B10708" s="8" t="s">
        <v>10199</v>
      </c>
      <c r="C10708" s="9">
        <v>3043</v>
      </c>
      <c r="D10708" s="0">
        <v>2</v>
      </c>
      <c r="E10708" s="10">
        <f>HYPERLINK("http://www.lingerieopt.ru/images/original/00deadae-ae27-4ff7-82e6-eb8253f908e9.jpg","Фото")</f>
      </c>
    </row>
    <row r="10709">
      <c r="A10709" s="5"/>
      <c r="B10709" s="6" t="s">
        <v>10200</v>
      </c>
      <c r="C10709" s="5"/>
      <c r="D10709" s="5"/>
      <c r="E10709" s="5"/>
    </row>
    <row r="10710">
      <c r="A10710" s="7">
        <f>HYPERLINK("http://www.lingerieopt.ru/item/56-zhenskie-trusiki-angel/","56")</f>
      </c>
      <c r="B10710" s="8" t="s">
        <v>5982</v>
      </c>
      <c r="C10710" s="9">
        <v>352</v>
      </c>
      <c r="D10710" s="0">
        <v>10</v>
      </c>
      <c r="E10710" s="10">
        <f>HYPERLINK("http://www.lingerieopt.ru/images/original/dddacf7d-3832-4e1f-a505-295c66231067.jpg","Фото")</f>
      </c>
    </row>
    <row r="10711">
      <c r="A10711" s="7">
        <f>HYPERLINK("http://www.lingerieopt.ru/item/56-zhenskie-trusiki-angel/","56")</f>
      </c>
      <c r="B10711" s="8" t="s">
        <v>5983</v>
      </c>
      <c r="C10711" s="9">
        <v>352</v>
      </c>
      <c r="D10711" s="0">
        <v>5</v>
      </c>
      <c r="E10711" s="10">
        <f>HYPERLINK("http://www.lingerieopt.ru/images/original/dddacf7d-3832-4e1f-a505-295c66231067.jpg","Фото")</f>
      </c>
    </row>
    <row r="10712">
      <c r="A10712" s="7">
        <f>HYPERLINK("http://www.lingerieopt.ru/item/755-kostyum-vampirshi/","755")</f>
      </c>
      <c r="B10712" s="8" t="s">
        <v>10201</v>
      </c>
      <c r="C10712" s="9">
        <v>970</v>
      </c>
      <c r="D10712" s="0">
        <v>1</v>
      </c>
      <c r="E10712" s="10">
        <f>HYPERLINK("http://www.lingerieopt.ru/images/original/12c2c043-d456-4b51-a210-55f6e25913ac.jpg","Фото")</f>
      </c>
    </row>
    <row r="10713">
      <c r="A10713" s="7">
        <f>HYPERLINK("http://www.lingerieopt.ru/item/755-kostyum-vampirshi/","755")</f>
      </c>
      <c r="B10713" s="8" t="s">
        <v>10202</v>
      </c>
      <c r="C10713" s="9">
        <v>970</v>
      </c>
      <c r="D10713" s="0">
        <v>0</v>
      </c>
      <c r="E10713" s="10">
        <f>HYPERLINK("http://www.lingerieopt.ru/images/original/12c2c043-d456-4b51-a210-55f6e25913ac.jpg","Фото")</f>
      </c>
    </row>
    <row r="10714">
      <c r="A10714" s="7">
        <f>HYPERLINK("http://www.lingerieopt.ru/item/797-kostyum-nochnoi-vedmochki/","797")</f>
      </c>
      <c r="B10714" s="8" t="s">
        <v>10203</v>
      </c>
      <c r="C10714" s="9">
        <v>1666</v>
      </c>
      <c r="D10714" s="0">
        <v>0</v>
      </c>
      <c r="E10714" s="10">
        <f>HYPERLINK("http://www.lingerieopt.ru/images/original/dad8bbb1-930d-48c2-8750-997e0357f65d.jpg","Фото")</f>
      </c>
    </row>
    <row r="10715">
      <c r="A10715" s="7">
        <f>HYPERLINK("http://www.lingerieopt.ru/item/797-kostyum-nochnoi-vedmochki/","797")</f>
      </c>
      <c r="B10715" s="8" t="s">
        <v>10204</v>
      </c>
      <c r="C10715" s="9">
        <v>1666</v>
      </c>
      <c r="D10715" s="0">
        <v>1</v>
      </c>
      <c r="E10715" s="10">
        <f>HYPERLINK("http://www.lingerieopt.ru/images/original/dad8bbb1-930d-48c2-8750-997e0357f65d.jpg","Фото")</f>
      </c>
    </row>
    <row r="10716">
      <c r="A10716" s="7">
        <f>HYPERLINK("http://www.lingerieopt.ru/item/799-chernji-kostyum-dyavolicj/","799")</f>
      </c>
      <c r="B10716" s="8" t="s">
        <v>3599</v>
      </c>
      <c r="C10716" s="9">
        <v>1007</v>
      </c>
      <c r="D10716" s="0">
        <v>1</v>
      </c>
      <c r="E10716" s="10">
        <f>HYPERLINK("http://www.lingerieopt.ru/images/original/2ac9b742-4155-4115-9b30-4d0f47e26644.jpg","Фото")</f>
      </c>
    </row>
    <row r="10717">
      <c r="A10717" s="7">
        <f>HYPERLINK("http://www.lingerieopt.ru/item/801-plate-vedmochki/","801")</f>
      </c>
      <c r="B10717" s="8" t="s">
        <v>10205</v>
      </c>
      <c r="C10717" s="9">
        <v>1169</v>
      </c>
      <c r="D10717" s="0">
        <v>1</v>
      </c>
      <c r="E10717" s="10">
        <f>HYPERLINK("http://www.lingerieopt.ru/images/original/a56f6473-e8be-4815-8157-4766c3173662.jpg","Фото")</f>
      </c>
    </row>
    <row r="10718">
      <c r="A10718" s="7">
        <f>HYPERLINK("http://www.lingerieopt.ru/item/806-kostyum-podruzhka-iz-ada/","806")</f>
      </c>
      <c r="B10718" s="8" t="s">
        <v>10206</v>
      </c>
      <c r="C10718" s="9">
        <v>1164</v>
      </c>
      <c r="D10718" s="0">
        <v>2</v>
      </c>
      <c r="E10718" s="10">
        <f>HYPERLINK("http://www.lingerieopt.ru/images/original/45c33e2c-50dc-43c8-98f6-ecd40e99c415.jpg","Фото")</f>
      </c>
    </row>
    <row r="10719">
      <c r="A10719" s="7">
        <f>HYPERLINK("http://www.lingerieopt.ru/item/806-kostyum-podruzhka-iz-ada/","806")</f>
      </c>
      <c r="B10719" s="8" t="s">
        <v>10207</v>
      </c>
      <c r="C10719" s="9">
        <v>1164</v>
      </c>
      <c r="D10719" s="0">
        <v>0</v>
      </c>
      <c r="E10719" s="10">
        <f>HYPERLINK("http://www.lingerieopt.ru/images/original/45c33e2c-50dc-43c8-98f6-ecd40e99c415.jpg","Фото")</f>
      </c>
    </row>
    <row r="10720">
      <c r="A10720" s="7">
        <f>HYPERLINK("http://www.lingerieopt.ru/item/811-kostyum-princessa-ada/","811")</f>
      </c>
      <c r="B10720" s="8" t="s">
        <v>10208</v>
      </c>
      <c r="C10720" s="9">
        <v>1117</v>
      </c>
      <c r="D10720" s="0">
        <v>10</v>
      </c>
      <c r="E10720" s="10">
        <f>HYPERLINK("http://www.lingerieopt.ru/images/original/7272ea0f-d25b-4b01-9025-c3a0a02a77c1.jpg","Фото")</f>
      </c>
    </row>
    <row r="10721">
      <c r="A10721" s="7">
        <f>HYPERLINK("http://www.lingerieopt.ru/item/811-kostyum-princessa-ada/","811")</f>
      </c>
      <c r="B10721" s="8" t="s">
        <v>10209</v>
      </c>
      <c r="C10721" s="9">
        <v>1117</v>
      </c>
      <c r="D10721" s="0">
        <v>7</v>
      </c>
      <c r="E10721" s="10">
        <f>HYPERLINK("http://www.lingerieopt.ru/images/original/7272ea0f-d25b-4b01-9025-c3a0a02a77c1.jpg","Фото")</f>
      </c>
    </row>
    <row r="10722">
      <c r="A10722" s="7">
        <f>HYPERLINK("http://www.lingerieopt.ru/item/876-rozhki-chertenka/","876")</f>
      </c>
      <c r="B10722" s="8" t="s">
        <v>10210</v>
      </c>
      <c r="C10722" s="9">
        <v>48</v>
      </c>
      <c r="D10722" s="0">
        <v>11</v>
      </c>
      <c r="E10722" s="10">
        <f>HYPERLINK("http://www.lingerieopt.ru/images/original/e9df912b-1080-4733-91f2-4d32888cb929.jpg","Фото")</f>
      </c>
    </row>
    <row r="10723">
      <c r="A10723" s="7">
        <f>HYPERLINK("http://www.lingerieopt.ru/item/911-plate-dyavolenka/","911")</f>
      </c>
      <c r="B10723" s="8" t="s">
        <v>10211</v>
      </c>
      <c r="C10723" s="9">
        <v>1185</v>
      </c>
      <c r="D10723" s="0">
        <v>2</v>
      </c>
      <c r="E10723" s="10">
        <f>HYPERLINK("http://www.lingerieopt.ru/images/original/179f8a3f-9f36-4c09-9e7f-f2be6d156f91.jpg","Фото")</f>
      </c>
    </row>
    <row r="10724">
      <c r="A10724" s="7">
        <f>HYPERLINK("http://www.lingerieopt.ru/item/913-kostyum-temnji-vampir/","913")</f>
      </c>
      <c r="B10724" s="8" t="s">
        <v>10212</v>
      </c>
      <c r="C10724" s="9">
        <v>691</v>
      </c>
      <c r="D10724" s="0">
        <v>21</v>
      </c>
      <c r="E10724" s="10">
        <f>HYPERLINK("http://www.lingerieopt.ru/images/original/bcfecde0-6cd8-4679-8256-36fd724d7434.jpg","Фото")</f>
      </c>
    </row>
    <row r="10725">
      <c r="A10725" s="7">
        <f>HYPERLINK("http://www.lingerieopt.ru/item/913-kostyum-temnji-vampir/","913")</f>
      </c>
      <c r="B10725" s="8" t="s">
        <v>10213</v>
      </c>
      <c r="C10725" s="9">
        <v>691</v>
      </c>
      <c r="D10725" s="0">
        <v>20</v>
      </c>
      <c r="E10725" s="10">
        <f>HYPERLINK("http://www.lingerieopt.ru/images/original/bcfecde0-6cd8-4679-8256-36fd724d7434.jpg","Фото")</f>
      </c>
    </row>
    <row r="10726">
      <c r="A10726" s="7">
        <f>HYPERLINK("http://www.lingerieopt.ru/item/2230-kostyum-chernoi-vedmochki/","2230")</f>
      </c>
      <c r="B10726" s="8" t="s">
        <v>10214</v>
      </c>
      <c r="C10726" s="9">
        <v>1253</v>
      </c>
      <c r="D10726" s="0">
        <v>2</v>
      </c>
      <c r="E10726" s="10">
        <f>HYPERLINK("http://www.lingerieopt.ru/images/original/dc333f6b-ffe3-4853-8496-68d2f501acdd.jpg","Фото")</f>
      </c>
    </row>
    <row r="10727">
      <c r="A10727" s="7">
        <f>HYPERLINK("http://www.lingerieopt.ru/item/2296-atlasnji-kostyum-black-demonia/","2296")</f>
      </c>
      <c r="B10727" s="8" t="s">
        <v>10215</v>
      </c>
      <c r="C10727" s="9">
        <v>1048</v>
      </c>
      <c r="D10727" s="0">
        <v>4</v>
      </c>
      <c r="E10727" s="10">
        <f>HYPERLINK("http://www.lingerieopt.ru/images/original/5b34db0f-59b8-4dfd-8685-449d8afdf5ee.jpg","Фото")</f>
      </c>
    </row>
    <row r="10728">
      <c r="A10728" s="7">
        <f>HYPERLINK("http://www.lingerieopt.ru/item/2296-atlasnji-kostyum-black-demonia/","2296")</f>
      </c>
      <c r="B10728" s="8" t="s">
        <v>10216</v>
      </c>
      <c r="C10728" s="9">
        <v>1048</v>
      </c>
      <c r="D10728" s="0">
        <v>3</v>
      </c>
      <c r="E10728" s="10">
        <f>HYPERLINK("http://www.lingerieopt.ru/images/original/5b34db0f-59b8-4dfd-8685-449d8afdf5ee.jpg","Фото")</f>
      </c>
    </row>
    <row r="10729">
      <c r="A10729" s="7">
        <f>HYPERLINK("http://www.lingerieopt.ru/item/5751-karnavalnji-kostyum-mumii/","5751")</f>
      </c>
      <c r="B10729" s="8" t="s">
        <v>10217</v>
      </c>
      <c r="C10729" s="9">
        <v>648</v>
      </c>
      <c r="D10729" s="0">
        <v>0</v>
      </c>
      <c r="E10729" s="10">
        <f>HYPERLINK("http://www.lingerieopt.ru/images/original/648f19b5-ca26-4813-8dc4-eb2c43567d46.jpg","Фото")</f>
      </c>
    </row>
    <row r="10730">
      <c r="A10730" s="7">
        <f>HYPERLINK("http://www.lingerieopt.ru/item/5751-karnavalnji-kostyum-mumii/","5751")</f>
      </c>
      <c r="B10730" s="8" t="s">
        <v>10218</v>
      </c>
      <c r="C10730" s="9">
        <v>648</v>
      </c>
      <c r="D10730" s="0">
        <v>1</v>
      </c>
      <c r="E10730" s="10">
        <f>HYPERLINK("http://www.lingerieopt.ru/images/original/648f19b5-ca26-4813-8dc4-eb2c43567d46.jpg","Фото")</f>
      </c>
    </row>
    <row r="10731">
      <c r="A10731" s="7">
        <f>HYPERLINK("http://www.lingerieopt.ru/item/5987-bolshie-krjlya-iz-naturalnjh-perev-dark-delight/","5987")</f>
      </c>
      <c r="B10731" s="8" t="s">
        <v>10219</v>
      </c>
      <c r="C10731" s="9">
        <v>2328</v>
      </c>
      <c r="D10731" s="0">
        <v>0</v>
      </c>
      <c r="E10731" s="10">
        <f>HYPERLINK("http://www.lingerieopt.ru/images/original/78997042-e636-4197-9761-4dccba2c9a43.jpg","Фото")</f>
      </c>
    </row>
    <row r="10732">
      <c r="A10732" s="7">
        <f>HYPERLINK("http://www.lingerieopt.ru/item/5987-bolshie-krjlya-iz-naturalnjh-perev-dark-delight/","5987")</f>
      </c>
      <c r="B10732" s="8" t="s">
        <v>10220</v>
      </c>
      <c r="C10732" s="9">
        <v>2328</v>
      </c>
      <c r="D10732" s="0">
        <v>0</v>
      </c>
      <c r="E10732" s="10">
        <f>HYPERLINK("http://www.lingerieopt.ru/images/original/78997042-e636-4197-9761-4dccba2c9a43.jpg","Фото")</f>
      </c>
    </row>
    <row r="10733">
      <c r="A10733" s="7">
        <f>HYPERLINK("http://www.lingerieopt.ru/item/5987-bolshie-krjlya-iz-naturalnjh-perev-dark-delight/","5987")</f>
      </c>
      <c r="B10733" s="8" t="s">
        <v>10221</v>
      </c>
      <c r="C10733" s="9">
        <v>2328</v>
      </c>
      <c r="D10733" s="0">
        <v>30</v>
      </c>
      <c r="E10733" s="10">
        <f>HYPERLINK("http://www.lingerieopt.ru/images/original/78997042-e636-4197-9761-4dccba2c9a43.jpg","Фото")</f>
      </c>
    </row>
    <row r="10734">
      <c r="A10734" s="7">
        <f>HYPERLINK("http://www.lingerieopt.ru/item/5987-bolshie-krjlya-iz-naturalnjh-perev-dark-delight/","5987")</f>
      </c>
      <c r="B10734" s="8" t="s">
        <v>10222</v>
      </c>
      <c r="C10734" s="9">
        <v>2328</v>
      </c>
      <c r="D10734" s="0">
        <v>30</v>
      </c>
      <c r="E10734" s="10">
        <f>HYPERLINK("http://www.lingerieopt.ru/images/original/78997042-e636-4197-9761-4dccba2c9a43.jpg","Фото")</f>
      </c>
    </row>
    <row r="10735">
      <c r="A10735" s="7">
        <f>HYPERLINK("http://www.lingerieopt.ru/item/5988-malenkie-krjlya-iz-naturalnjh-perev/","5988")</f>
      </c>
      <c r="B10735" s="8" t="s">
        <v>10223</v>
      </c>
      <c r="C10735" s="9">
        <v>537</v>
      </c>
      <c r="D10735" s="0">
        <v>30</v>
      </c>
      <c r="E10735" s="10">
        <f>HYPERLINK("http://www.lingerieopt.ru/images/original/6f0cc4f3-2ef2-461c-82eb-e7466d15c5e2.jpg","Фото")</f>
      </c>
    </row>
    <row r="10736">
      <c r="A10736" s="7">
        <f>HYPERLINK("http://www.lingerieopt.ru/item/5988-malenkie-krjlya-iz-naturalnjh-perev/","5988")</f>
      </c>
      <c r="B10736" s="8" t="s">
        <v>10224</v>
      </c>
      <c r="C10736" s="9">
        <v>537</v>
      </c>
      <c r="D10736" s="0">
        <v>0</v>
      </c>
      <c r="E10736" s="10">
        <f>HYPERLINK("http://www.lingerieopt.ru/images/original/6f0cc4f3-2ef2-461c-82eb-e7466d15c5e2.jpg","Фото")</f>
      </c>
    </row>
    <row r="10737">
      <c r="A10737" s="7">
        <f>HYPERLINK("http://www.lingerieopt.ru/item/5988-malenkie-krjlya-iz-naturalnjh-perev/","5988")</f>
      </c>
      <c r="B10737" s="8" t="s">
        <v>10225</v>
      </c>
      <c r="C10737" s="9">
        <v>537</v>
      </c>
      <c r="D10737" s="0">
        <v>0</v>
      </c>
      <c r="E10737" s="10">
        <f>HYPERLINK("http://www.lingerieopt.ru/images/original/6f0cc4f3-2ef2-461c-82eb-e7466d15c5e2.jpg","Фото")</f>
      </c>
    </row>
    <row r="10738">
      <c r="A10738" s="7">
        <f>HYPERLINK("http://www.lingerieopt.ru/item/5988-malenkie-krjlya-iz-naturalnjh-perev/","5988")</f>
      </c>
      <c r="B10738" s="8" t="s">
        <v>10226</v>
      </c>
      <c r="C10738" s="9">
        <v>537</v>
      </c>
      <c r="D10738" s="0">
        <v>0</v>
      </c>
      <c r="E10738" s="10">
        <f>HYPERLINK("http://www.lingerieopt.ru/images/original/6f0cc4f3-2ef2-461c-82eb-e7466d15c5e2.jpg","Фото")</f>
      </c>
    </row>
    <row r="10739">
      <c r="A10739" s="7">
        <f>HYPERLINK("http://www.lingerieopt.ru/item/6049-ryukzak-maljsh-zombi/","6049")</f>
      </c>
      <c r="B10739" s="8" t="s">
        <v>10227</v>
      </c>
      <c r="C10739" s="9">
        <v>1278</v>
      </c>
      <c r="D10739" s="0">
        <v>5</v>
      </c>
      <c r="E10739" s="10">
        <f>HYPERLINK("http://www.lingerieopt.ru/images/original/ad95530a-8d9c-4126-a4ba-6a1bf09eac26.jpg","Фото")</f>
      </c>
    </row>
    <row r="10740">
      <c r="A10740" s="7">
        <f>HYPERLINK("http://www.lingerieopt.ru/item/6825-chulki-s-imitaciei-pyaten-krovi/","6825")</f>
      </c>
      <c r="B10740" s="8" t="s">
        <v>7876</v>
      </c>
      <c r="C10740" s="9">
        <v>588</v>
      </c>
      <c r="D10740" s="0">
        <v>10</v>
      </c>
      <c r="E10740" s="10">
        <f>HYPERLINK("http://www.lingerieopt.ru/images/original/6696489b-da8a-494e-9407-6bff4963fe77.jpg","Фото")</f>
      </c>
    </row>
    <row r="10741">
      <c r="A10741" s="7">
        <f>HYPERLINK("http://www.lingerieopt.ru/item/9279-otkrovennji-kostyum-dyavolicj/","9279")</f>
      </c>
      <c r="B10741" s="8" t="s">
        <v>10228</v>
      </c>
      <c r="C10741" s="9">
        <v>1673</v>
      </c>
      <c r="D10741" s="0">
        <v>6</v>
      </c>
      <c r="E10741" s="10">
        <f>HYPERLINK("http://www.lingerieopt.ru/images/original/e501d953-b6f1-466f-b08d-a060111d252a.jpg","Фото")</f>
      </c>
    </row>
    <row r="10742">
      <c r="A10742" s="7">
        <f>HYPERLINK("http://www.lingerieopt.ru/item/9279-otkrovennji-kostyum-dyavolicj/","9279")</f>
      </c>
      <c r="B10742" s="8" t="s">
        <v>10229</v>
      </c>
      <c r="C10742" s="9">
        <v>1673</v>
      </c>
      <c r="D10742" s="0">
        <v>8</v>
      </c>
      <c r="E10742" s="10">
        <f>HYPERLINK("http://www.lingerieopt.ru/images/original/e501d953-b6f1-466f-b08d-a060111d252a.jpg","Фото")</f>
      </c>
    </row>
    <row r="10743">
      <c r="A10743" s="7">
        <f>HYPERLINK("http://www.lingerieopt.ru/item/9702-kostyum-ozornoi-monashki-ines/","9702")</f>
      </c>
      <c r="B10743" s="8" t="s">
        <v>10230</v>
      </c>
      <c r="C10743" s="9">
        <v>1310</v>
      </c>
      <c r="D10743" s="0">
        <v>10</v>
      </c>
      <c r="E10743" s="10">
        <f>HYPERLINK("http://www.lingerieopt.ru/images/original/5ce69f57-3d59-4457-a885-67c70711c8ed.jpg","Фото")</f>
      </c>
    </row>
    <row r="10744">
      <c r="A10744" s="7">
        <f>HYPERLINK("http://www.lingerieopt.ru/item/9702-kostyum-ozornoi-monashki-ines/","9702")</f>
      </c>
      <c r="B10744" s="8" t="s">
        <v>10231</v>
      </c>
      <c r="C10744" s="9">
        <v>1310</v>
      </c>
      <c r="D10744" s="0">
        <v>11</v>
      </c>
      <c r="E10744" s="10">
        <f>HYPERLINK("http://www.lingerieopt.ru/images/original/5ce69f57-3d59-4457-a885-67c70711c8ed.jpg","Фото")</f>
      </c>
    </row>
    <row r="10745">
      <c r="A10745" s="7">
        <f>HYPERLINK("http://www.lingerieopt.ru/item/10228-kostyum-ozornoi-monahini-ines-plus-size/","10228")</f>
      </c>
      <c r="B10745" s="8" t="s">
        <v>10232</v>
      </c>
      <c r="C10745" s="9">
        <v>1310</v>
      </c>
      <c r="D10745" s="0">
        <v>4</v>
      </c>
      <c r="E10745" s="10">
        <f>HYPERLINK("http://www.lingerieopt.ru/images/original/15b1752d-e323-466d-917d-7db7efcdf6c1.jpg","Фото")</f>
      </c>
    </row>
    <row r="10746">
      <c r="A10746" s="5"/>
      <c r="B10746" s="6" t="s">
        <v>10233</v>
      </c>
      <c r="C10746" s="5"/>
      <c r="D10746" s="5"/>
      <c r="E10746" s="5"/>
    </row>
    <row r="10747">
      <c r="A10747" s="7">
        <f>HYPERLINK("http://www.lingerieopt.ru/item/37-zolotistaya-metallicheskaya-maska-forrest-queen-masquerade/","37")</f>
      </c>
      <c r="B10747" s="8" t="s">
        <v>10234</v>
      </c>
      <c r="C10747" s="9">
        <v>2652</v>
      </c>
      <c r="D10747" s="0">
        <v>5</v>
      </c>
      <c r="E10747" s="10">
        <f>HYPERLINK("http://www.lingerieopt.ru/images/original/a45133ea-e3dd-4e8f-b339-6f28ef7eb8da.jpg","Фото")</f>
      </c>
    </row>
    <row r="10748">
      <c r="A10748" s="7">
        <f>HYPERLINK("http://www.lingerieopt.ru/item/6442-kruzhevnaya-maska-v-venecianskom-stile-s-malenkoi-koronoi/","6442")</f>
      </c>
      <c r="B10748" s="8" t="s">
        <v>10235</v>
      </c>
      <c r="C10748" s="9">
        <v>558</v>
      </c>
      <c r="D10748" s="0">
        <v>8</v>
      </c>
      <c r="E10748" s="10">
        <f>HYPERLINK("http://www.lingerieopt.ru/images/original/06a82205-d504-4b25-bd00-e010b11ea147.jpg","Фото")</f>
      </c>
    </row>
    <row r="10749">
      <c r="A10749" s="7">
        <f>HYPERLINK("http://www.lingerieopt.ru/item/6442-kruzhevnaya-maska-v-venecianskom-stile-s-malenkoi-koronoi/","6442")</f>
      </c>
      <c r="B10749" s="8" t="s">
        <v>10236</v>
      </c>
      <c r="C10749" s="9">
        <v>558</v>
      </c>
      <c r="D10749" s="0">
        <v>14</v>
      </c>
      <c r="E10749" s="10">
        <f>HYPERLINK("http://www.lingerieopt.ru/images/original/06a82205-d504-4b25-bd00-e010b11ea147.jpg","Фото")</f>
      </c>
    </row>
    <row r="10750">
      <c r="A10750" s="7">
        <f>HYPERLINK("http://www.lingerieopt.ru/item/6445-kruzhevnaya-maska-v-forme-babochki/","6445")</f>
      </c>
      <c r="B10750" s="8" t="s">
        <v>10237</v>
      </c>
      <c r="C10750" s="9">
        <v>558</v>
      </c>
      <c r="D10750" s="0">
        <v>13</v>
      </c>
      <c r="E10750" s="10">
        <f>HYPERLINK("http://www.lingerieopt.ru/images/original/1208734a-ffb5-477d-92c7-3fff0086caa5.jpg","Фото")</f>
      </c>
    </row>
    <row r="10751">
      <c r="A10751" s="7">
        <f>HYPERLINK("http://www.lingerieopt.ru/item/6449-azhurnaya-maska-letuchaya-mjsh/","6449")</f>
      </c>
      <c r="B10751" s="8" t="s">
        <v>10238</v>
      </c>
      <c r="C10751" s="9">
        <v>558</v>
      </c>
      <c r="D10751" s="0">
        <v>14</v>
      </c>
      <c r="E10751" s="10">
        <f>HYPERLINK("http://www.lingerieopt.ru/images/original/123f6348-e5d9-434d-90aa-07d03686b1e8.jpg","Фото")</f>
      </c>
    </row>
    <row r="10752">
      <c r="A10752" s="7">
        <f>HYPERLINK("http://www.lingerieopt.ru/item/6450-maska-v-forme-letuchei-mjshi-so-strazami-i-cvetami/","6450")</f>
      </c>
      <c r="B10752" s="8" t="s">
        <v>10239</v>
      </c>
      <c r="C10752" s="9">
        <v>848</v>
      </c>
      <c r="D10752" s="0">
        <v>10</v>
      </c>
      <c r="E10752" s="10">
        <f>HYPERLINK("http://www.lingerieopt.ru/images/original/ceb9976a-5472-4add-81a8-3eabec2138ba.jpg","Фото")</f>
      </c>
    </row>
    <row r="10753">
      <c r="A10753" s="7">
        <f>HYPERLINK("http://www.lingerieopt.ru/item/6515-maska-plenitelnaya-taina-so-strazami/","6515")</f>
      </c>
      <c r="B10753" s="8" t="s">
        <v>10240</v>
      </c>
      <c r="C10753" s="9">
        <v>772</v>
      </c>
      <c r="D10753" s="0">
        <v>14</v>
      </c>
      <c r="E10753" s="10">
        <f>HYPERLINK("http://www.lingerieopt.ru/images/original/84eafbb5-6fab-4da3-9f68-13e1ef920953.jpg","Фото")</f>
      </c>
    </row>
    <row r="10754">
      <c r="A10754" s="7">
        <f>HYPERLINK("http://www.lingerieopt.ru/item/6515-maska-plenitelnaya-taina-so-strazami/","6515")</f>
      </c>
      <c r="B10754" s="8" t="s">
        <v>10241</v>
      </c>
      <c r="C10754" s="9">
        <v>772</v>
      </c>
      <c r="D10754" s="0">
        <v>12</v>
      </c>
      <c r="E10754" s="10">
        <f>HYPERLINK("http://www.lingerieopt.ru/images/original/84eafbb5-6fab-4da3-9f68-13e1ef920953.jpg","Фото")</f>
      </c>
    </row>
    <row r="10755">
      <c r="A10755" s="7">
        <f>HYPERLINK("http://www.lingerieopt.ru/item/6524-chernaya-metallicheskaya-maska-forrest-queen-masquerade/","6524")</f>
      </c>
      <c r="B10755" s="8" t="s">
        <v>10242</v>
      </c>
      <c r="C10755" s="9">
        <v>2968</v>
      </c>
      <c r="D10755" s="0">
        <v>5</v>
      </c>
      <c r="E10755" s="10">
        <f>HYPERLINK("http://www.lingerieopt.ru/images/original/b15cd88a-f634-45fb-bb86-eb0d352c7652.jpg","Фото")</f>
      </c>
    </row>
    <row r="10756">
      <c r="A10756" s="7">
        <f>HYPERLINK("http://www.lingerieopt.ru/item/7073-azhurnaya-maska-v-venecianskom-stile/","7073")</f>
      </c>
      <c r="B10756" s="8" t="s">
        <v>10243</v>
      </c>
      <c r="C10756" s="9">
        <v>558</v>
      </c>
      <c r="D10756" s="0">
        <v>8</v>
      </c>
      <c r="E10756" s="10">
        <f>HYPERLINK("http://www.lingerieopt.ru/images/original/5aacc33b-93cc-4402-9815-071387a6dd74.jpg","Фото")</f>
      </c>
    </row>
    <row r="10757">
      <c r="A10757" s="7">
        <f>HYPERLINK("http://www.lingerieopt.ru/item/7073-azhurnaya-maska-v-venecianskom-stile/","7073")</f>
      </c>
      <c r="B10757" s="8" t="s">
        <v>10244</v>
      </c>
      <c r="C10757" s="9">
        <v>558</v>
      </c>
      <c r="D10757" s="0">
        <v>15</v>
      </c>
      <c r="E10757" s="10">
        <f>HYPERLINK("http://www.lingerieopt.ru/images/original/5aacc33b-93cc-4402-9815-071387a6dd74.jpg","Фото")</f>
      </c>
    </row>
    <row r="10758">
      <c r="A10758" s="7">
        <f>HYPERLINK("http://www.lingerieopt.ru/item/7075-kruzhevnaya-maska-babochka/","7075")</f>
      </c>
      <c r="B10758" s="8" t="s">
        <v>10245</v>
      </c>
      <c r="C10758" s="9">
        <v>558</v>
      </c>
      <c r="D10758" s="0">
        <v>10</v>
      </c>
      <c r="E10758" s="10">
        <f>HYPERLINK("http://www.lingerieopt.ru/images/original/ff2b6a7d-a45f-44f7-a42b-e48713344844.jpg","Фото")</f>
      </c>
    </row>
    <row r="10759">
      <c r="A10759" s="7">
        <f>HYPERLINK("http://www.lingerieopt.ru/item/7215-maska-s-koshachimi-ushkami-iz-strep-lent/","7215")</f>
      </c>
      <c r="B10759" s="8" t="s">
        <v>9915</v>
      </c>
      <c r="C10759" s="9">
        <v>635</v>
      </c>
      <c r="D10759" s="0">
        <v>4</v>
      </c>
      <c r="E10759" s="10">
        <f>HYPERLINK("http://www.lingerieopt.ru/images/original/fc94a336-026f-408a-b399-2ade75f1a85a.jpg","Фото")</f>
      </c>
    </row>
    <row r="10760">
      <c r="A10760" s="7">
        <f>HYPERLINK("http://www.lingerieopt.ru/item/7215-maska-s-koshachimi-ushkami-iz-strep-lent/","7215")</f>
      </c>
      <c r="B10760" s="8" t="s">
        <v>9917</v>
      </c>
      <c r="C10760" s="9">
        <v>635</v>
      </c>
      <c r="D10760" s="0">
        <v>0</v>
      </c>
      <c r="E10760" s="10">
        <f>HYPERLINK("http://www.lingerieopt.ru/images/original/fc94a336-026f-408a-b399-2ade75f1a85a.jpg","Фото")</f>
      </c>
    </row>
    <row r="10761">
      <c r="A10761" s="7">
        <f>HYPERLINK("http://www.lingerieopt.ru/item/7215-maska-s-koshachimi-ushkami-iz-strep-lent/","7215")</f>
      </c>
      <c r="B10761" s="8" t="s">
        <v>9916</v>
      </c>
      <c r="C10761" s="9">
        <v>635</v>
      </c>
      <c r="D10761" s="0">
        <v>1</v>
      </c>
      <c r="E10761" s="10">
        <f>HYPERLINK("http://www.lingerieopt.ru/images/original/fc94a336-026f-408a-b399-2ade75f1a85a.jpg","Фото")</f>
      </c>
    </row>
    <row r="10762">
      <c r="A10762" s="7">
        <f>HYPERLINK("http://www.lingerieopt.ru/item/7238-kruzhevnaya-maska-divnaya-koshka/","7238")</f>
      </c>
      <c r="B10762" s="8" t="s">
        <v>10246</v>
      </c>
      <c r="C10762" s="9">
        <v>558</v>
      </c>
      <c r="D10762" s="0">
        <v>3</v>
      </c>
      <c r="E10762" s="10">
        <f>HYPERLINK("http://www.lingerieopt.ru/images/original/71974904-ba6d-46cf-991f-472ef9b1f177.jpg","Фото")</f>
      </c>
    </row>
    <row r="10763">
      <c r="A10763" s="7">
        <f>HYPERLINK("http://www.lingerieopt.ru/item/7240-kruzhevnaya-maska-s-cvetochnjm-uzorom/","7240")</f>
      </c>
      <c r="B10763" s="8" t="s">
        <v>10247</v>
      </c>
      <c r="C10763" s="9">
        <v>558</v>
      </c>
      <c r="D10763" s="0">
        <v>11</v>
      </c>
      <c r="E10763" s="10">
        <f>HYPERLINK("http://www.lingerieopt.ru/images/original/27ef5623-2855-46e9-b186-0a21df09fa29.jpg","Фото")</f>
      </c>
    </row>
    <row r="10764">
      <c r="A10764" s="7">
        <f>HYPERLINK("http://www.lingerieopt.ru/item/7240-kruzhevnaya-maska-s-cvetochnjm-uzorom/","7240")</f>
      </c>
      <c r="B10764" s="8" t="s">
        <v>10248</v>
      </c>
      <c r="C10764" s="9">
        <v>558</v>
      </c>
      <c r="D10764" s="0">
        <v>0</v>
      </c>
      <c r="E10764" s="10">
        <f>HYPERLINK("http://www.lingerieopt.ru/images/original/27ef5623-2855-46e9-b186-0a21df09fa29.jpg","Фото")</f>
      </c>
    </row>
    <row r="10765">
      <c r="A10765" s="7">
        <f>HYPERLINK("http://www.lingerieopt.ru/item/7454-chernaya-maska-so-strazami-tribal-masquerade-mask/","7454")</f>
      </c>
      <c r="B10765" s="8" t="s">
        <v>10249</v>
      </c>
      <c r="C10765" s="9">
        <v>2853</v>
      </c>
      <c r="D10765" s="0">
        <v>2</v>
      </c>
      <c r="E10765" s="10">
        <f>HYPERLINK("http://www.lingerieopt.ru/images/original/a5f0af31-9235-4031-a315-01f90453f7a2.jpg","Фото")</f>
      </c>
    </row>
    <row r="10766">
      <c r="A10766" s="7">
        <f>HYPERLINK("http://www.lingerieopt.ru/item/7455-chernaya-metallicheskaya-karnavalnaya-maska-swan-masquerade-mask/","7455")</f>
      </c>
      <c r="B10766" s="8" t="s">
        <v>10250</v>
      </c>
      <c r="C10766" s="9">
        <v>3703</v>
      </c>
      <c r="D10766" s="0">
        <v>4</v>
      </c>
      <c r="E10766" s="10">
        <f>HYPERLINK("http://www.lingerieopt.ru/images/original/27248767-81ec-4ad2-b291-bc7407f81fca.jpg","Фото")</f>
      </c>
    </row>
    <row r="10767">
      <c r="A10767" s="7">
        <f>HYPERLINK("http://www.lingerieopt.ru/item/7456-chernaya-metallicheskaya-maska-sea-goddes-masquerade-mask/","7456")</f>
      </c>
      <c r="B10767" s="8" t="s">
        <v>10251</v>
      </c>
      <c r="C10767" s="9">
        <v>3311</v>
      </c>
      <c r="D10767" s="0">
        <v>1</v>
      </c>
      <c r="E10767" s="10">
        <f>HYPERLINK("http://www.lingerieopt.ru/images/original/0c37a68c-2e57-4f4a-9387-a5666545e119.jpg","Фото")</f>
      </c>
    </row>
    <row r="10768">
      <c r="A10768" s="7">
        <f>HYPERLINK("http://www.lingerieopt.ru/item/7458-serebristaya-metallicheskaya-maska-forrest-queen-masquerade/","7458")</f>
      </c>
      <c r="B10768" s="8" t="s">
        <v>10252</v>
      </c>
      <c r="C10768" s="9">
        <v>2652</v>
      </c>
      <c r="D10768" s="0">
        <v>5</v>
      </c>
      <c r="E10768" s="10">
        <f>HYPERLINK("http://www.lingerieopt.ru/images/original/fc4c0852-91b8-40bf-a871-7ca5c1ac51ef.jpg","Фото")</f>
      </c>
    </row>
    <row r="10769">
      <c r="A10769" s="7">
        <f>HYPERLINK("http://www.lingerieopt.ru/item/7626-asimmetrichnaya-maska-tainj-venecii/","7626")</f>
      </c>
      <c r="B10769" s="8" t="s">
        <v>10253</v>
      </c>
      <c r="C10769" s="9">
        <v>558</v>
      </c>
      <c r="D10769" s="0">
        <v>4</v>
      </c>
      <c r="E10769" s="10">
        <f>HYPERLINK("http://www.lingerieopt.ru/images/original/b4a1aa52-0868-42b3-8273-383c5d00af38.jpg","Фото")</f>
      </c>
    </row>
    <row r="10770">
      <c r="A10770" s="7">
        <f>HYPERLINK("http://www.lingerieopt.ru/item/7626-asimmetrichnaya-maska-tainj-venecii/","7626")</f>
      </c>
      <c r="B10770" s="8" t="s">
        <v>10254</v>
      </c>
      <c r="C10770" s="9">
        <v>558</v>
      </c>
      <c r="D10770" s="0">
        <v>14</v>
      </c>
      <c r="E10770" s="10">
        <f>HYPERLINK("http://www.lingerieopt.ru/images/original/b4a1aa52-0868-42b3-8273-383c5d00af38.jpg","Фото")</f>
      </c>
    </row>
    <row r="10771">
      <c r="A10771" s="7">
        <f>HYPERLINK("http://www.lingerieopt.ru/item/7628-kruzhevnaya-maska-s-shipami-po-nizu/","7628")</f>
      </c>
      <c r="B10771" s="8" t="s">
        <v>10255</v>
      </c>
      <c r="C10771" s="9">
        <v>772</v>
      </c>
      <c r="D10771" s="0">
        <v>15</v>
      </c>
      <c r="E10771" s="10">
        <f>HYPERLINK("http://www.lingerieopt.ru/images/original/8c3bea9e-9c2f-43af-9a15-7567d983e9e9.jpg","Фото")</f>
      </c>
    </row>
    <row r="10772">
      <c r="A10772" s="7">
        <f>HYPERLINK("http://www.lingerieopt.ru/item/7644-serebristaya-metallicheskaya-maska-butterfly-masquerade-mask/","7644")</f>
      </c>
      <c r="B10772" s="8" t="s">
        <v>10256</v>
      </c>
      <c r="C10772" s="9">
        <v>2550</v>
      </c>
      <c r="D10772" s="0">
        <v>4</v>
      </c>
      <c r="E10772" s="10">
        <f>HYPERLINK("http://www.lingerieopt.ru/images/original/7420c794-624c-4f12-bfa2-5b50ff62b7b7.jpg","Фото")</f>
      </c>
    </row>
    <row r="10773">
      <c r="A10773" s="7">
        <f>HYPERLINK("http://www.lingerieopt.ru/item/7660-azhurnaya-maska-kapriz-na-zavyazkah/","7660")</f>
      </c>
      <c r="B10773" s="8" t="s">
        <v>10257</v>
      </c>
      <c r="C10773" s="9">
        <v>558</v>
      </c>
      <c r="D10773" s="0">
        <v>1</v>
      </c>
      <c r="E10773" s="10">
        <f>HYPERLINK("http://www.lingerieopt.ru/images/original/c8954e14-c00e-4117-a0d8-4a284d2cb2aa.jpg","Фото")</f>
      </c>
    </row>
    <row r="10774">
      <c r="A10774" s="7">
        <f>HYPERLINK("http://www.lingerieopt.ru/item/7679-zolotistaya-metallicheskaya-maska-butterfly-masquerade-mask/","7679")</f>
      </c>
      <c r="B10774" s="8" t="s">
        <v>10258</v>
      </c>
      <c r="C10774" s="9">
        <v>2853</v>
      </c>
      <c r="D10774" s="0">
        <v>3</v>
      </c>
      <c r="E10774" s="10">
        <f>HYPERLINK("http://www.lingerieopt.ru/images/original/4c5ff1b8-bd2e-421e-9ada-35beb03f0b7b.jpg","Фото")</f>
      </c>
    </row>
    <row r="10775">
      <c r="A10775" s="7">
        <f>HYPERLINK("http://www.lingerieopt.ru/item/7680-nityanaya-maska-v-forme-babochki/","7680")</f>
      </c>
      <c r="B10775" s="8" t="s">
        <v>10259</v>
      </c>
      <c r="C10775" s="9">
        <v>204</v>
      </c>
      <c r="D10775" s="0">
        <v>29</v>
      </c>
      <c r="E10775" s="10">
        <f>HYPERLINK("http://www.lingerieopt.ru/images/original/203280b2-f660-42e6-8b1d-183ba6b868fe.jpg","Фото")</f>
      </c>
    </row>
    <row r="10776">
      <c r="A10776" s="7">
        <f>HYPERLINK("http://www.lingerieopt.ru/item/7681-nityanaya-maska-v-forme-pautinki/","7681")</f>
      </c>
      <c r="B10776" s="8" t="s">
        <v>10260</v>
      </c>
      <c r="C10776" s="9">
        <v>213</v>
      </c>
      <c r="D10776" s="0">
        <v>30</v>
      </c>
      <c r="E10776" s="10">
        <f>HYPERLINK("http://www.lingerieopt.ru/images/original/84776f8f-cebd-44e0-9a66-f8f6c8df5510.jpg","Фото")</f>
      </c>
    </row>
    <row r="10777">
      <c r="A10777" s="7">
        <f>HYPERLINK("http://www.lingerieopt.ru/item/7682-nityanaya-maska-s-listikami/","7682")</f>
      </c>
      <c r="B10777" s="8" t="s">
        <v>10261</v>
      </c>
      <c r="C10777" s="9">
        <v>213</v>
      </c>
      <c r="D10777" s="0">
        <v>5</v>
      </c>
      <c r="E10777" s="10">
        <f>HYPERLINK("http://www.lingerieopt.ru/images/original/83e2e21b-743b-44cc-8635-6e5bfbbe398a.jpg","Фото")</f>
      </c>
    </row>
    <row r="10778">
      <c r="A10778" s="7">
        <f>HYPERLINK("http://www.lingerieopt.ru/item/7683-nityanaya-maska-s-cvetami/","7683")</f>
      </c>
      <c r="B10778" s="8" t="s">
        <v>10262</v>
      </c>
      <c r="C10778" s="9">
        <v>213</v>
      </c>
      <c r="D10778" s="0">
        <v>35</v>
      </c>
      <c r="E10778" s="10">
        <f>HYPERLINK("http://www.lingerieopt.ru/images/original/534e8f92-f73b-4c33-8a06-3cc00b46f516.jpg","Фото")</f>
      </c>
    </row>
    <row r="10779">
      <c r="A10779" s="7">
        <f>HYPERLINK("http://www.lingerieopt.ru/item/7881-kruzhevnaya-maska-zagadka-nochi/","7881")</f>
      </c>
      <c r="B10779" s="8" t="s">
        <v>10263</v>
      </c>
      <c r="C10779" s="9">
        <v>558</v>
      </c>
      <c r="D10779" s="0">
        <v>12</v>
      </c>
      <c r="E10779" s="10">
        <f>HYPERLINK("http://www.lingerieopt.ru/images/original/9f71a49b-356b-454d-ae5d-483790f8203b.jpg","Фото")</f>
      </c>
    </row>
    <row r="10780">
      <c r="A10780" s="7">
        <f>HYPERLINK("http://www.lingerieopt.ru/item/7882-kruzhevnaya-maska-zvezda-bala/","7882")</f>
      </c>
      <c r="B10780" s="8" t="s">
        <v>10264</v>
      </c>
      <c r="C10780" s="9">
        <v>558</v>
      </c>
      <c r="D10780" s="0">
        <v>14</v>
      </c>
      <c r="E10780" s="10">
        <f>HYPERLINK("http://www.lingerieopt.ru/images/original/66fc9145-f860-473e-afcd-e85755368863.jpg","Фото")</f>
      </c>
    </row>
    <row r="10781">
      <c r="A10781" s="7">
        <f>HYPERLINK("http://www.lingerieopt.ru/item/7882-kruzhevnaya-maska-zvezda-bala/","7882")</f>
      </c>
      <c r="B10781" s="8" t="s">
        <v>10265</v>
      </c>
      <c r="C10781" s="9">
        <v>558</v>
      </c>
      <c r="D10781" s="0">
        <v>9</v>
      </c>
      <c r="E10781" s="10">
        <f>HYPERLINK("http://www.lingerieopt.ru/images/original/66fc9145-f860-473e-afcd-e85755368863.jpg","Фото")</f>
      </c>
    </row>
    <row r="10782">
      <c r="A10782" s="7">
        <f>HYPERLINK("http://www.lingerieopt.ru/item/7884-azhurnaya-maska-koketlivaya-monashka/","7884")</f>
      </c>
      <c r="B10782" s="8" t="s">
        <v>10266</v>
      </c>
      <c r="C10782" s="9">
        <v>558</v>
      </c>
      <c r="D10782" s="0">
        <v>14</v>
      </c>
      <c r="E10782" s="10">
        <f>HYPERLINK("http://www.lingerieopt.ru/images/original/e2b0a3c6-5583-4901-bd0b-9045d6313f73.jpg","Фото")</f>
      </c>
    </row>
    <row r="10783">
      <c r="A10783" s="7">
        <f>HYPERLINK("http://www.lingerieopt.ru/item/7885-maska-legkaya-zagadka/","7885")</f>
      </c>
      <c r="B10783" s="8" t="s">
        <v>10267</v>
      </c>
      <c r="C10783" s="9">
        <v>558</v>
      </c>
      <c r="D10783" s="0">
        <v>13</v>
      </c>
      <c r="E10783" s="10">
        <f>HYPERLINK("http://www.lingerieopt.ru/images/original/06f64702-a7cb-442d-81f9-8db62f173c4e.jpg","Фото")</f>
      </c>
    </row>
    <row r="10784">
      <c r="A10784" s="7">
        <f>HYPERLINK("http://www.lingerieopt.ru/item/7885-maska-legkaya-zagadka/","7885")</f>
      </c>
      <c r="B10784" s="8" t="s">
        <v>10268</v>
      </c>
      <c r="C10784" s="9">
        <v>558</v>
      </c>
      <c r="D10784" s="0">
        <v>13</v>
      </c>
      <c r="E10784" s="10">
        <f>HYPERLINK("http://www.lingerieopt.ru/images/original/06f64702-a7cb-442d-81f9-8db62f173c4e.jpg","Фото")</f>
      </c>
    </row>
    <row r="10785">
      <c r="A10785" s="7">
        <f>HYPERLINK("http://www.lingerieopt.ru/item/7886-kruzhevnaya-maska-v-forme-letuchei-mjshi/","7886")</f>
      </c>
      <c r="B10785" s="8" t="s">
        <v>10269</v>
      </c>
      <c r="C10785" s="9">
        <v>558</v>
      </c>
      <c r="D10785" s="0">
        <v>6</v>
      </c>
      <c r="E10785" s="10">
        <f>HYPERLINK("http://www.lingerieopt.ru/images/original/78f01185-793b-4a07-8405-b95340b2e4fd.jpg","Фото")</f>
      </c>
    </row>
    <row r="10786">
      <c r="A10786" s="7">
        <f>HYPERLINK("http://www.lingerieopt.ru/item/7887-maska-v-vide-letuchei-mjshi-s-cepochkami/","7887")</f>
      </c>
      <c r="B10786" s="8" t="s">
        <v>10270</v>
      </c>
      <c r="C10786" s="9">
        <v>772</v>
      </c>
      <c r="D10786" s="0">
        <v>10</v>
      </c>
      <c r="E10786" s="10">
        <f>HYPERLINK("http://www.lingerieopt.ru/images/original/12e66840-d941-4fe4-8920-26d117cb10f6.jpg","Фото")</f>
      </c>
    </row>
    <row r="10787">
      <c r="A10787" s="7">
        <f>HYPERLINK("http://www.lingerieopt.ru/item/7888-kruzhevnaya-maska-s-listikami/","7888")</f>
      </c>
      <c r="B10787" s="8" t="s">
        <v>10271</v>
      </c>
      <c r="C10787" s="9">
        <v>558</v>
      </c>
      <c r="D10787" s="0">
        <v>0</v>
      </c>
      <c r="E10787" s="10">
        <f>HYPERLINK("http://www.lingerieopt.ru/images/original/4d6da9b4-facd-4f9b-964c-3be23f3fa62f.jpg","Фото")</f>
      </c>
    </row>
    <row r="10788">
      <c r="A10788" s="7">
        <f>HYPERLINK("http://www.lingerieopt.ru/item/7888-kruzhevnaya-maska-s-listikami/","7888")</f>
      </c>
      <c r="B10788" s="8" t="s">
        <v>10272</v>
      </c>
      <c r="C10788" s="9">
        <v>558</v>
      </c>
      <c r="D10788" s="0">
        <v>11</v>
      </c>
      <c r="E10788" s="10">
        <f>HYPERLINK("http://www.lingerieopt.ru/images/original/4d6da9b4-facd-4f9b-964c-3be23f3fa62f.jpg","Фото")</f>
      </c>
    </row>
    <row r="10789">
      <c r="A10789" s="7">
        <f>HYPERLINK("http://www.lingerieopt.ru/item/7889-roskoshnaya-kruzhevnaya-maska-s-aljmi-businami-cvetochkami/","7889")</f>
      </c>
      <c r="B10789" s="8" t="s">
        <v>10273</v>
      </c>
      <c r="C10789" s="9">
        <v>772</v>
      </c>
      <c r="D10789" s="0">
        <v>10</v>
      </c>
      <c r="E10789" s="10">
        <f>HYPERLINK("http://www.lingerieopt.ru/images/original/6573e25c-33b3-4936-b507-256b5abc79bb.jpg","Фото")</f>
      </c>
    </row>
    <row r="10790">
      <c r="A10790" s="7">
        <f>HYPERLINK("http://www.lingerieopt.ru/item/7890-kruzhevnaya-maska-na-glaza-v-venecianskom-stile/","7890")</f>
      </c>
      <c r="B10790" s="8" t="s">
        <v>10274</v>
      </c>
      <c r="C10790" s="9">
        <v>558</v>
      </c>
      <c r="D10790" s="0">
        <v>0</v>
      </c>
      <c r="E10790" s="10">
        <f>HYPERLINK("http://www.lingerieopt.ru/images/original/447143f6-90a5-4b48-bf38-d716b14babd5.jpg","Фото")</f>
      </c>
    </row>
    <row r="10791">
      <c r="A10791" s="7">
        <f>HYPERLINK("http://www.lingerieopt.ru/item/7890-kruzhevnaya-maska-na-glaza-v-venecianskom-stile/","7890")</f>
      </c>
      <c r="B10791" s="8" t="s">
        <v>10275</v>
      </c>
      <c r="C10791" s="9">
        <v>558</v>
      </c>
      <c r="D10791" s="0">
        <v>14</v>
      </c>
      <c r="E10791" s="10">
        <f>HYPERLINK("http://www.lingerieopt.ru/images/original/447143f6-90a5-4b48-bf38-d716b14babd5.jpg","Фото")</f>
      </c>
    </row>
    <row r="10792">
      <c r="A10792" s="7">
        <f>HYPERLINK("http://www.lingerieopt.ru/item/8263-maska-iz-strep-lent-na-verhnyuyu-chast-lica/","8263")</f>
      </c>
      <c r="B10792" s="8" t="s">
        <v>10276</v>
      </c>
      <c r="C10792" s="9">
        <v>584</v>
      </c>
      <c r="D10792" s="0">
        <v>7</v>
      </c>
      <c r="E10792" s="10">
        <f>HYPERLINK("http://www.lingerieopt.ru/images/original/5cd314d3-e7ef-42e2-ab52-7257004e6e60.jpg","Фото")</f>
      </c>
    </row>
    <row r="10793">
      <c r="A10793" s="7">
        <f>HYPERLINK("http://www.lingerieopt.ru/item/8263-maska-iz-strep-lent-na-verhnyuyu-chast-lica/","8263")</f>
      </c>
      <c r="B10793" s="8" t="s">
        <v>10277</v>
      </c>
      <c r="C10793" s="9">
        <v>584</v>
      </c>
      <c r="D10793" s="0">
        <v>9</v>
      </c>
      <c r="E10793" s="10">
        <f>HYPERLINK("http://www.lingerieopt.ru/images/original/5cd314d3-e7ef-42e2-ab52-7257004e6e60.jpg","Фото")</f>
      </c>
    </row>
    <row r="10794">
      <c r="A10794" s="7">
        <f>HYPERLINK("http://www.lingerieopt.ru/item/8263-maska-iz-strep-lent-na-verhnyuyu-chast-lica/","8263")</f>
      </c>
      <c r="B10794" s="8" t="s">
        <v>10278</v>
      </c>
      <c r="C10794" s="9">
        <v>584</v>
      </c>
      <c r="D10794" s="0">
        <v>12</v>
      </c>
      <c r="E10794" s="10">
        <f>HYPERLINK("http://www.lingerieopt.ru/images/original/5cd314d3-e7ef-42e2-ab52-7257004e6e60.jpg","Фото")</f>
      </c>
    </row>
    <row r="10795">
      <c r="A10795" s="7">
        <f>HYPERLINK("http://www.lingerieopt.ru/item/8282-nityanaya-maska-v-forme-diademj/","8282")</f>
      </c>
      <c r="B10795" s="8" t="s">
        <v>10279</v>
      </c>
      <c r="C10795" s="9">
        <v>213</v>
      </c>
      <c r="D10795" s="0">
        <v>38</v>
      </c>
      <c r="E10795" s="10">
        <f>HYPERLINK("http://www.lingerieopt.ru/images/original/841abc5f-3dad-45ef-8acc-28f57ce01b2c.jpg","Фото")</f>
      </c>
    </row>
    <row r="10796">
      <c r="A10796" s="7">
        <f>HYPERLINK("http://www.lingerieopt.ru/item/8284-nityanaya-maska-v-forme-lisichki/","8284")</f>
      </c>
      <c r="B10796" s="8" t="s">
        <v>10280</v>
      </c>
      <c r="C10796" s="9">
        <v>213</v>
      </c>
      <c r="D10796" s="0">
        <v>23</v>
      </c>
      <c r="E10796" s="10">
        <f>HYPERLINK("http://www.lingerieopt.ru/images/original/f0052b07-7d2e-4e26-b71b-8b0a74a9eeb9.jpg","Фото")</f>
      </c>
    </row>
    <row r="10797">
      <c r="A10797" s="7">
        <f>HYPERLINK("http://www.lingerieopt.ru/item/8285-originalnaya-asimmetrichnaya-maska-iz-nitei/","8285")</f>
      </c>
      <c r="B10797" s="8" t="s">
        <v>10281</v>
      </c>
      <c r="C10797" s="9">
        <v>204</v>
      </c>
      <c r="D10797" s="0">
        <v>26</v>
      </c>
      <c r="E10797" s="10">
        <f>HYPERLINK("http://www.lingerieopt.ru/images/original/2529481b-c87d-404b-bf69-bcd50f1efb2d.jpg","Фото")</f>
      </c>
    </row>
    <row r="10798">
      <c r="A10798" s="7">
        <f>HYPERLINK("http://www.lingerieopt.ru/item/8286-nityanaya-maskaradnaya-maska-na-glaza/","8286")</f>
      </c>
      <c r="B10798" s="8" t="s">
        <v>10282</v>
      </c>
      <c r="C10798" s="9">
        <v>213</v>
      </c>
      <c r="D10798" s="0">
        <v>21</v>
      </c>
      <c r="E10798" s="10">
        <f>HYPERLINK("http://www.lingerieopt.ru/images/original/17b0ed49-f9e5-4ac1-918f-42ef86abc61b.jpg","Фото")</f>
      </c>
    </row>
    <row r="10799">
      <c r="A10799" s="7">
        <f>HYPERLINK("http://www.lingerieopt.ru/item/8287-maska-s-korolevskoi-vyazyu/","8287")</f>
      </c>
      <c r="B10799" s="8" t="s">
        <v>10283</v>
      </c>
      <c r="C10799" s="9">
        <v>204</v>
      </c>
      <c r="D10799" s="0">
        <v>6</v>
      </c>
      <c r="E10799" s="10">
        <f>HYPERLINK("http://www.lingerieopt.ru/images/original/632cf200-b28e-4a36-8e1e-459f653ab5ef.jpg","Фото")</f>
      </c>
    </row>
    <row r="10800">
      <c r="A10800" s="7">
        <f>HYPERLINK("http://www.lingerieopt.ru/item/8297-chernaya-azhurnaya-maska-na-glaza/","8297")</f>
      </c>
      <c r="B10800" s="8" t="s">
        <v>10284</v>
      </c>
      <c r="C10800" s="9">
        <v>381</v>
      </c>
      <c r="D10800" s="0">
        <v>38</v>
      </c>
      <c r="E10800" s="10">
        <f>HYPERLINK("http://www.lingerieopt.ru/images/original/608841ea-a39e-46c8-8b8b-ac34c53abdf9.jpg","Фото")</f>
      </c>
    </row>
    <row r="10801">
      <c r="A10801" s="7">
        <f>HYPERLINK("http://www.lingerieopt.ru/item/8298-chernaya-maska-na-glaza-s-uzorami/","8298")</f>
      </c>
      <c r="B10801" s="8" t="s">
        <v>10285</v>
      </c>
      <c r="C10801" s="9">
        <v>339</v>
      </c>
      <c r="D10801" s="0">
        <v>26</v>
      </c>
      <c r="E10801" s="10">
        <f>HYPERLINK("http://www.lingerieopt.ru/images/original/fbedb4ab-d9c4-4338-a4e7-b95eb2aaf2c0.jpg","Фото")</f>
      </c>
    </row>
    <row r="10802">
      <c r="A10802" s="7">
        <f>HYPERLINK("http://www.lingerieopt.ru/item/8306-chernaya-maska-koshechki-s-ushkami-i-setkoi/","8306")</f>
      </c>
      <c r="B10802" s="8" t="s">
        <v>9919</v>
      </c>
      <c r="C10802" s="9">
        <v>584</v>
      </c>
      <c r="D10802" s="0">
        <v>0</v>
      </c>
      <c r="E10802" s="10">
        <f>HYPERLINK("http://www.lingerieopt.ru/images/original/cbeaae3d-6604-4593-a419-f42067037a2f.jpg","Фото")</f>
      </c>
    </row>
    <row r="10803">
      <c r="A10803" s="7">
        <f>HYPERLINK("http://www.lingerieopt.ru/item/8306-chernaya-maska-koshechki-s-ushkami-i-setkoi/","8306")</f>
      </c>
      <c r="B10803" s="8" t="s">
        <v>9918</v>
      </c>
      <c r="C10803" s="9">
        <v>584</v>
      </c>
      <c r="D10803" s="0">
        <v>4</v>
      </c>
      <c r="E10803" s="10">
        <f>HYPERLINK("http://www.lingerieopt.ru/images/original/cbeaae3d-6604-4593-a419-f42067037a2f.jpg","Фото")</f>
      </c>
    </row>
    <row r="10804">
      <c r="A10804" s="7">
        <f>HYPERLINK("http://www.lingerieopt.ru/item/8307-chernaya-maska-s-ushkami-i-bolshimi-prorezyami-dlya-glaz/","8307")</f>
      </c>
      <c r="B10804" s="8" t="s">
        <v>9920</v>
      </c>
      <c r="C10804" s="9">
        <v>597</v>
      </c>
      <c r="D10804" s="0">
        <v>11</v>
      </c>
      <c r="E10804" s="10">
        <f>HYPERLINK("http://www.lingerieopt.ru/images/original/2e245abd-3f9a-49b8-bedd-85433d93ee70.jpg","Фото")</f>
      </c>
    </row>
    <row r="10805">
      <c r="A10805" s="7">
        <f>HYPERLINK("http://www.lingerieopt.ru/item/8307-chernaya-maska-s-ushkami-i-bolshimi-prorezyami-dlya-glaz/","8307")</f>
      </c>
      <c r="B10805" s="8" t="s">
        <v>9921</v>
      </c>
      <c r="C10805" s="9">
        <v>597</v>
      </c>
      <c r="D10805" s="0">
        <v>0</v>
      </c>
      <c r="E10805" s="10">
        <f>HYPERLINK("http://www.lingerieopt.ru/images/original/2e245abd-3f9a-49b8-bedd-85433d93ee70.jpg","Фото")</f>
      </c>
    </row>
    <row r="10806">
      <c r="A10806" s="7">
        <f>HYPERLINK("http://www.lingerieopt.ru/item/8308-maska-s-ushkami-i-prorezyami-dlya-glaz-otdelannjmi-kruzhevom/","8308")</f>
      </c>
      <c r="B10806" s="8" t="s">
        <v>9922</v>
      </c>
      <c r="C10806" s="9">
        <v>597</v>
      </c>
      <c r="D10806" s="0">
        <v>8</v>
      </c>
      <c r="E10806" s="10">
        <f>HYPERLINK("http://www.lingerieopt.ru/images/original/11df3388-9022-4d21-b971-fe447e7b5b9b.jpg","Фото")</f>
      </c>
    </row>
    <row r="10807">
      <c r="A10807" s="7">
        <f>HYPERLINK("http://www.lingerieopt.ru/item/8308-maska-s-ushkami-i-prorezyami-dlya-glaz-otdelannjmi-kruzhevom/","8308")</f>
      </c>
      <c r="B10807" s="8" t="s">
        <v>9923</v>
      </c>
      <c r="C10807" s="9">
        <v>597</v>
      </c>
      <c r="D10807" s="0">
        <v>0</v>
      </c>
      <c r="E10807" s="10">
        <f>HYPERLINK("http://www.lingerieopt.ru/images/original/11df3388-9022-4d21-b971-fe447e7b5b9b.jpg","Фото")</f>
      </c>
    </row>
    <row r="10808">
      <c r="A10808" s="7">
        <f>HYPERLINK("http://www.lingerieopt.ru/item/8422-belaya-metallicheskaya-maska-na-zavyazkah/","8422")</f>
      </c>
      <c r="B10808" s="8" t="s">
        <v>10286</v>
      </c>
      <c r="C10808" s="9">
        <v>1462</v>
      </c>
      <c r="D10808" s="0">
        <v>1</v>
      </c>
      <c r="E10808" s="10">
        <f>HYPERLINK("http://www.lingerieopt.ru/images/original/58bb8434-48a4-4768-a494-3f3ac59e7504.jpg","Фото")</f>
      </c>
    </row>
    <row r="10809">
      <c r="A10809" s="7">
        <f>HYPERLINK("http://www.lingerieopt.ru/item/8479-chernaya-maska-carrie-s-krugljmi-ushkami/","8479")</f>
      </c>
      <c r="B10809" s="8" t="s">
        <v>10287</v>
      </c>
      <c r="C10809" s="9">
        <v>2851</v>
      </c>
      <c r="D10809" s="0">
        <v>24</v>
      </c>
      <c r="E10809" s="10">
        <f>HYPERLINK("http://www.lingerieopt.ru/images/original/f0036299-b08a-4692-bb4d-8f5e232958d0.jpg","Фото")</f>
      </c>
    </row>
    <row r="10810">
      <c r="A10810" s="7">
        <f>HYPERLINK("http://www.lingerieopt.ru/item/9008-chernaya-azhurnaya-asimmetrichnaya-maska/","9008")</f>
      </c>
      <c r="B10810" s="8" t="s">
        <v>10288</v>
      </c>
      <c r="C10810" s="9">
        <v>263</v>
      </c>
      <c r="D10810" s="0">
        <v>27</v>
      </c>
      <c r="E10810" s="10">
        <f>HYPERLINK("http://www.lingerieopt.ru/images/original/d723839a-816e-40d0-926b-a65b4fa8217e.jpg","Фото")</f>
      </c>
    </row>
    <row r="10811">
      <c r="A10811" s="7">
        <f>HYPERLINK("http://www.lingerieopt.ru/item/9009-chernaya-vjsokaya-kruzhevnaya-maska-s-krupnjm-cvetkom-v-verhnei-chasti/","9009")</f>
      </c>
      <c r="B10811" s="8" t="s">
        <v>10289</v>
      </c>
      <c r="C10811" s="9">
        <v>263</v>
      </c>
      <c r="D10811" s="0">
        <v>9</v>
      </c>
      <c r="E10811" s="10">
        <f>HYPERLINK("http://www.lingerieopt.ru/images/original/4ced209d-0a4d-46c2-b6b5-27035c77b879.jpg","Фото")</f>
      </c>
    </row>
    <row r="10812">
      <c r="A10812" s="7">
        <f>HYPERLINK("http://www.lingerieopt.ru/item/9269-maska-s-ushkami-queen-of-hearts-allure/","9269")</f>
      </c>
      <c r="B10812" s="8" t="s">
        <v>8405</v>
      </c>
      <c r="C10812" s="9">
        <v>1523</v>
      </c>
      <c r="D10812" s="0">
        <v>2</v>
      </c>
      <c r="E10812" s="10">
        <f>HYPERLINK("http://www.lingerieopt.ru/images/original/91357736-6b1c-442b-8aae-98ac872f048d.jpg","Фото")</f>
      </c>
    </row>
    <row r="10813">
      <c r="A10813" s="7">
        <f>HYPERLINK("http://www.lingerieopt.ru/item/9269-maska-s-ushkami-queen-of-hearts-allure/","9269")</f>
      </c>
      <c r="B10813" s="8" t="s">
        <v>8407</v>
      </c>
      <c r="C10813" s="9">
        <v>1523</v>
      </c>
      <c r="D10813" s="0">
        <v>0</v>
      </c>
      <c r="E10813" s="10">
        <f>HYPERLINK("http://www.lingerieopt.ru/images/original/91357736-6b1c-442b-8aae-98ac872f048d.jpg","Фото")</f>
      </c>
    </row>
    <row r="10814">
      <c r="A10814" s="7">
        <f>HYPERLINK("http://www.lingerieopt.ru/item/9269-maska-s-ushkami-queen-of-hearts-allure/","9269")</f>
      </c>
      <c r="B10814" s="8" t="s">
        <v>8406</v>
      </c>
      <c r="C10814" s="9">
        <v>1523</v>
      </c>
      <c r="D10814" s="0">
        <v>0</v>
      </c>
      <c r="E10814" s="10">
        <f>HYPERLINK("http://www.lingerieopt.ru/images/original/91357736-6b1c-442b-8aae-98ac872f048d.jpg","Фото")</f>
      </c>
    </row>
    <row r="10815">
      <c r="A10815" s="7">
        <f>HYPERLINK("http://www.lingerieopt.ru/item/10576-maska-na-glaza-s-ushkami/","10576")</f>
      </c>
      <c r="B10815" s="8" t="s">
        <v>3687</v>
      </c>
      <c r="C10815" s="9">
        <v>1346</v>
      </c>
      <c r="D10815" s="0">
        <v>12</v>
      </c>
      <c r="E10815" s="10">
        <f>HYPERLINK("http://www.lingerieopt.ru/images/original/8f986d65-60b9-4497-bbe0-edbdc1532f3f.jpg","Фото")</f>
      </c>
    </row>
    <row r="10816">
      <c r="A10816" s="7">
        <f>HYPERLINK("http://www.lingerieopt.ru/item/10576-maska-na-glaza-s-ushkami/","10576")</f>
      </c>
      <c r="B10816" s="8" t="s">
        <v>3688</v>
      </c>
      <c r="C10816" s="9">
        <v>1346</v>
      </c>
      <c r="D10816" s="0">
        <v>12</v>
      </c>
      <c r="E10816" s="10">
        <f>HYPERLINK("http://www.lingerieopt.ru/images/original/8f986d65-60b9-4497-bbe0-edbdc1532f3f.jpg","Фото")</f>
      </c>
    </row>
    <row r="10817">
      <c r="A10817" s="7">
        <f>HYPERLINK("http://www.lingerieopt.ru/item/10576-maska-na-glaza-s-ushkami/","10576")</f>
      </c>
      <c r="B10817" s="8" t="s">
        <v>3686</v>
      </c>
      <c r="C10817" s="9">
        <v>1346</v>
      </c>
      <c r="D10817" s="0">
        <v>7</v>
      </c>
      <c r="E10817" s="10">
        <f>HYPERLINK("http://www.lingerieopt.ru/images/original/8f986d65-60b9-4497-bbe0-edbdc1532f3f.jpg","Фото")</f>
      </c>
    </row>
    <row r="10818">
      <c r="A10818" s="7">
        <f>HYPERLINK("http://www.lingerieopt.ru/item/10577-maska-na-glaza-iz-materiala-pod-vinil-s-ushkami/","10577")</f>
      </c>
      <c r="B10818" s="8" t="s">
        <v>3690</v>
      </c>
      <c r="C10818" s="9">
        <v>1193</v>
      </c>
      <c r="D10818" s="0">
        <v>10</v>
      </c>
      <c r="E10818" s="10">
        <f>HYPERLINK("http://www.lingerieopt.ru/images/original/79e62c06-ea89-4c42-b08d-aff9deff2106.jpg","Фото")</f>
      </c>
    </row>
    <row r="10819">
      <c r="A10819" s="7">
        <f>HYPERLINK("http://www.lingerieopt.ru/item/10577-maska-na-glaza-iz-materiala-pod-vinil-s-ushkami/","10577")</f>
      </c>
      <c r="B10819" s="8" t="s">
        <v>3691</v>
      </c>
      <c r="C10819" s="9">
        <v>1193</v>
      </c>
      <c r="D10819" s="0">
        <v>20</v>
      </c>
      <c r="E10819" s="10">
        <f>HYPERLINK("http://www.lingerieopt.ru/images/original/79e62c06-ea89-4c42-b08d-aff9deff2106.jpg","Фото")</f>
      </c>
    </row>
    <row r="10820">
      <c r="A10820" s="7">
        <f>HYPERLINK("http://www.lingerieopt.ru/item/10577-maska-na-glaza-iz-materiala-pod-vinil-s-ushkami/","10577")</f>
      </c>
      <c r="B10820" s="8" t="s">
        <v>3689</v>
      </c>
      <c r="C10820" s="9">
        <v>1193</v>
      </c>
      <c r="D10820" s="0">
        <v>0</v>
      </c>
      <c r="E10820" s="10">
        <f>HYPERLINK("http://www.lingerieopt.ru/images/original/79e62c06-ea89-4c42-b08d-aff9deff2106.jpg","Фото")</f>
      </c>
    </row>
    <row r="10821">
      <c r="A10821" s="7">
        <f>HYPERLINK("http://www.lingerieopt.ru/item/10952-kruzhevnaya-maska-s-ushkami/","10952")</f>
      </c>
      <c r="B10821" s="8" t="s">
        <v>10290</v>
      </c>
      <c r="C10821" s="9">
        <v>597</v>
      </c>
      <c r="D10821" s="0">
        <v>23</v>
      </c>
      <c r="E10821" s="10">
        <f>HYPERLINK("http://www.lingerieopt.ru/images/original/5937d7a1-d7b9-4a54-b45b-69aec56a5f14.jpg","Фото")</f>
      </c>
    </row>
    <row r="10822">
      <c r="A10822" s="7">
        <f>HYPERLINK("http://www.lingerieopt.ru/item/10956-maska-setka-na-glaza-erika/","10956")</f>
      </c>
      <c r="B10822" s="8" t="s">
        <v>8561</v>
      </c>
      <c r="C10822" s="9">
        <v>605</v>
      </c>
      <c r="D10822" s="0">
        <v>24</v>
      </c>
      <c r="E10822" s="10">
        <f>HYPERLINK("http://www.lingerieopt.ru/images/original/cb5ff812-f4b2-40db-9d80-760628b1658e.jpg","Фото")</f>
      </c>
    </row>
    <row r="10823">
      <c r="A10823" s="7">
        <f>HYPERLINK("http://www.lingerieopt.ru/item/10957-maska-na-glaza-sybille-v-vide-babochek/","10957")</f>
      </c>
      <c r="B10823" s="8" t="s">
        <v>10291</v>
      </c>
      <c r="C10823" s="9">
        <v>605</v>
      </c>
      <c r="D10823" s="0">
        <v>12</v>
      </c>
      <c r="E10823" s="10">
        <f>HYPERLINK("http://www.lingerieopt.ru/images/original/6221aa6a-7035-4992-b775-0cda974f050b.jpg","Фото")</f>
      </c>
    </row>
    <row r="10824">
      <c r="A10824" s="7">
        <f>HYPERLINK("http://www.lingerieopt.ru/item/10958-azhurnaya-vinilovaya-maska-na-glaza-dalila/","10958")</f>
      </c>
      <c r="B10824" s="8" t="s">
        <v>10292</v>
      </c>
      <c r="C10824" s="9">
        <v>605</v>
      </c>
      <c r="D10824" s="0">
        <v>14</v>
      </c>
      <c r="E10824" s="10">
        <f>HYPERLINK("http://www.lingerieopt.ru/images/original/0fbd6cd0-eeb9-4e0b-9722-8ebaeec08ac3.jpg","Фото")</f>
      </c>
    </row>
    <row r="10825">
      <c r="A10825" s="7">
        <f>HYPERLINK("http://www.lingerieopt.ru/item/11470-chernaya-maskaradnaya-maska-blaze-masquerade-mask/","11470")</f>
      </c>
      <c r="B10825" s="8" t="s">
        <v>10293</v>
      </c>
      <c r="C10825" s="9">
        <v>592</v>
      </c>
      <c r="D10825" s="0">
        <v>15</v>
      </c>
      <c r="E10825" s="10">
        <f>HYPERLINK("http://www.lingerieopt.ru/images/original/ef5d3b38-5b9d-4bbf-bdd2-63eda1f98d1d.jpg","Фото")</f>
      </c>
    </row>
    <row r="10826">
      <c r="A10826" s="5"/>
      <c r="B10826" s="6" t="s">
        <v>10294</v>
      </c>
      <c r="C10826" s="5"/>
      <c r="D10826" s="5"/>
      <c r="E10826" s="5"/>
    </row>
    <row r="10827">
      <c r="A10827" s="7">
        <f>HYPERLINK("http://www.lingerieopt.ru/item/142-komplekt-oficiantki-paola/","142")</f>
      </c>
      <c r="B10827" s="8" t="s">
        <v>9797</v>
      </c>
      <c r="C10827" s="9">
        <v>1839</v>
      </c>
      <c r="D10827" s="0">
        <v>5</v>
      </c>
      <c r="E10827" s="10">
        <f>HYPERLINK("http://www.lingerieopt.ru/images/original/2f138af8-6d40-46cf-9994-69dc0142fc6b.jpg","Фото")</f>
      </c>
    </row>
    <row r="10828">
      <c r="A10828" s="7">
        <f>HYPERLINK("http://www.lingerieopt.ru/item/142-komplekt-oficiantki-paola/","142")</f>
      </c>
      <c r="B10828" s="8" t="s">
        <v>9798</v>
      </c>
      <c r="C10828" s="9">
        <v>1839</v>
      </c>
      <c r="D10828" s="0">
        <v>2</v>
      </c>
      <c r="E10828" s="10">
        <f>HYPERLINK("http://www.lingerieopt.ru/images/original/2f138af8-6d40-46cf-9994-69dc0142fc6b.jpg","Фото")</f>
      </c>
    </row>
    <row r="10829">
      <c r="A10829" s="7">
        <f>HYPERLINK("http://www.lingerieopt.ru/item/142-komplekt-oficiantki-paola/","142")</f>
      </c>
      <c r="B10829" s="8" t="s">
        <v>9799</v>
      </c>
      <c r="C10829" s="9">
        <v>1839</v>
      </c>
      <c r="D10829" s="0">
        <v>17</v>
      </c>
      <c r="E10829" s="10">
        <f>HYPERLINK("http://www.lingerieopt.ru/images/original/2f138af8-6d40-46cf-9994-69dc0142fc6b.jpg","Фото")</f>
      </c>
    </row>
    <row r="10830">
      <c r="A10830" s="7">
        <f>HYPERLINK("http://www.lingerieopt.ru/item/1093-trusiki-v-forme-klubniki/","1093")</f>
      </c>
      <c r="B10830" s="8" t="s">
        <v>6033</v>
      </c>
      <c r="C10830" s="9">
        <v>417</v>
      </c>
      <c r="D10830" s="0">
        <v>16</v>
      </c>
      <c r="E10830" s="10">
        <f>HYPERLINK("http://www.lingerieopt.ru/images/original/4c5a527f-86a5-4756-b8ea-c6815a0e33dc.jpg","Фото")</f>
      </c>
    </row>
    <row r="10831">
      <c r="A10831" s="7">
        <f>HYPERLINK("http://www.lingerieopt.ru/item/2297-kostyum-ice-lady/","2297")</f>
      </c>
      <c r="B10831" s="8" t="s">
        <v>10295</v>
      </c>
      <c r="C10831" s="9">
        <v>1253</v>
      </c>
      <c r="D10831" s="0">
        <v>0</v>
      </c>
      <c r="E10831" s="10">
        <f>HYPERLINK("http://www.lingerieopt.ru/images/original/6c5f8ee5-79c4-4bab-848b-7fbd46c4f607.jpg","Фото")</f>
      </c>
    </row>
    <row r="10832">
      <c r="A10832" s="7">
        <f>HYPERLINK("http://www.lingerieopt.ru/item/2297-kostyum-ice-lady/","2297")</f>
      </c>
      <c r="B10832" s="8" t="s">
        <v>10296</v>
      </c>
      <c r="C10832" s="9">
        <v>1253</v>
      </c>
      <c r="D10832" s="0">
        <v>2</v>
      </c>
      <c r="E10832" s="10">
        <f>HYPERLINK("http://www.lingerieopt.ru/images/original/6c5f8ee5-79c4-4bab-848b-7fbd46c4f607.jpg","Фото")</f>
      </c>
    </row>
    <row r="10833">
      <c r="A10833" s="7">
        <f>HYPERLINK("http://www.lingerieopt.ru/item/2301-kostyum-kukla-vikki/","2301")</f>
      </c>
      <c r="B10833" s="8" t="s">
        <v>10297</v>
      </c>
      <c r="C10833" s="9">
        <v>1396</v>
      </c>
      <c r="D10833" s="0">
        <v>5</v>
      </c>
      <c r="E10833" s="10">
        <f>HYPERLINK("http://www.lingerieopt.ru/images/original/f205264d-24f5-4802-bad6-c334fffb4334.jpg","Фото")</f>
      </c>
    </row>
    <row r="10834">
      <c r="A10834" s="7">
        <f>HYPERLINK("http://www.lingerieopt.ru/item/2301-kostyum-kukla-vikki/","2301")</f>
      </c>
      <c r="B10834" s="8" t="s">
        <v>10298</v>
      </c>
      <c r="C10834" s="9">
        <v>1396</v>
      </c>
      <c r="D10834" s="0">
        <v>2</v>
      </c>
      <c r="E10834" s="10">
        <f>HYPERLINK("http://www.lingerieopt.ru/images/original/f205264d-24f5-4802-bad6-c334fffb4334.jpg","Фото")</f>
      </c>
    </row>
    <row r="10835">
      <c r="A10835" s="7">
        <f>HYPERLINK("http://www.lingerieopt.ru/item/3510-kletchatji-galstuk-hustler/","3510")</f>
      </c>
      <c r="B10835" s="8" t="s">
        <v>8438</v>
      </c>
      <c r="C10835" s="9">
        <v>754</v>
      </c>
      <c r="D10835" s="0">
        <v>0</v>
      </c>
      <c r="E10835" s="10">
        <f>HYPERLINK("http://www.lingerieopt.ru/images/original/5f21e6f4-5c08-443f-897e-c3358073661e.jpg","Фото")</f>
      </c>
    </row>
    <row r="10836">
      <c r="A10836" s="7">
        <f>HYPERLINK("http://www.lingerieopt.ru/item/3510-kletchatji-galstuk-hustler/","3510")</f>
      </c>
      <c r="B10836" s="8" t="s">
        <v>8440</v>
      </c>
      <c r="C10836" s="9">
        <v>754</v>
      </c>
      <c r="D10836" s="0">
        <v>6</v>
      </c>
      <c r="E10836" s="10">
        <f>HYPERLINK("http://www.lingerieopt.ru/images/original/5f21e6f4-5c08-443f-897e-c3358073661e.jpg","Фото")</f>
      </c>
    </row>
    <row r="10837">
      <c r="A10837" s="7">
        <f>HYPERLINK("http://www.lingerieopt.ru/item/3510-kletchatji-galstuk-hustler/","3510")</f>
      </c>
      <c r="B10837" s="8" t="s">
        <v>8441</v>
      </c>
      <c r="C10837" s="9">
        <v>754</v>
      </c>
      <c r="D10837" s="0">
        <v>1</v>
      </c>
      <c r="E10837" s="10">
        <f>HYPERLINK("http://www.lingerieopt.ru/images/original/5f21e6f4-5c08-443f-897e-c3358073661e.jpg","Фото")</f>
      </c>
    </row>
    <row r="10838">
      <c r="A10838" s="7">
        <f>HYPERLINK("http://www.lingerieopt.ru/item/3510-kletchatji-galstuk-hustler/","3510")</f>
      </c>
      <c r="B10838" s="8" t="s">
        <v>8439</v>
      </c>
      <c r="C10838" s="9">
        <v>754</v>
      </c>
      <c r="D10838" s="0">
        <v>0</v>
      </c>
      <c r="E10838" s="10">
        <f>HYPERLINK("http://www.lingerieopt.ru/images/original/5f21e6f4-5c08-443f-897e-c3358073661e.jpg","Фото")</f>
      </c>
    </row>
    <row r="10839">
      <c r="A10839" s="7">
        <f>HYPERLINK("http://www.lingerieopt.ru/item/3642-kostyum-tennisistki/","3642")</f>
      </c>
      <c r="B10839" s="8" t="s">
        <v>10299</v>
      </c>
      <c r="C10839" s="9">
        <v>720</v>
      </c>
      <c r="D10839" s="0">
        <v>30</v>
      </c>
      <c r="E10839" s="10">
        <f>HYPERLINK("http://www.lingerieopt.ru/images/original/26d907f0-4f88-4461-9bbd-b9df7576b6cd.jpg","Фото")</f>
      </c>
    </row>
    <row r="10840">
      <c r="A10840" s="7">
        <f>HYPERLINK("http://www.lingerieopt.ru/item/3642-kostyum-tennisistki/","3642")</f>
      </c>
      <c r="B10840" s="8" t="s">
        <v>10300</v>
      </c>
      <c r="C10840" s="9">
        <v>720</v>
      </c>
      <c r="D10840" s="0">
        <v>6</v>
      </c>
      <c r="E10840" s="10">
        <f>HYPERLINK("http://www.lingerieopt.ru/images/original/26d907f0-4f88-4461-9bbd-b9df7576b6cd.jpg","Фото")</f>
      </c>
    </row>
    <row r="10841">
      <c r="A10841" s="7">
        <f>HYPERLINK("http://www.lingerieopt.ru/item/3643-zhenskaya-uniforma-mehanika/","3643")</f>
      </c>
      <c r="B10841" s="8" t="s">
        <v>10301</v>
      </c>
      <c r="C10841" s="9">
        <v>720</v>
      </c>
      <c r="D10841" s="0">
        <v>3</v>
      </c>
      <c r="E10841" s="10">
        <f>HYPERLINK("http://www.lingerieopt.ru/images/original/7429ae1c-7dbf-4e4f-acee-1d7808d6a671.jpg","Фото")</f>
      </c>
    </row>
    <row r="10842">
      <c r="A10842" s="7">
        <f>HYPERLINK("http://www.lingerieopt.ru/item/3643-zhenskaya-uniforma-mehanika/","3643")</f>
      </c>
      <c r="B10842" s="8" t="s">
        <v>10302</v>
      </c>
      <c r="C10842" s="9">
        <v>720</v>
      </c>
      <c r="D10842" s="0">
        <v>30</v>
      </c>
      <c r="E10842" s="10">
        <f>HYPERLINK("http://www.lingerieopt.ru/images/original/7429ae1c-7dbf-4e4f-acee-1d7808d6a671.jpg","Фото")</f>
      </c>
    </row>
    <row r="10843">
      <c r="A10843" s="7">
        <f>HYPERLINK("http://www.lingerieopt.ru/item/3715-kostyum-supervumen/","3715")</f>
      </c>
      <c r="B10843" s="8" t="s">
        <v>10303</v>
      </c>
      <c r="C10843" s="9">
        <v>1046</v>
      </c>
      <c r="D10843" s="0">
        <v>15</v>
      </c>
      <c r="E10843" s="10">
        <f>HYPERLINK("http://www.lingerieopt.ru/images/original/b9bbd6eb-077e-442a-9398-bc2c944e5e91.jpg","Фото")</f>
      </c>
    </row>
    <row r="10844">
      <c r="A10844" s="7">
        <f>HYPERLINK("http://www.lingerieopt.ru/item/3735-perchatki-medsestrj/","3735")</f>
      </c>
      <c r="B10844" s="8" t="s">
        <v>3746</v>
      </c>
      <c r="C10844" s="9">
        <v>179</v>
      </c>
      <c r="D10844" s="0">
        <v>21</v>
      </c>
      <c r="E10844" s="10">
        <f>HYPERLINK("http://www.lingerieopt.ru/images/original/4e84ae52-3c98-484a-95b8-8583f4901502.jpg","Фото")</f>
      </c>
    </row>
    <row r="10845">
      <c r="A10845" s="7">
        <f>HYPERLINK("http://www.lingerieopt.ru/item/3988-mehovoi-kostyum-bobra/","3988")</f>
      </c>
      <c r="B10845" s="8" t="s">
        <v>10304</v>
      </c>
      <c r="C10845" s="9">
        <v>2185</v>
      </c>
      <c r="D10845" s="0">
        <v>6</v>
      </c>
      <c r="E10845" s="10">
        <f>HYPERLINK("http://www.lingerieopt.ru/images/original/20d30e14-b308-4c31-b43d-31d5bbdacb53.jpg","Фото")</f>
      </c>
    </row>
    <row r="10846">
      <c r="A10846" s="7">
        <f>HYPERLINK("http://www.lingerieopt.ru/item/3988-mehovoi-kostyum-bobra/","3988")</f>
      </c>
      <c r="B10846" s="8" t="s">
        <v>10305</v>
      </c>
      <c r="C10846" s="9">
        <v>2185</v>
      </c>
      <c r="D10846" s="0">
        <v>6</v>
      </c>
      <c r="E10846" s="10">
        <f>HYPERLINK("http://www.lingerieopt.ru/images/original/20d30e14-b308-4c31-b43d-31d5bbdacb53.jpg","Фото")</f>
      </c>
    </row>
    <row r="10847">
      <c r="A10847" s="7">
        <f>HYPERLINK("http://www.lingerieopt.ru/item/3995-rozovji-kostyum-futbolistki-tight-end/","3995")</f>
      </c>
      <c r="B10847" s="8" t="s">
        <v>10306</v>
      </c>
      <c r="C10847" s="9">
        <v>2783</v>
      </c>
      <c r="D10847" s="0">
        <v>6</v>
      </c>
      <c r="E10847" s="10">
        <f>HYPERLINK("http://www.lingerieopt.ru/images/original/fc8c3faf-816d-4b4f-abd1-f0596891a7d5.jpg","Фото")</f>
      </c>
    </row>
    <row r="10848">
      <c r="A10848" s="7">
        <f>HYPERLINK("http://www.lingerieopt.ru/item/3995-rozovji-kostyum-futbolistki-tight-end/","3995")</f>
      </c>
      <c r="B10848" s="8" t="s">
        <v>10307</v>
      </c>
      <c r="C10848" s="9">
        <v>2783</v>
      </c>
      <c r="D10848" s="0">
        <v>6</v>
      </c>
      <c r="E10848" s="10">
        <f>HYPERLINK("http://www.lingerieopt.ru/images/original/fc8c3faf-816d-4b4f-abd1-f0596891a7d5.jpg","Фото")</f>
      </c>
    </row>
    <row r="10849">
      <c r="A10849" s="7">
        <f>HYPERLINK("http://www.lingerieopt.ru/item/3998-sinii-kostyum-futbolistki-tight-end/","3998")</f>
      </c>
      <c r="B10849" s="8" t="s">
        <v>10308</v>
      </c>
      <c r="C10849" s="9">
        <v>2783</v>
      </c>
      <c r="D10849" s="0">
        <v>6</v>
      </c>
      <c r="E10849" s="10">
        <f>HYPERLINK("http://www.lingerieopt.ru/images/original/b1bb6468-bc51-4477-999f-96e10a864c6e.jpg","Фото")</f>
      </c>
    </row>
    <row r="10850">
      <c r="A10850" s="7">
        <f>HYPERLINK("http://www.lingerieopt.ru/item/3998-sinii-kostyum-futbolistki-tight-end/","3998")</f>
      </c>
      <c r="B10850" s="8" t="s">
        <v>10309</v>
      </c>
      <c r="C10850" s="9">
        <v>2783</v>
      </c>
      <c r="D10850" s="0">
        <v>0</v>
      </c>
      <c r="E10850" s="10">
        <f>HYPERLINK("http://www.lingerieopt.ru/images/original/b1bb6468-bc51-4477-999f-96e10a864c6e.jpg","Фото")</f>
      </c>
    </row>
    <row r="10851">
      <c r="A10851" s="7">
        <f>HYPERLINK("http://www.lingerieopt.ru/item/5312-kostyum-nevestj-elle-iz-nezhneishei-setochki/","5312")</f>
      </c>
      <c r="B10851" s="8" t="s">
        <v>10310</v>
      </c>
      <c r="C10851" s="9">
        <v>1613</v>
      </c>
      <c r="D10851" s="0">
        <v>2</v>
      </c>
      <c r="E10851" s="10">
        <f>HYPERLINK("http://www.lingerieopt.ru/images/original/d0438258-0dec-4e68-ae99-3a0911eada7e.jpg","Фото")</f>
      </c>
    </row>
    <row r="10852">
      <c r="A10852" s="7">
        <f>HYPERLINK("http://www.lingerieopt.ru/item/5312-kostyum-nevestj-elle-iz-nezhneishei-setochki/","5312")</f>
      </c>
      <c r="B10852" s="8" t="s">
        <v>10310</v>
      </c>
      <c r="C10852" s="9">
        <v>1613</v>
      </c>
      <c r="D10852" s="0">
        <v>0</v>
      </c>
      <c r="E10852" s="10">
        <f>HYPERLINK("http://www.lingerieopt.ru/images/original/d0438258-0dec-4e68-ae99-3a0911eada7e.jpg","Фото")</f>
      </c>
    </row>
    <row r="10853">
      <c r="A10853" s="7">
        <f>HYPERLINK("http://www.lingerieopt.ru/item/5312-kostyum-nevestj-elle-iz-nezhneishei-setochki/","5312")</f>
      </c>
      <c r="B10853" s="8" t="s">
        <v>10311</v>
      </c>
      <c r="C10853" s="9">
        <v>1613</v>
      </c>
      <c r="D10853" s="0">
        <v>5</v>
      </c>
      <c r="E10853" s="10">
        <f>HYPERLINK("http://www.lingerieopt.ru/images/original/d0438258-0dec-4e68-ae99-3a0911eada7e.jpg","Фото")</f>
      </c>
    </row>
    <row r="10854">
      <c r="A10854" s="7">
        <f>HYPERLINK("http://www.lingerieopt.ru/item/5712-originalnji-korset-s-beljmi-kak-na-podarke-lentami/","5712")</f>
      </c>
      <c r="B10854" s="8" t="s">
        <v>3203</v>
      </c>
      <c r="C10854" s="9">
        <v>1876</v>
      </c>
      <c r="D10854" s="0">
        <v>2</v>
      </c>
      <c r="E10854" s="10">
        <f>HYPERLINK("http://www.lingerieopt.ru/images/original/c7c08509-cfd9-48ae-8327-dcd6f8c03626.jpg","Фото")</f>
      </c>
    </row>
    <row r="10855">
      <c r="A10855" s="7">
        <f>HYPERLINK("http://www.lingerieopt.ru/item/5712-originalnji-korset-s-beljmi-kak-na-podarke-lentami/","5712")</f>
      </c>
      <c r="B10855" s="8" t="s">
        <v>3205</v>
      </c>
      <c r="C10855" s="9">
        <v>1876</v>
      </c>
      <c r="D10855" s="0">
        <v>0</v>
      </c>
      <c r="E10855" s="10">
        <f>HYPERLINK("http://www.lingerieopt.ru/images/original/c7c08509-cfd9-48ae-8327-dcd6f8c03626.jpg","Фото")</f>
      </c>
    </row>
    <row r="10856">
      <c r="A10856" s="7">
        <f>HYPERLINK("http://www.lingerieopt.ru/item/5712-originalnji-korset-s-beljmi-kak-na-podarke-lentami/","5712")</f>
      </c>
      <c r="B10856" s="8" t="s">
        <v>3204</v>
      </c>
      <c r="C10856" s="9">
        <v>1876</v>
      </c>
      <c r="D10856" s="0">
        <v>3</v>
      </c>
      <c r="E10856" s="10">
        <f>HYPERLINK("http://www.lingerieopt.ru/images/original/c7c08509-cfd9-48ae-8327-dcd6f8c03626.jpg","Фото")</f>
      </c>
    </row>
    <row r="10857">
      <c r="A10857" s="7">
        <f>HYPERLINK("http://www.lingerieopt.ru/item/5761-kostyum-hippi-far-out-hippie/","5761")</f>
      </c>
      <c r="B10857" s="8" t="s">
        <v>10312</v>
      </c>
      <c r="C10857" s="9">
        <v>666</v>
      </c>
      <c r="D10857" s="0">
        <v>2</v>
      </c>
      <c r="E10857" s="10">
        <f>HYPERLINK("http://www.lingerieopt.ru/images/original/7ea93d50-89ed-462f-b06b-44b9cc93607f.jpg","Фото")</f>
      </c>
    </row>
    <row r="10858">
      <c r="A10858" s="7">
        <f>HYPERLINK("http://www.lingerieopt.ru/item/5761-kostyum-hippi-far-out-hippie/","5761")</f>
      </c>
      <c r="B10858" s="8" t="s">
        <v>10313</v>
      </c>
      <c r="C10858" s="9">
        <v>666</v>
      </c>
      <c r="D10858" s="0">
        <v>0</v>
      </c>
      <c r="E10858" s="10">
        <f>HYPERLINK("http://www.lingerieopt.ru/images/original/7ea93d50-89ed-462f-b06b-44b9cc93607f.jpg","Фото")</f>
      </c>
    </row>
    <row r="10859">
      <c r="A10859" s="7">
        <f>HYPERLINK("http://www.lingerieopt.ru/item/5761-kostyum-hippi-far-out-hippie/","5761")</f>
      </c>
      <c r="B10859" s="8" t="s">
        <v>10314</v>
      </c>
      <c r="C10859" s="9">
        <v>666</v>
      </c>
      <c r="D10859" s="0">
        <v>0</v>
      </c>
      <c r="E10859" s="10">
        <f>HYPERLINK("http://www.lingerieopt.ru/images/original/7ea93d50-89ed-462f-b06b-44b9cc93607f.jpg","Фото")</f>
      </c>
    </row>
    <row r="10860">
      <c r="A10860" s="7">
        <f>HYPERLINK("http://www.lingerieopt.ru/item/5987-bolshie-krjlya-iz-naturalnjh-perev-dark-delight/","5987")</f>
      </c>
      <c r="B10860" s="8" t="s">
        <v>10219</v>
      </c>
      <c r="C10860" s="9">
        <v>2328</v>
      </c>
      <c r="D10860" s="0">
        <v>0</v>
      </c>
      <c r="E10860" s="10">
        <f>HYPERLINK("http://www.lingerieopt.ru/images/original/78997042-e636-4197-9761-4dccba2c9a43.jpg","Фото")</f>
      </c>
    </row>
    <row r="10861">
      <c r="A10861" s="7">
        <f>HYPERLINK("http://www.lingerieopt.ru/item/5987-bolshie-krjlya-iz-naturalnjh-perev-dark-delight/","5987")</f>
      </c>
      <c r="B10861" s="8" t="s">
        <v>10222</v>
      </c>
      <c r="C10861" s="9">
        <v>2328</v>
      </c>
      <c r="D10861" s="0">
        <v>30</v>
      </c>
      <c r="E10861" s="10">
        <f>HYPERLINK("http://www.lingerieopt.ru/images/original/78997042-e636-4197-9761-4dccba2c9a43.jpg","Фото")</f>
      </c>
    </row>
    <row r="10862">
      <c r="A10862" s="7">
        <f>HYPERLINK("http://www.lingerieopt.ru/item/5987-bolshie-krjlya-iz-naturalnjh-perev-dark-delight/","5987")</f>
      </c>
      <c r="B10862" s="8" t="s">
        <v>10221</v>
      </c>
      <c r="C10862" s="9">
        <v>2328</v>
      </c>
      <c r="D10862" s="0">
        <v>30</v>
      </c>
      <c r="E10862" s="10">
        <f>HYPERLINK("http://www.lingerieopt.ru/images/original/78997042-e636-4197-9761-4dccba2c9a43.jpg","Фото")</f>
      </c>
    </row>
    <row r="10863">
      <c r="A10863" s="7">
        <f>HYPERLINK("http://www.lingerieopt.ru/item/5987-bolshie-krjlya-iz-naturalnjh-perev-dark-delight/","5987")</f>
      </c>
      <c r="B10863" s="8" t="s">
        <v>10220</v>
      </c>
      <c r="C10863" s="9">
        <v>2328</v>
      </c>
      <c r="D10863" s="0">
        <v>0</v>
      </c>
      <c r="E10863" s="10">
        <f>HYPERLINK("http://www.lingerieopt.ru/images/original/78997042-e636-4197-9761-4dccba2c9a43.jpg","Фото")</f>
      </c>
    </row>
    <row r="10864">
      <c r="A10864" s="7">
        <f>HYPERLINK("http://www.lingerieopt.ru/item/5988-malenkie-krjlya-iz-naturalnjh-perev/","5988")</f>
      </c>
      <c r="B10864" s="8" t="s">
        <v>10225</v>
      </c>
      <c r="C10864" s="9">
        <v>537</v>
      </c>
      <c r="D10864" s="0">
        <v>0</v>
      </c>
      <c r="E10864" s="10">
        <f>HYPERLINK("http://www.lingerieopt.ru/images/original/6f0cc4f3-2ef2-461c-82eb-e7466d15c5e2.jpg","Фото")</f>
      </c>
    </row>
    <row r="10865">
      <c r="A10865" s="7">
        <f>HYPERLINK("http://www.lingerieopt.ru/item/5988-malenkie-krjlya-iz-naturalnjh-perev/","5988")</f>
      </c>
      <c r="B10865" s="8" t="s">
        <v>10223</v>
      </c>
      <c r="C10865" s="9">
        <v>537</v>
      </c>
      <c r="D10865" s="0">
        <v>30</v>
      </c>
      <c r="E10865" s="10">
        <f>HYPERLINK("http://www.lingerieopt.ru/images/original/6f0cc4f3-2ef2-461c-82eb-e7466d15c5e2.jpg","Фото")</f>
      </c>
    </row>
    <row r="10866">
      <c r="A10866" s="7">
        <f>HYPERLINK("http://www.lingerieopt.ru/item/5988-malenkie-krjlya-iz-naturalnjh-perev/","5988")</f>
      </c>
      <c r="B10866" s="8" t="s">
        <v>10224</v>
      </c>
      <c r="C10866" s="9">
        <v>537</v>
      </c>
      <c r="D10866" s="0">
        <v>0</v>
      </c>
      <c r="E10866" s="10">
        <f>HYPERLINK("http://www.lingerieopt.ru/images/original/6f0cc4f3-2ef2-461c-82eb-e7466d15c5e2.jpg","Фото")</f>
      </c>
    </row>
    <row r="10867">
      <c r="A10867" s="7">
        <f>HYPERLINK("http://www.lingerieopt.ru/item/5988-malenkie-krjlya-iz-naturalnjh-perev/","5988")</f>
      </c>
      <c r="B10867" s="8" t="s">
        <v>10226</v>
      </c>
      <c r="C10867" s="9">
        <v>537</v>
      </c>
      <c r="D10867" s="0">
        <v>0</v>
      </c>
      <c r="E10867" s="10">
        <f>HYPERLINK("http://www.lingerieopt.ru/images/original/6f0cc4f3-2ef2-461c-82eb-e7466d15c5e2.jpg","Фото")</f>
      </c>
    </row>
    <row r="10868">
      <c r="A10868" s="7">
        <f>HYPERLINK("http://www.lingerieopt.ru/item/6034-karnavalnje-ochki/","6034")</f>
      </c>
      <c r="B10868" s="8" t="s">
        <v>10315</v>
      </c>
      <c r="C10868" s="9">
        <v>91</v>
      </c>
      <c r="D10868" s="0">
        <v>7</v>
      </c>
      <c r="E10868" s="10">
        <f>HYPERLINK("http://www.lingerieopt.ru/images/original/e8eff8cd-61d0-4c05-9998-ee21759031b3.jpg","Фото")</f>
      </c>
    </row>
    <row r="10869">
      <c r="A10869" s="7">
        <f>HYPERLINK("http://www.lingerieopt.ru/item/6042-zakolka-dlya-volos-s-krasnjm-yakorem/","6042")</f>
      </c>
      <c r="B10869" s="8" t="s">
        <v>8355</v>
      </c>
      <c r="C10869" s="9">
        <v>800</v>
      </c>
      <c r="D10869" s="0">
        <v>7</v>
      </c>
      <c r="E10869" s="10">
        <f>HYPERLINK("http://www.lingerieopt.ru/images/original/84dd7e27-eb8a-422d-baa6-e58bc63599b9.jpg","Фото")</f>
      </c>
    </row>
    <row r="10870">
      <c r="A10870" s="7">
        <f>HYPERLINK("http://www.lingerieopt.ru/item/6043-zakolka-dlya-volos/","6043")</f>
      </c>
      <c r="B10870" s="8" t="s">
        <v>8356</v>
      </c>
      <c r="C10870" s="9">
        <v>1300</v>
      </c>
      <c r="D10870" s="0">
        <v>7</v>
      </c>
      <c r="E10870" s="10">
        <f>HYPERLINK("http://www.lingerieopt.ru/images/original/4a085b3f-e171-4665-b0c0-e7acfd8fdad0.jpg","Фото")</f>
      </c>
    </row>
    <row r="10871">
      <c r="A10871" s="7">
        <f>HYPERLINK("http://www.lingerieopt.ru/item/6044-zakolka-dlya-volos-s-yakorem/","6044")</f>
      </c>
      <c r="B10871" s="8" t="s">
        <v>8357</v>
      </c>
      <c r="C10871" s="9">
        <v>800</v>
      </c>
      <c r="D10871" s="0">
        <v>7</v>
      </c>
      <c r="E10871" s="10">
        <f>HYPERLINK("http://www.lingerieopt.ru/images/original/e158ab67-6c49-423e-b14a-c0c4be71583b.jpg","Фото")</f>
      </c>
    </row>
    <row r="10872">
      <c r="A10872" s="7">
        <f>HYPERLINK("http://www.lingerieopt.ru/item/6045-zakolka-dlya-volos-so-znakom-piki/","6045")</f>
      </c>
      <c r="B10872" s="8" t="s">
        <v>8358</v>
      </c>
      <c r="C10872" s="9">
        <v>800</v>
      </c>
      <c r="D10872" s="0">
        <v>9</v>
      </c>
      <c r="E10872" s="10">
        <f>HYPERLINK("http://www.lingerieopt.ru/images/original/afb12880-70a5-4e6a-8493-5c617c0ea805.jpg","Фото")</f>
      </c>
    </row>
    <row r="10873">
      <c r="A10873" s="7">
        <f>HYPERLINK("http://www.lingerieopt.ru/item/6049-ryukzak-maljsh-zombi/","6049")</f>
      </c>
      <c r="B10873" s="8" t="s">
        <v>10227</v>
      </c>
      <c r="C10873" s="9">
        <v>1278</v>
      </c>
      <c r="D10873" s="0">
        <v>5</v>
      </c>
      <c r="E10873" s="10">
        <f>HYPERLINK("http://www.lingerieopt.ru/images/original/ad95530a-8d9c-4126-a4ba-6a1bf09eac26.jpg","Фото")</f>
      </c>
    </row>
    <row r="10874">
      <c r="A10874" s="7">
        <f>HYPERLINK("http://www.lingerieopt.ru/item/6050-naduvnoi-ognetushitel/","6050")</f>
      </c>
      <c r="B10874" s="8" t="s">
        <v>10316</v>
      </c>
      <c r="C10874" s="9">
        <v>499</v>
      </c>
      <c r="D10874" s="0">
        <v>5</v>
      </c>
      <c r="E10874" s="10">
        <f>HYPERLINK("http://www.lingerieopt.ru/images/original/de157343-8606-4dfc-bb3e-d60b7bc31d33.jpg","Фото")</f>
      </c>
    </row>
    <row r="10875">
      <c r="A10875" s="7">
        <f>HYPERLINK("http://www.lingerieopt.ru/item/6825-chulki-s-imitaciei-pyaten-krovi/","6825")</f>
      </c>
      <c r="B10875" s="8" t="s">
        <v>7876</v>
      </c>
      <c r="C10875" s="9">
        <v>588</v>
      </c>
      <c r="D10875" s="0">
        <v>10</v>
      </c>
      <c r="E10875" s="10">
        <f>HYPERLINK("http://www.lingerieopt.ru/images/original/6696489b-da8a-494e-9407-6bff4963fe77.jpg","Фото")</f>
      </c>
    </row>
    <row r="10876">
      <c r="A10876" s="7">
        <f>HYPERLINK("http://www.lingerieopt.ru/item/6826-chulki-medsestrichki-s-krasnjmi-bantami/","6826")</f>
      </c>
      <c r="B10876" s="8" t="s">
        <v>7877</v>
      </c>
      <c r="C10876" s="9">
        <v>442</v>
      </c>
      <c r="D10876" s="0">
        <v>10</v>
      </c>
      <c r="E10876" s="10">
        <f>HYPERLINK("http://www.lingerieopt.ru/images/original/983367ea-416b-4f55-9e9e-25da7f6ad684.jpg","Фото")</f>
      </c>
    </row>
    <row r="10877">
      <c r="A10877" s="7">
        <f>HYPERLINK("http://www.lingerieopt.ru/item/6945-alje-chulki-medsestrj-v-polosku/","6945")</f>
      </c>
      <c r="B10877" s="8" t="s">
        <v>7887</v>
      </c>
      <c r="C10877" s="9">
        <v>545</v>
      </c>
      <c r="D10877" s="0">
        <v>4</v>
      </c>
      <c r="E10877" s="10">
        <f>HYPERLINK("http://www.lingerieopt.ru/images/original/0f671624-447e-4038-b96e-e8aab5550a59.jpg","Фото")</f>
      </c>
    </row>
    <row r="10878">
      <c r="A10878" s="7">
        <f>HYPERLINK("http://www.lingerieopt.ru/item/6972-mini-yubka-shkolnicj/","6972")</f>
      </c>
      <c r="B10878" s="8" t="s">
        <v>8317</v>
      </c>
      <c r="C10878" s="9">
        <v>709</v>
      </c>
      <c r="D10878" s="0">
        <v>1</v>
      </c>
      <c r="E10878" s="10">
        <f>HYPERLINK("http://www.lingerieopt.ru/images/original/5b9eca9b-b014-4e56-9656-a750864acae7.jpg","Фото")</f>
      </c>
    </row>
    <row r="10879">
      <c r="A10879" s="7">
        <f>HYPERLINK("http://www.lingerieopt.ru/item/6972-mini-yubka-shkolnicj/","6972")</f>
      </c>
      <c r="B10879" s="8" t="s">
        <v>8318</v>
      </c>
      <c r="C10879" s="9">
        <v>709</v>
      </c>
      <c r="D10879" s="0">
        <v>1</v>
      </c>
      <c r="E10879" s="10">
        <f>HYPERLINK("http://www.lingerieopt.ru/images/original/5b9eca9b-b014-4e56-9656-a750864acae7.jpg","Фото")</f>
      </c>
    </row>
    <row r="10880">
      <c r="A10880" s="7">
        <f>HYPERLINK("http://www.lingerieopt.ru/item/7411-belosnezhnji-kostyum-nevestj-belle/","7411")</f>
      </c>
      <c r="B10880" s="8" t="s">
        <v>10317</v>
      </c>
      <c r="C10880" s="9">
        <v>1426</v>
      </c>
      <c r="D10880" s="0">
        <v>1</v>
      </c>
      <c r="E10880" s="10">
        <f>HYPERLINK("http://www.lingerieopt.ru/images/original/9919ac2e-0ec8-4846-b3b9-e592d0e74f46.jpg","Фото")</f>
      </c>
    </row>
    <row r="10881">
      <c r="A10881" s="7">
        <f>HYPERLINK("http://www.lingerieopt.ru/item/7736-perevaya-schetochka/","7736")</f>
      </c>
      <c r="B10881" s="8" t="s">
        <v>9837</v>
      </c>
      <c r="C10881" s="9">
        <v>754</v>
      </c>
      <c r="D10881" s="0">
        <v>10</v>
      </c>
      <c r="E10881" s="10">
        <f>HYPERLINK("http://www.lingerieopt.ru/images/original/42b4098c-167d-4cd3-9097-688fa92635e0.jpg","Фото")</f>
      </c>
    </row>
    <row r="10882">
      <c r="A10882" s="7">
        <f>HYPERLINK("http://www.lingerieopt.ru/item/7761-chulki-medsestrj-dolce-piccante/","7761")</f>
      </c>
      <c r="B10882" s="8" t="s">
        <v>7941</v>
      </c>
      <c r="C10882" s="9">
        <v>560</v>
      </c>
      <c r="D10882" s="0">
        <v>32</v>
      </c>
      <c r="E10882" s="10">
        <f>HYPERLINK("http://www.lingerieopt.ru/images/original/556b6a5e-8172-45c6-b92f-2c0231fadfac.jpg","Фото")</f>
      </c>
    </row>
    <row r="10883">
      <c r="A10883" s="7">
        <f>HYPERLINK("http://www.lingerieopt.ru/item/7838-igrovoi-zhenskii-kostyum-vostochnaya-krasavica/","7838")</f>
      </c>
      <c r="B10883" s="8" t="s">
        <v>10318</v>
      </c>
      <c r="C10883" s="9">
        <v>1565</v>
      </c>
      <c r="D10883" s="0">
        <v>24</v>
      </c>
      <c r="E10883" s="10">
        <f>HYPERLINK("http://www.lingerieopt.ru/images/original/186d57a1-9d98-4d9f-bb54-4faf6955a330.jpg","Фото")</f>
      </c>
    </row>
    <row r="10884">
      <c r="A10884" s="7">
        <f>HYPERLINK("http://www.lingerieopt.ru/item/8662-kostyum-avtomehanika-servicegirl/","8662")</f>
      </c>
      <c r="B10884" s="8" t="s">
        <v>10319</v>
      </c>
      <c r="C10884" s="9">
        <v>1685</v>
      </c>
      <c r="D10884" s="0">
        <v>10</v>
      </c>
      <c r="E10884" s="10">
        <f>HYPERLINK("http://www.lingerieopt.ru/images/original/070bc5a1-f098-4479-a2f3-549e4bffa19e.jpg","Фото")</f>
      </c>
    </row>
    <row r="10885">
      <c r="A10885" s="7">
        <f>HYPERLINK("http://www.lingerieopt.ru/item/9007-golovnoi-ubor-piratki/","9007")</f>
      </c>
      <c r="B10885" s="8" t="s">
        <v>10028</v>
      </c>
      <c r="C10885" s="9">
        <v>165</v>
      </c>
      <c r="D10885" s="0">
        <v>10</v>
      </c>
      <c r="E10885" s="10">
        <f>HYPERLINK("http://www.lingerieopt.ru/images/original/2dabcd54-af92-48b9-ada0-bef9c1222550.jpg","Фото")</f>
      </c>
    </row>
    <row r="10886">
      <c r="A10886" s="7">
        <f>HYPERLINK("http://www.lingerieopt.ru/item/9052-kepka-iz-ekokozhi/","9052")</f>
      </c>
      <c r="B10886" s="8" t="s">
        <v>3656</v>
      </c>
      <c r="C10886" s="9">
        <v>744</v>
      </c>
      <c r="D10886" s="0">
        <v>15</v>
      </c>
      <c r="E10886" s="10">
        <f>HYPERLINK("http://www.lingerieopt.ru/images/original/bbe3c058-29b3-4a07-abf6-236159a076a7.jpg","Фото")</f>
      </c>
    </row>
    <row r="10887">
      <c r="A10887" s="7">
        <f>HYPERLINK("http://www.lingerieopt.ru/item/9270-bolshaya-kepka-iz-kozhi/","9270")</f>
      </c>
      <c r="B10887" s="8" t="s">
        <v>8518</v>
      </c>
      <c r="C10887" s="9">
        <v>744</v>
      </c>
      <c r="D10887" s="0">
        <v>11</v>
      </c>
      <c r="E10887" s="10">
        <f>HYPERLINK("http://www.lingerieopt.ru/images/original/44a8a3de-ed7b-4f0b-b8e0-8f984a05c133.jpg","Фото")</f>
      </c>
    </row>
    <row r="10888">
      <c r="A10888" s="7">
        <f>HYPERLINK("http://www.lingerieopt.ru/item/9271-chernaya-pilotka-iz-iskusstvennoi-kozhi/","9271")</f>
      </c>
      <c r="B10888" s="8" t="s">
        <v>3657</v>
      </c>
      <c r="C10888" s="9">
        <v>744</v>
      </c>
      <c r="D10888" s="0">
        <v>10</v>
      </c>
      <c r="E10888" s="10">
        <f>HYPERLINK("http://www.lingerieopt.ru/images/original/cf5939a5-08f7-46e9-9a84-36584dd4a498.jpg","Фото")</f>
      </c>
    </row>
    <row r="10889">
      <c r="A10889" s="7">
        <f>HYPERLINK("http://www.lingerieopt.ru/item/9272-voennaya-pilotka/","9272")</f>
      </c>
      <c r="B10889" s="8" t="s">
        <v>10117</v>
      </c>
      <c r="C10889" s="9">
        <v>744</v>
      </c>
      <c r="D10889" s="0">
        <v>9</v>
      </c>
      <c r="E10889" s="10">
        <f>HYPERLINK("http://www.lingerieopt.ru/images/original/0e36821f-d120-4aa2-9e77-30636e590cad.jpg","Фото")</f>
      </c>
    </row>
    <row r="10890">
      <c r="A10890" s="7">
        <f>HYPERLINK("http://www.lingerieopt.ru/item/9273-pilotka-styuardessj-iz-iskusstvennoi-kozhi/","9273")</f>
      </c>
      <c r="B10890" s="8" t="s">
        <v>10069</v>
      </c>
      <c r="C10890" s="9">
        <v>744</v>
      </c>
      <c r="D10890" s="0">
        <v>5</v>
      </c>
      <c r="E10890" s="10">
        <f>HYPERLINK("http://www.lingerieopt.ru/images/original/1011f511-3b0b-41c8-b885-3caeae1b519d.jpg","Фото")</f>
      </c>
    </row>
    <row r="10891">
      <c r="A10891" s="7">
        <f>HYPERLINK("http://www.lingerieopt.ru/item/9313-kruzhevnoi-kostyum-rabjni/","9313")</f>
      </c>
      <c r="B10891" s="8" t="s">
        <v>10320</v>
      </c>
      <c r="C10891" s="9">
        <v>1185</v>
      </c>
      <c r="D10891" s="0">
        <v>1</v>
      </c>
      <c r="E10891" s="10">
        <f>HYPERLINK("http://www.lingerieopt.ru/images/original/4978dfc8-ede6-4c93-bab6-8d4e78ad281b.jpg","Фото")</f>
      </c>
    </row>
    <row r="10892">
      <c r="A10892" s="7">
        <f>HYPERLINK("http://www.lingerieopt.ru/item/9313-kruzhevnoi-kostyum-rabjni/","9313")</f>
      </c>
      <c r="B10892" s="8" t="s">
        <v>10321</v>
      </c>
      <c r="C10892" s="9">
        <v>1185</v>
      </c>
      <c r="D10892" s="0">
        <v>0</v>
      </c>
      <c r="E10892" s="10">
        <f>HYPERLINK("http://www.lingerieopt.ru/images/original/4978dfc8-ede6-4c93-bab6-8d4e78ad281b.jpg","Фото")</f>
      </c>
    </row>
    <row r="10893">
      <c r="A10893" s="7">
        <f>HYPERLINK("http://www.lingerieopt.ru/item/9702-kostyum-ozornoi-monashki-ines/","9702")</f>
      </c>
      <c r="B10893" s="8" t="s">
        <v>10230</v>
      </c>
      <c r="C10893" s="9">
        <v>1310</v>
      </c>
      <c r="D10893" s="0">
        <v>10</v>
      </c>
      <c r="E10893" s="10">
        <f>HYPERLINK("http://www.lingerieopt.ru/images/original/5ce69f57-3d59-4457-a885-67c70711c8ed.jpg","Фото")</f>
      </c>
    </row>
    <row r="10894">
      <c r="A10894" s="7">
        <f>HYPERLINK("http://www.lingerieopt.ru/item/9702-kostyum-ozornoi-monashki-ines/","9702")</f>
      </c>
      <c r="B10894" s="8" t="s">
        <v>10231</v>
      </c>
      <c r="C10894" s="9">
        <v>1310</v>
      </c>
      <c r="D10894" s="0">
        <v>11</v>
      </c>
      <c r="E10894" s="10">
        <f>HYPERLINK("http://www.lingerieopt.ru/images/original/5ce69f57-3d59-4457-a885-67c70711c8ed.jpg","Фото")</f>
      </c>
    </row>
    <row r="10895">
      <c r="A10895" s="7">
        <f>HYPERLINK("http://www.lingerieopt.ru/item/10228-kostyum-ozornoi-monahini-ines-plus-size/","10228")</f>
      </c>
      <c r="B10895" s="8" t="s">
        <v>10232</v>
      </c>
      <c r="C10895" s="9">
        <v>1310</v>
      </c>
      <c r="D10895" s="0">
        <v>4</v>
      </c>
      <c r="E10895" s="10">
        <f>HYPERLINK("http://www.lingerieopt.ru/images/original/15b1752d-e323-466d-917d-7db7efcdf6c1.jpg","Фото")</f>
      </c>
    </row>
    <row r="10896">
      <c r="A10896" s="7">
        <f>HYPERLINK("http://www.lingerieopt.ru/item/10668-kostyum-gonschicj-rally/","10668")</f>
      </c>
      <c r="B10896" s="8" t="s">
        <v>10322</v>
      </c>
      <c r="C10896" s="9">
        <v>2329</v>
      </c>
      <c r="D10896" s="0">
        <v>6</v>
      </c>
      <c r="E10896" s="10">
        <f>HYPERLINK("http://www.lingerieopt.ru/images/original/322a092c-21e3-456c-a270-71d8d7d7690b.jpg","Фото")</f>
      </c>
    </row>
    <row r="10897">
      <c r="A10897" s="7">
        <f>HYPERLINK("http://www.lingerieopt.ru/item/10962-maska-na-golovu-s-ushkami/","10962")</f>
      </c>
      <c r="B10897" s="8" t="s">
        <v>9928</v>
      </c>
      <c r="C10897" s="9">
        <v>1977</v>
      </c>
      <c r="D10897" s="0">
        <v>3</v>
      </c>
      <c r="E10897" s="10">
        <f>HYPERLINK("http://www.lingerieopt.ru/images/original/15eca2f0-2ae0-4fc8-9b36-ff1336b72786.jpg","Фото")</f>
      </c>
    </row>
    <row r="10898">
      <c r="A10898" s="7">
        <f>HYPERLINK("http://www.lingerieopt.ru/item/11255-kostyum-krupe-destiny/","11255")</f>
      </c>
      <c r="B10898" s="8" t="s">
        <v>10323</v>
      </c>
      <c r="C10898" s="9">
        <v>1689</v>
      </c>
      <c r="D10898" s="0">
        <v>18</v>
      </c>
      <c r="E10898" s="10">
        <f>HYPERLINK("http://www.lingerieopt.ru/images/original/a7a949b8-2921-4f52-a218-8ee1658a21ec.jpg","Фото")</f>
      </c>
    </row>
    <row r="10899">
      <c r="A10899" s="5"/>
      <c r="B10899" s="6" t="s">
        <v>10324</v>
      </c>
      <c r="C10899" s="5"/>
      <c r="D10899" s="5"/>
      <c r="E10899" s="5"/>
    </row>
    <row r="10900">
      <c r="A10900" s="7">
        <f>HYPERLINK("http://www.lingerieopt.ru/item/457-kostyum-oficianta-muzhskoi/","457")</f>
      </c>
      <c r="B10900" s="8" t="s">
        <v>10325</v>
      </c>
      <c r="C10900" s="9">
        <v>1574</v>
      </c>
      <c r="D10900" s="0">
        <v>2</v>
      </c>
      <c r="E10900" s="10">
        <f>HYPERLINK("http://www.lingerieopt.ru/images/original/04b25bbd-97fe-4272-9a86-c6ed6f0a8304.jpg","Фото")</f>
      </c>
    </row>
    <row r="10901">
      <c r="A10901" s="7">
        <f>HYPERLINK("http://www.lingerieopt.ru/item/457-kostyum-oficianta-muzhskoi/","457")</f>
      </c>
      <c r="B10901" s="8" t="s">
        <v>10326</v>
      </c>
      <c r="C10901" s="9">
        <v>1574</v>
      </c>
      <c r="D10901" s="0">
        <v>3</v>
      </c>
      <c r="E10901" s="10">
        <f>HYPERLINK("http://www.lingerieopt.ru/images/original/04b25bbd-97fe-4272-9a86-c6ed6f0a8304.jpg","Фото")</f>
      </c>
    </row>
    <row r="10902">
      <c r="A10902" s="7">
        <f>HYPERLINK("http://www.lingerieopt.ru/item/1140-muzhskie-stringi-smoking/","1140")</f>
      </c>
      <c r="B10902" s="8" t="s">
        <v>8750</v>
      </c>
      <c r="C10902" s="9">
        <v>552</v>
      </c>
      <c r="D10902" s="0">
        <v>11</v>
      </c>
      <c r="E10902" s="10">
        <f>HYPERLINK("http://www.lingerieopt.ru/images/original/b188454c-edf3-446a-832d-8318a7909281.jpg","Фото")</f>
      </c>
    </row>
    <row r="10903">
      <c r="A10903" s="7">
        <f>HYPERLINK("http://www.lingerieopt.ru/item/1140-muzhskie-stringi-smoking/","1140")</f>
      </c>
      <c r="B10903" s="8" t="s">
        <v>8749</v>
      </c>
      <c r="C10903" s="9">
        <v>552</v>
      </c>
      <c r="D10903" s="0">
        <v>0</v>
      </c>
      <c r="E10903" s="10">
        <f>HYPERLINK("http://www.lingerieopt.ru/images/original/b188454c-edf3-446a-832d-8318a7909281.jpg","Фото")</f>
      </c>
    </row>
    <row r="10904">
      <c r="A10904" s="7">
        <f>HYPERLINK("http://www.lingerieopt.ru/item/1146-trusiki-string-nastoyaschego-dzhentlmena/","1146")</f>
      </c>
      <c r="B10904" s="8" t="s">
        <v>8760</v>
      </c>
      <c r="C10904" s="9">
        <v>594</v>
      </c>
      <c r="D10904" s="0">
        <v>15</v>
      </c>
      <c r="E10904" s="10">
        <f>HYPERLINK("http://www.lingerieopt.ru/images/original/3178bc23-0268-44e5-965b-2af4428095f1.jpg","Фото")</f>
      </c>
    </row>
    <row r="10905">
      <c r="A10905" s="7">
        <f>HYPERLINK("http://www.lingerieopt.ru/item/1158-muzhskie-trusj-stringi-dzhentlmen/","1158")</f>
      </c>
      <c r="B10905" s="8" t="s">
        <v>8772</v>
      </c>
      <c r="C10905" s="9">
        <v>601</v>
      </c>
      <c r="D10905" s="0">
        <v>3</v>
      </c>
      <c r="E10905" s="10">
        <f>HYPERLINK("http://www.lingerieopt.ru/images/original/5f16b6d1-5b0f-41e6-b182-e7d8220f52a4.jpg","Фото")</f>
      </c>
    </row>
    <row r="10906">
      <c r="A10906" s="7">
        <f>HYPERLINK("http://www.lingerieopt.ru/item/1158-muzhskie-trusj-stringi-dzhentlmen/","1158")</f>
      </c>
      <c r="B10906" s="8" t="s">
        <v>8771</v>
      </c>
      <c r="C10906" s="9">
        <v>601</v>
      </c>
      <c r="D10906" s="0">
        <v>3</v>
      </c>
      <c r="E10906" s="10">
        <f>HYPERLINK("http://www.lingerieopt.ru/images/original/5f16b6d1-5b0f-41e6-b182-e7d8220f52a4.jpg","Фото")</f>
      </c>
    </row>
    <row r="10907">
      <c r="A10907" s="7">
        <f>HYPERLINK("http://www.lingerieopt.ru/item/2239-muzhskoi-kostyum-voennogo-us-army/","2239")</f>
      </c>
      <c r="B10907" s="8" t="s">
        <v>10327</v>
      </c>
      <c r="C10907" s="9">
        <v>1233</v>
      </c>
      <c r="D10907" s="0">
        <v>2</v>
      </c>
      <c r="E10907" s="10">
        <f>HYPERLINK("http://www.lingerieopt.ru/images/original/7e2f5260-6b46-4c99-af0b-7eb7bd3d0d6b.jpg","Фото")</f>
      </c>
    </row>
    <row r="10908">
      <c r="A10908" s="7">
        <f>HYPERLINK("http://www.lingerieopt.ru/item/2239-muzhskoi-kostyum-voennogo-us-army/","2239")</f>
      </c>
      <c r="B10908" s="8" t="s">
        <v>10328</v>
      </c>
      <c r="C10908" s="9">
        <v>1233</v>
      </c>
      <c r="D10908" s="0">
        <v>0</v>
      </c>
      <c r="E10908" s="10">
        <f>HYPERLINK("http://www.lingerieopt.ru/images/original/7e2f5260-6b46-4c99-af0b-7eb7bd3d0d6b.jpg","Фото")</f>
      </c>
    </row>
    <row r="10909">
      <c r="A10909" s="7">
        <f>HYPERLINK("http://www.lingerieopt.ru/item/2240-muzhskoi-kostyum-medbrat/","2240")</f>
      </c>
      <c r="B10909" s="8" t="s">
        <v>10329</v>
      </c>
      <c r="C10909" s="9">
        <v>1020</v>
      </c>
      <c r="D10909" s="0">
        <v>12</v>
      </c>
      <c r="E10909" s="10">
        <f>HYPERLINK("http://www.lingerieopt.ru/images/original/38426159-987c-4481-a9c3-93ca4f300977.jpg","Фото")</f>
      </c>
    </row>
    <row r="10910">
      <c r="A10910" s="7">
        <f>HYPERLINK("http://www.lingerieopt.ru/item/2240-muzhskoi-kostyum-medbrat/","2240")</f>
      </c>
      <c r="B10910" s="8" t="s">
        <v>10330</v>
      </c>
      <c r="C10910" s="9">
        <v>1020</v>
      </c>
      <c r="D10910" s="0">
        <v>0</v>
      </c>
      <c r="E10910" s="10">
        <f>HYPERLINK("http://www.lingerieopt.ru/images/original/38426159-987c-4481-a9c3-93ca4f300977.jpg","Фото")</f>
      </c>
    </row>
    <row r="10911">
      <c r="A10911" s="7">
        <f>HYPERLINK("http://www.lingerieopt.ru/item/2241-muzhskoi-kostyum-moryaka/","2241")</f>
      </c>
      <c r="B10911" s="8" t="s">
        <v>10331</v>
      </c>
      <c r="C10911" s="9">
        <v>1431</v>
      </c>
      <c r="D10911" s="0">
        <v>4</v>
      </c>
      <c r="E10911" s="10">
        <f>HYPERLINK("http://www.lingerieopt.ru/images/original/a655afe8-02d0-4ac6-b096-d79fbe5f4ab5.jpg","Фото")</f>
      </c>
    </row>
    <row r="10912">
      <c r="A10912" s="7">
        <f>HYPERLINK("http://www.lingerieopt.ru/item/2241-muzhskoi-kostyum-moryaka/","2241")</f>
      </c>
      <c r="B10912" s="8" t="s">
        <v>10332</v>
      </c>
      <c r="C10912" s="9">
        <v>1431</v>
      </c>
      <c r="D10912" s="0">
        <v>0</v>
      </c>
      <c r="E10912" s="10">
        <f>HYPERLINK("http://www.lingerieopt.ru/images/original/a655afe8-02d0-4ac6-b096-d79fbe5f4ab5.jpg","Фото")</f>
      </c>
    </row>
    <row r="10913">
      <c r="A10913" s="7">
        <f>HYPERLINK("http://www.lingerieopt.ru/item/2243-muzhskoi-kostyum-policeiskogo/","2243")</f>
      </c>
      <c r="B10913" s="8" t="s">
        <v>10333</v>
      </c>
      <c r="C10913" s="9">
        <v>1310</v>
      </c>
      <c r="D10913" s="0">
        <v>20</v>
      </c>
      <c r="E10913" s="10">
        <f>HYPERLINK("http://www.lingerieopt.ru/images/original/f12cb34a-ba33-40b3-bd0d-51b25ec0546b.jpg","Фото")</f>
      </c>
    </row>
    <row r="10914">
      <c r="A10914" s="7">
        <f>HYPERLINK("http://www.lingerieopt.ru/item/2321-muzhskoi-komplekt-dok/","2321")</f>
      </c>
      <c r="B10914" s="8" t="s">
        <v>10334</v>
      </c>
      <c r="C10914" s="9">
        <v>1758</v>
      </c>
      <c r="D10914" s="0">
        <v>0</v>
      </c>
      <c r="E10914" s="10">
        <f>HYPERLINK("http://www.lingerieopt.ru/images/original/429fbe6b-7082-4b67-9d2e-5427ed20e33b.jpg","Фото")</f>
      </c>
    </row>
    <row r="10915">
      <c r="A10915" s="7">
        <f>HYPERLINK("http://www.lingerieopt.ru/item/2321-muzhskoi-komplekt-dok/","2321")</f>
      </c>
      <c r="B10915" s="8" t="s">
        <v>10335</v>
      </c>
      <c r="C10915" s="9">
        <v>1758</v>
      </c>
      <c r="D10915" s="0">
        <v>1</v>
      </c>
      <c r="E10915" s="10">
        <f>HYPERLINK("http://www.lingerieopt.ru/images/original/429fbe6b-7082-4b67-9d2e-5427ed20e33b.jpg","Фото")</f>
      </c>
    </row>
    <row r="10916">
      <c r="A10916" s="7">
        <f>HYPERLINK("http://www.lingerieopt.ru/item/2387-sinii-novogodnii-kostyum-deda-moroza/","2387")</f>
      </c>
      <c r="B10916" s="8" t="s">
        <v>10049</v>
      </c>
      <c r="C10916" s="9">
        <v>1909</v>
      </c>
      <c r="D10916" s="0">
        <v>1</v>
      </c>
      <c r="E10916" s="10">
        <f>HYPERLINK("http://www.lingerieopt.ru/images/original/e30dcdc5-8acf-4afb-b00c-e8b03e84ac6c.jpg","Фото")</f>
      </c>
    </row>
    <row r="10917">
      <c r="A10917" s="7">
        <f>HYPERLINK("http://www.lingerieopt.ru/item/2473-muzhskie-shortj-oficianta/","2473")</f>
      </c>
      <c r="B10917" s="8" t="s">
        <v>8789</v>
      </c>
      <c r="C10917" s="9">
        <v>1045</v>
      </c>
      <c r="D10917" s="0">
        <v>2</v>
      </c>
      <c r="E10917" s="10">
        <f>HYPERLINK("http://www.lingerieopt.ru/images/original/80876ced-8057-4ec4-9588-79cef7b59d29.jpg","Фото")</f>
      </c>
    </row>
    <row r="10918">
      <c r="A10918" s="7">
        <f>HYPERLINK("http://www.lingerieopt.ru/item/2473-muzhskie-shortj-oficianta/","2473")</f>
      </c>
      <c r="B10918" s="8" t="s">
        <v>8790</v>
      </c>
      <c r="C10918" s="9">
        <v>1045</v>
      </c>
      <c r="D10918" s="0">
        <v>0</v>
      </c>
      <c r="E10918" s="10">
        <f>HYPERLINK("http://www.lingerieopt.ru/images/original/80876ced-8057-4ec4-9588-79cef7b59d29.jpg","Фото")</f>
      </c>
    </row>
    <row r="10919">
      <c r="A10919" s="7">
        <f>HYPERLINK("http://www.lingerieopt.ru/item/2473-muzhskie-shortj-oficianta/","2473")</f>
      </c>
      <c r="B10919" s="8" t="s">
        <v>8788</v>
      </c>
      <c r="C10919" s="9">
        <v>1045</v>
      </c>
      <c r="D10919" s="0">
        <v>4</v>
      </c>
      <c r="E10919" s="10">
        <f>HYPERLINK("http://www.lingerieopt.ru/images/original/80876ced-8057-4ec4-9588-79cef7b59d29.jpg","Фото")</f>
      </c>
    </row>
    <row r="10920">
      <c r="A10920" s="7">
        <f>HYPERLINK("http://www.lingerieopt.ru/item/2783-igrovoi-kostyum-oficianta/","2783")</f>
      </c>
      <c r="B10920" s="8" t="s">
        <v>10336</v>
      </c>
      <c r="C10920" s="9">
        <v>1824</v>
      </c>
      <c r="D10920" s="0">
        <v>4</v>
      </c>
      <c r="E10920" s="10">
        <f>HYPERLINK("http://www.lingerieopt.ru/images/original/843b11f8-7dbd-4a5a-b761-0c0f2656a211.jpg","Фото")</f>
      </c>
    </row>
    <row r="10921">
      <c r="A10921" s="7">
        <f>HYPERLINK("http://www.lingerieopt.ru/item/2783-igrovoi-kostyum-oficianta/","2783")</f>
      </c>
      <c r="B10921" s="8" t="s">
        <v>10337</v>
      </c>
      <c r="C10921" s="9">
        <v>1824</v>
      </c>
      <c r="D10921" s="0">
        <v>5</v>
      </c>
      <c r="E10921" s="10">
        <f>HYPERLINK("http://www.lingerieopt.ru/images/original/843b11f8-7dbd-4a5a-b761-0c0f2656a211.jpg","Фото")</f>
      </c>
    </row>
    <row r="10922">
      <c r="A10922" s="7">
        <f>HYPERLINK("http://www.lingerieopt.ru/item/2786-muzhskoi-kostyum-dzhentlmena/","2786")</f>
      </c>
      <c r="B10922" s="8" t="s">
        <v>10338</v>
      </c>
      <c r="C10922" s="9">
        <v>1179</v>
      </c>
      <c r="D10922" s="0">
        <v>10</v>
      </c>
      <c r="E10922" s="10">
        <f>HYPERLINK("http://www.lingerieopt.ru/images/original/1f4b7687-9c6f-4a4e-a5c7-9887efb6791a.jpg","Фото")</f>
      </c>
    </row>
    <row r="10923">
      <c r="A10923" s="7">
        <f>HYPERLINK("http://www.lingerieopt.ru/item/2787-muzhskoi-igrovoi-kostyum-policeiskogo/","2787")</f>
      </c>
      <c r="B10923" s="8" t="s">
        <v>10339</v>
      </c>
      <c r="C10923" s="9">
        <v>1265</v>
      </c>
      <c r="D10923" s="0">
        <v>9</v>
      </c>
      <c r="E10923" s="10">
        <f>HYPERLINK("http://www.lingerieopt.ru/images/original/426e7e26-2e5a-42b0-b994-b682bb0ea9ad.jpg","Фото")</f>
      </c>
    </row>
    <row r="10924">
      <c r="A10924" s="7">
        <f>HYPERLINK("http://www.lingerieopt.ru/item/2788-muzhskoi-igrovoi-kostyum-svyaschennika/","2788")</f>
      </c>
      <c r="B10924" s="8" t="s">
        <v>10340</v>
      </c>
      <c r="C10924" s="9">
        <v>1126</v>
      </c>
      <c r="D10924" s="0">
        <v>7</v>
      </c>
      <c r="E10924" s="10">
        <f>HYPERLINK("http://www.lingerieopt.ru/images/original/50cbc359-03d1-4685-9f3b-5e89ec44cf57.jpg","Фото")</f>
      </c>
    </row>
    <row r="10925">
      <c r="A10925" s="7">
        <f>HYPERLINK("http://www.lingerieopt.ru/item/5128-kostyum-ozornogo-tirolca/","5128")</f>
      </c>
      <c r="B10925" s="8" t="s">
        <v>10341</v>
      </c>
      <c r="C10925" s="9">
        <v>1925</v>
      </c>
      <c r="D10925" s="0">
        <v>5</v>
      </c>
      <c r="E10925" s="10">
        <f>HYPERLINK("http://www.lingerieopt.ru/images/original/ad5bac57-9a5a-4ec6-8258-7b6dc028fe57.jpg","Фото")</f>
      </c>
    </row>
    <row r="10926">
      <c r="A10926" s="7">
        <f>HYPERLINK("http://www.lingerieopt.ru/item/5128-kostyum-ozornogo-tirolca/","5128")</f>
      </c>
      <c r="B10926" s="8" t="s">
        <v>10342</v>
      </c>
      <c r="C10926" s="9">
        <v>1925</v>
      </c>
      <c r="D10926" s="0">
        <v>4</v>
      </c>
      <c r="E10926" s="10">
        <f>HYPERLINK("http://www.lingerieopt.ru/images/original/ad5bac57-9a5a-4ec6-8258-7b6dc028fe57.jpg","Фото")</f>
      </c>
    </row>
    <row r="10927">
      <c r="A10927" s="7">
        <f>HYPERLINK("http://www.lingerieopt.ru/item/9478-trusiki-stringi-oficianta-justin-v-komplekte-s-babochkoi-na-sheyu/","9478")</f>
      </c>
      <c r="B10927" s="8" t="s">
        <v>9384</v>
      </c>
      <c r="C10927" s="9">
        <v>602</v>
      </c>
      <c r="D10927" s="0">
        <v>5</v>
      </c>
      <c r="E10927" s="10">
        <f>HYPERLINK("http://www.lingerieopt.ru/images/original/5c2b8370-9dea-4f17-be95-b3489bb2546c.jpg","Фото")</f>
      </c>
    </row>
    <row r="10928">
      <c r="A10928" s="7">
        <f>HYPERLINK("http://www.lingerieopt.ru/item/9478-trusiki-stringi-oficianta-justin-v-komplekte-s-babochkoi-na-sheyu/","9478")</f>
      </c>
      <c r="B10928" s="8" t="s">
        <v>9385</v>
      </c>
      <c r="C10928" s="9">
        <v>602</v>
      </c>
      <c r="D10928" s="0">
        <v>3</v>
      </c>
      <c r="E10928" s="10">
        <f>HYPERLINK("http://www.lingerieopt.ru/images/original/5c2b8370-9dea-4f17-be95-b3489bb2546c.jpg","Фото")</f>
      </c>
    </row>
    <row r="10929">
      <c r="A10929" s="7">
        <f>HYPERLINK("http://www.lingerieopt.ru/item/9478-trusiki-stringi-oficianta-justin-v-komplekte-s-babochkoi-na-sheyu/","9478")</f>
      </c>
      <c r="B10929" s="8" t="s">
        <v>9386</v>
      </c>
      <c r="C10929" s="9">
        <v>602</v>
      </c>
      <c r="D10929" s="0">
        <v>6</v>
      </c>
      <c r="E10929" s="10">
        <f>HYPERLINK("http://www.lingerieopt.ru/images/original/5c2b8370-9dea-4f17-be95-b3489bb2546c.jpg","Фото")</f>
      </c>
    </row>
    <row r="10930">
      <c r="A10930" s="7">
        <f>HYPERLINK("http://www.lingerieopt.ru/item/9478-trusiki-stringi-oficianta-justin-v-komplekte-s-babochkoi-na-sheyu/","9478")</f>
      </c>
      <c r="B10930" s="8" t="s">
        <v>9383</v>
      </c>
      <c r="C10930" s="9">
        <v>602</v>
      </c>
      <c r="D10930" s="0">
        <v>6</v>
      </c>
      <c r="E10930" s="10">
        <f>HYPERLINK("http://www.lingerieopt.ru/images/original/5c2b8370-9dea-4f17-be95-b3489bb2546c.jpg","Фото")</f>
      </c>
    </row>
    <row r="10931">
      <c r="A10931" s="7">
        <f>HYPERLINK("http://www.lingerieopt.ru/item/9680-cherno-beloe-bodi-oficianta/","9680")</f>
      </c>
      <c r="B10931" s="8" t="s">
        <v>8600</v>
      </c>
      <c r="C10931" s="9">
        <v>672</v>
      </c>
      <c r="D10931" s="0">
        <v>5</v>
      </c>
      <c r="E10931" s="10">
        <f>HYPERLINK("http://www.lingerieopt.ru/images/original/62e8e52e-3686-4b05-857b-469e2bf3ad45.jpg","Фото")</f>
      </c>
    </row>
    <row r="10932">
      <c r="A10932" s="7">
        <f>HYPERLINK("http://www.lingerieopt.ru/item/9680-cherno-beloe-bodi-oficianta/","9680")</f>
      </c>
      <c r="B10932" s="8" t="s">
        <v>8601</v>
      </c>
      <c r="C10932" s="9">
        <v>672</v>
      </c>
      <c r="D10932" s="0">
        <v>5</v>
      </c>
      <c r="E10932" s="10">
        <f>HYPERLINK("http://www.lingerieopt.ru/images/original/62e8e52e-3686-4b05-857b-469e2bf3ad45.jpg","Фото")</f>
      </c>
    </row>
    <row r="10933">
      <c r="A10933" s="7">
        <f>HYPERLINK("http://www.lingerieopt.ru/item/9680-cherno-beloe-bodi-oficianta/","9680")</f>
      </c>
      <c r="B10933" s="8" t="s">
        <v>8599</v>
      </c>
      <c r="C10933" s="9">
        <v>672</v>
      </c>
      <c r="D10933" s="0">
        <v>5</v>
      </c>
      <c r="E10933" s="10">
        <f>HYPERLINK("http://www.lingerieopt.ru/images/original/62e8e52e-3686-4b05-857b-469e2bf3ad45.jpg","Фото")</f>
      </c>
    </row>
    <row r="10934">
      <c r="A10934" s="7">
        <f>HYPERLINK("http://www.lingerieopt.ru/item/9744-trusj-shortj-oficianta/","9744")</f>
      </c>
      <c r="B10934" s="8" t="s">
        <v>9396</v>
      </c>
      <c r="C10934" s="9">
        <v>936</v>
      </c>
      <c r="D10934" s="0">
        <v>5</v>
      </c>
      <c r="E10934" s="10">
        <f>HYPERLINK("http://www.lingerieopt.ru/images/original/48e8379a-2bff-4de2-abde-8d23937d85a6.jpg","Фото")</f>
      </c>
    </row>
    <row r="10935">
      <c r="A10935" s="7">
        <f>HYPERLINK("http://www.lingerieopt.ru/item/9744-trusj-shortj-oficianta/","9744")</f>
      </c>
      <c r="B10935" s="8" t="s">
        <v>9397</v>
      </c>
      <c r="C10935" s="9">
        <v>936</v>
      </c>
      <c r="D10935" s="0">
        <v>6</v>
      </c>
      <c r="E10935" s="10">
        <f>HYPERLINK("http://www.lingerieopt.ru/images/original/48e8379a-2bff-4de2-abde-8d23937d85a6.jpg","Фото")</f>
      </c>
    </row>
    <row r="10936">
      <c r="A10936" s="7">
        <f>HYPERLINK("http://www.lingerieopt.ru/item/9744-trusj-shortj-oficianta/","9744")</f>
      </c>
      <c r="B10936" s="8" t="s">
        <v>9398</v>
      </c>
      <c r="C10936" s="9">
        <v>936</v>
      </c>
      <c r="D10936" s="0">
        <v>5</v>
      </c>
      <c r="E10936" s="10">
        <f>HYPERLINK("http://www.lingerieopt.ru/images/original/48e8379a-2bff-4de2-abde-8d23937d85a6.jpg","Фото")</f>
      </c>
    </row>
    <row r="10937">
      <c r="A10937" s="7">
        <f>HYPERLINK("http://www.lingerieopt.ru/item/10205-trusiki-oficianta-s-aksessuarami/","10205")</f>
      </c>
      <c r="B10937" s="8" t="s">
        <v>9399</v>
      </c>
      <c r="C10937" s="9">
        <v>804</v>
      </c>
      <c r="D10937" s="0">
        <v>6</v>
      </c>
      <c r="E10937" s="10">
        <f>HYPERLINK("http://www.lingerieopt.ru/images/original/de02b2ed-e714-4823-bce7-ad249e121d7e.jpg","Фото")</f>
      </c>
    </row>
    <row r="10938">
      <c r="A10938" s="7">
        <f>HYPERLINK("http://www.lingerieopt.ru/item/10205-trusiki-oficianta-s-aksessuarami/","10205")</f>
      </c>
      <c r="B10938" s="8" t="s">
        <v>9401</v>
      </c>
      <c r="C10938" s="9">
        <v>804</v>
      </c>
      <c r="D10938" s="0">
        <v>5</v>
      </c>
      <c r="E10938" s="10">
        <f>HYPERLINK("http://www.lingerieopt.ru/images/original/de02b2ed-e714-4823-bce7-ad249e121d7e.jpg","Фото")</f>
      </c>
    </row>
    <row r="10939">
      <c r="A10939" s="7">
        <f>HYPERLINK("http://www.lingerieopt.ru/item/10205-trusiki-oficianta-s-aksessuarami/","10205")</f>
      </c>
      <c r="B10939" s="8" t="s">
        <v>9400</v>
      </c>
      <c r="C10939" s="9">
        <v>804</v>
      </c>
      <c r="D10939" s="0">
        <v>5</v>
      </c>
      <c r="E10939" s="10">
        <f>HYPERLINK("http://www.lingerieopt.ru/images/original/de02b2ed-e714-4823-bce7-ad249e121d7e.jpg","Фото")</f>
      </c>
    </row>
    <row r="10940">
      <c r="A10940" s="7">
        <f>HYPERLINK("http://www.lingerieopt.ru/item/11258-kostyum-oficianta-keyden/","11258")</f>
      </c>
      <c r="B10940" s="8" t="s">
        <v>10343</v>
      </c>
      <c r="C10940" s="9">
        <v>970</v>
      </c>
      <c r="D10940" s="0">
        <v>18</v>
      </c>
      <c r="E10940" s="10">
        <f>HYPERLINK("http://www.lingerieopt.ru/images/original/dab8e89b-63c0-4a2c-871e-9115389a43aa.jpg","Фото")</f>
      </c>
    </row>
    <row r="10941">
      <c r="A10941" s="3"/>
      <c r="B10941" s="4" t="s">
        <v>10344</v>
      </c>
      <c r="C10941" s="3"/>
      <c r="D10941" s="3"/>
      <c r="E10941" s="3"/>
    </row>
    <row r="10942">
      <c r="A10942" s="3"/>
      <c r="B10942" s="4" t="s">
        <v>10345</v>
      </c>
      <c r="C10942" s="3"/>
      <c r="D10942" s="3"/>
      <c r="E10942" s="3"/>
    </row>
    <row r="10943">
      <c r="A10943" s="3"/>
      <c r="B10943" s="4" t="s">
        <v>10346</v>
      </c>
      <c r="C10943" s="3"/>
      <c r="D10943" s="3"/>
      <c r="E10943" s="3"/>
    </row>
    <row r="10944">
      <c r="A10944" s="5"/>
      <c r="B10944" s="6" t="s">
        <v>10347</v>
      </c>
      <c r="C10944" s="5"/>
      <c r="D10944" s="5"/>
      <c r="E10944" s="5"/>
    </row>
    <row r="10945">
      <c r="A10945" s="5"/>
      <c r="B10945" s="6" t="s">
        <v>10348</v>
      </c>
      <c r="C10945" s="5"/>
      <c r="D10945" s="5"/>
      <c r="E10945" s="5"/>
    </row>
    <row r="10946">
      <c r="A10946" s="5"/>
      <c r="B10946" s="6" t="s">
        <v>10349</v>
      </c>
      <c r="C10946" s="5"/>
      <c r="D10946" s="5"/>
      <c r="E10946" s="5"/>
    </row>
    <row r="10947">
      <c r="A10947" s="5"/>
      <c r="B10947" s="6" t="s">
        <v>10350</v>
      </c>
      <c r="C10947" s="5"/>
      <c r="D10947" s="5"/>
      <c r="E10947" s="5"/>
    </row>
    <row r="10948">
      <c r="A10948" s="5"/>
      <c r="B10948" s="6" t="s">
        <v>10351</v>
      </c>
      <c r="C10948" s="5"/>
      <c r="D10948" s="5"/>
      <c r="E10948" s="5"/>
    </row>
    <row r="10949">
      <c r="A10949" s="5"/>
      <c r="B10949" s="6" t="s">
        <v>10352</v>
      </c>
      <c r="C10949" s="5"/>
      <c r="D10949" s="5"/>
      <c r="E10949" s="5"/>
    </row>
    <row r="10950">
      <c r="A10950" s="5"/>
      <c r="B10950" s="6" t="s">
        <v>10353</v>
      </c>
      <c r="C10950" s="5"/>
      <c r="D10950" s="5"/>
      <c r="E10950" s="5"/>
    </row>
    <row r="10951">
      <c r="A10951" s="5"/>
      <c r="B10951" s="6" t="s">
        <v>10354</v>
      </c>
      <c r="C10951" s="5"/>
      <c r="D10951" s="5"/>
      <c r="E10951" s="5"/>
    </row>
    <row r="10952">
      <c r="A10952" s="5"/>
      <c r="B10952" s="6" t="s">
        <v>10355</v>
      </c>
      <c r="C10952" s="5"/>
      <c r="D10952" s="5"/>
      <c r="E10952" s="5"/>
    </row>
    <row r="10953">
      <c r="A10953" s="5"/>
      <c r="B10953" s="6" t="s">
        <v>10356</v>
      </c>
      <c r="C10953" s="5"/>
      <c r="D10953" s="5"/>
      <c r="E10953" s="5"/>
    </row>
    <row r="10954">
      <c r="A10954" s="5"/>
      <c r="B10954" s="6" t="s">
        <v>10357</v>
      </c>
      <c r="C10954" s="5"/>
      <c r="D10954" s="5"/>
      <c r="E10954" s="5"/>
    </row>
    <row r="10955">
      <c r="A10955" s="5"/>
      <c r="B10955" s="6" t="s">
        <v>10358</v>
      </c>
      <c r="C10955" s="5"/>
      <c r="D10955" s="5"/>
      <c r="E10955" s="5"/>
    </row>
    <row r="10956">
      <c r="A10956" s="5"/>
      <c r="B10956" s="6" t="s">
        <v>10359</v>
      </c>
      <c r="C10956" s="5"/>
      <c r="D10956" s="5"/>
      <c r="E10956" s="5"/>
    </row>
    <row r="10957">
      <c r="A10957" s="5"/>
      <c r="B10957" s="6" t="s">
        <v>10360</v>
      </c>
      <c r="C10957" s="5"/>
      <c r="D10957" s="5"/>
      <c r="E10957" s="5"/>
    </row>
    <row r="10958">
      <c r="A10958" s="5"/>
      <c r="B10958" s="6" t="s">
        <v>10361</v>
      </c>
      <c r="C10958" s="5"/>
      <c r="D10958" s="5"/>
      <c r="E10958" s="5"/>
    </row>
    <row r="10959">
      <c r="A10959" s="5"/>
      <c r="B10959" s="6" t="s">
        <v>10362</v>
      </c>
      <c r="C10959" s="5"/>
      <c r="D10959" s="5"/>
      <c r="E10959" s="5"/>
    </row>
    <row r="10960">
      <c r="A10960" s="5"/>
      <c r="B10960" s="6" t="s">
        <v>10363</v>
      </c>
      <c r="C10960" s="5"/>
      <c r="D10960" s="5"/>
      <c r="E10960" s="5"/>
    </row>
    <row r="10961">
      <c r="A10961" s="5"/>
      <c r="B10961" s="6" t="s">
        <v>10364</v>
      </c>
      <c r="C10961" s="5"/>
      <c r="D10961" s="5"/>
      <c r="E10961" s="5"/>
    </row>
    <row r="10962">
      <c r="A10962" s="5"/>
      <c r="B10962" s="6" t="s">
        <v>10365</v>
      </c>
      <c r="C10962" s="5"/>
      <c r="D10962" s="5"/>
      <c r="E10962" s="5"/>
    </row>
    <row r="10963">
      <c r="A10963" s="5"/>
      <c r="B10963" s="6" t="s">
        <v>10366</v>
      </c>
      <c r="C10963" s="5"/>
      <c r="D10963" s="5"/>
      <c r="E10963" s="5"/>
    </row>
    <row r="10964">
      <c r="A10964" s="5"/>
      <c r="B10964" s="6" t="s">
        <v>10367</v>
      </c>
      <c r="C10964" s="5"/>
      <c r="D10964" s="5"/>
      <c r="E10964" s="5"/>
    </row>
    <row r="10965">
      <c r="A10965" s="5"/>
      <c r="B10965" s="6" t="s">
        <v>10368</v>
      </c>
      <c r="C10965" s="5"/>
      <c r="D10965" s="5"/>
      <c r="E10965" s="5"/>
    </row>
    <row r="10966">
      <c r="A10966" s="5"/>
      <c r="B10966" s="6" t="s">
        <v>10369</v>
      </c>
      <c r="C10966" s="5"/>
      <c r="D10966" s="5"/>
      <c r="E10966" s="5"/>
    </row>
    <row r="10967">
      <c r="A10967" s="5"/>
      <c r="B10967" s="6" t="s">
        <v>10370</v>
      </c>
      <c r="C10967" s="5"/>
      <c r="D10967" s="5"/>
      <c r="E10967" s="5"/>
    </row>
    <row r="10968">
      <c r="A10968" s="5"/>
      <c r="B10968" s="6" t="s">
        <v>10371</v>
      </c>
      <c r="C10968" s="5"/>
      <c r="D10968" s="5"/>
      <c r="E10968" s="5"/>
    </row>
    <row r="10969">
      <c r="A10969" s="5"/>
      <c r="B10969" s="6" t="s">
        <v>10372</v>
      </c>
      <c r="C10969" s="5"/>
      <c r="D10969" s="5"/>
      <c r="E10969" s="5"/>
    </row>
    <row r="10970">
      <c r="A10970" s="5"/>
      <c r="B10970" s="6" t="s">
        <v>10373</v>
      </c>
      <c r="C10970" s="5"/>
      <c r="D10970" s="5"/>
      <c r="E10970" s="5"/>
    </row>
    <row r="10971">
      <c r="A10971" s="5"/>
      <c r="B10971" s="6" t="s">
        <v>10374</v>
      </c>
      <c r="C10971" s="5"/>
      <c r="D10971" s="5"/>
      <c r="E10971" s="5"/>
    </row>
    <row r="10972">
      <c r="A10972" s="5"/>
      <c r="B10972" s="6" t="s">
        <v>10375</v>
      </c>
      <c r="C10972" s="5"/>
      <c r="D10972" s="5"/>
      <c r="E10972" s="5"/>
    </row>
    <row r="10973">
      <c r="A10973" s="5"/>
      <c r="B10973" s="6" t="s">
        <v>10376</v>
      </c>
      <c r="C10973" s="5"/>
      <c r="D10973" s="5"/>
      <c r="E10973" s="5"/>
    </row>
    <row r="10974">
      <c r="A10974" s="5"/>
      <c r="B10974" s="6" t="s">
        <v>10377</v>
      </c>
      <c r="C10974" s="5"/>
      <c r="D10974" s="5"/>
      <c r="E10974" s="5"/>
    </row>
    <row r="10975">
      <c r="A10975" s="5"/>
      <c r="B10975" s="6" t="s">
        <v>10378</v>
      </c>
      <c r="C10975" s="5"/>
      <c r="D10975" s="5"/>
      <c r="E10975" s="5"/>
    </row>
    <row r="10976">
      <c r="A10976" s="5"/>
      <c r="B10976" s="6" t="s">
        <v>10379</v>
      </c>
      <c r="C10976" s="5"/>
      <c r="D10976" s="5"/>
      <c r="E10976" s="5"/>
    </row>
    <row r="10977">
      <c r="A10977" s="5"/>
      <c r="B10977" s="6" t="s">
        <v>10380</v>
      </c>
      <c r="C10977" s="5"/>
      <c r="D10977" s="5"/>
      <c r="E10977" s="5"/>
    </row>
    <row r="10978">
      <c r="A10978" s="5"/>
      <c r="B10978" s="6" t="s">
        <v>10381</v>
      </c>
      <c r="C10978" s="5"/>
      <c r="D10978" s="5"/>
      <c r="E10978" s="5"/>
    </row>
    <row r="10979">
      <c r="A10979" s="5"/>
      <c r="B10979" s="6" t="s">
        <v>10382</v>
      </c>
      <c r="C10979" s="5"/>
      <c r="D10979" s="5"/>
      <c r="E10979" s="5"/>
    </row>
    <row r="10980">
      <c r="A10980" s="5"/>
      <c r="B10980" s="6" t="s">
        <v>10383</v>
      </c>
      <c r="C10980" s="5"/>
      <c r="D10980" s="5"/>
      <c r="E10980" s="5"/>
    </row>
    <row r="10981">
      <c r="A10981" s="5"/>
      <c r="B10981" s="6" t="s">
        <v>10384</v>
      </c>
      <c r="C10981" s="5"/>
      <c r="D10981" s="5"/>
      <c r="E10981" s="5"/>
    </row>
    <row r="10982">
      <c r="A10982" s="5"/>
      <c r="B10982" s="6" t="s">
        <v>10385</v>
      </c>
      <c r="C10982" s="5"/>
      <c r="D10982" s="5"/>
      <c r="E10982" s="5"/>
    </row>
    <row r="10983">
      <c r="A10983" s="5"/>
      <c r="B10983" s="6" t="s">
        <v>10386</v>
      </c>
      <c r="C10983" s="5"/>
      <c r="D10983" s="5"/>
      <c r="E10983" s="5"/>
    </row>
    <row r="10984">
      <c r="A10984" s="5"/>
      <c r="B10984" s="6" t="s">
        <v>10387</v>
      </c>
      <c r="C10984" s="5"/>
      <c r="D10984" s="5"/>
      <c r="E10984" s="5"/>
    </row>
    <row r="10985">
      <c r="A10985" s="5"/>
      <c r="B10985" s="6" t="s">
        <v>10388</v>
      </c>
      <c r="C10985" s="5"/>
      <c r="D10985" s="5"/>
      <c r="E10985" s="5"/>
    </row>
    <row r="10986">
      <c r="A10986" s="5"/>
      <c r="B10986" s="6" t="s">
        <v>10389</v>
      </c>
      <c r="C10986" s="5"/>
      <c r="D10986" s="5"/>
      <c r="E10986" s="5"/>
    </row>
    <row r="10987">
      <c r="A10987" s="5"/>
      <c r="B10987" s="6" t="s">
        <v>10390</v>
      </c>
      <c r="C10987" s="5"/>
      <c r="D10987" s="5"/>
      <c r="E10987" s="5"/>
    </row>
    <row r="10988">
      <c r="A10988" s="5"/>
      <c r="B10988" s="6" t="s">
        <v>10391</v>
      </c>
      <c r="C10988" s="5"/>
      <c r="D10988" s="5"/>
      <c r="E10988" s="5"/>
    </row>
    <row r="10989">
      <c r="A10989" s="5"/>
      <c r="B10989" s="6" t="s">
        <v>10392</v>
      </c>
      <c r="C10989" s="5"/>
      <c r="D10989" s="5"/>
      <c r="E10989" s="5"/>
    </row>
    <row r="10990">
      <c r="A10990" s="5"/>
      <c r="B10990" s="6" t="s">
        <v>10393</v>
      </c>
      <c r="C10990" s="5"/>
      <c r="D10990" s="5"/>
      <c r="E10990" s="5"/>
    </row>
    <row r="10991">
      <c r="A10991" s="5"/>
      <c r="B10991" s="6" t="s">
        <v>10394</v>
      </c>
      <c r="C10991" s="5"/>
      <c r="D10991" s="5"/>
      <c r="E10991" s="5"/>
    </row>
    <row r="10992">
      <c r="A10992" s="5"/>
      <c r="B10992" s="6" t="s">
        <v>10395</v>
      </c>
      <c r="C10992" s="5"/>
      <c r="D10992" s="5"/>
      <c r="E10992" s="5"/>
    </row>
    <row r="10993">
      <c r="A10993" s="5"/>
      <c r="B10993" s="6" t="s">
        <v>10396</v>
      </c>
      <c r="C10993" s="5"/>
      <c r="D10993" s="5"/>
      <c r="E10993" s="5"/>
    </row>
    <row r="10994">
      <c r="A10994" s="5"/>
      <c r="B10994" s="6" t="s">
        <v>10397</v>
      </c>
      <c r="C10994" s="5"/>
      <c r="D10994" s="5"/>
      <c r="E10994" s="5"/>
    </row>
    <row r="10995">
      <c r="A10995" s="5"/>
      <c r="B10995" s="6" t="s">
        <v>10398</v>
      </c>
      <c r="C10995" s="5"/>
      <c r="D10995" s="5"/>
      <c r="E10995" s="5"/>
    </row>
    <row r="10996">
      <c r="A10996" s="5"/>
      <c r="B10996" s="6" t="s">
        <v>10399</v>
      </c>
      <c r="C10996" s="5"/>
      <c r="D10996" s="5"/>
      <c r="E10996" s="5"/>
    </row>
    <row r="10997">
      <c r="A10997" s="5"/>
      <c r="B10997" s="6" t="s">
        <v>10400</v>
      </c>
      <c r="C10997" s="5"/>
      <c r="D10997" s="5"/>
      <c r="E10997" s="5"/>
    </row>
    <row r="10998">
      <c r="A10998" s="5"/>
      <c r="B10998" s="6" t="s">
        <v>10401</v>
      </c>
      <c r="C10998" s="5"/>
      <c r="D10998" s="5"/>
      <c r="E10998" s="5"/>
    </row>
    <row r="10999">
      <c r="A10999" s="5"/>
      <c r="B10999" s="6" t="s">
        <v>10402</v>
      </c>
      <c r="C10999" s="5"/>
      <c r="D10999" s="5"/>
      <c r="E10999" s="5"/>
    </row>
    <row r="11000">
      <c r="A11000" s="5"/>
      <c r="B11000" s="6" t="s">
        <v>10403</v>
      </c>
      <c r="C11000" s="5"/>
      <c r="D11000" s="5"/>
      <c r="E11000" s="5"/>
    </row>
    <row r="11001">
      <c r="A11001" s="5"/>
      <c r="B11001" s="6" t="s">
        <v>10404</v>
      </c>
      <c r="C11001" s="5"/>
      <c r="D11001" s="5"/>
      <c r="E11001" s="5"/>
    </row>
    <row r="11002">
      <c r="A11002" s="5"/>
      <c r="B11002" s="6" t="s">
        <v>10405</v>
      </c>
      <c r="C11002" s="5"/>
      <c r="D11002" s="5"/>
      <c r="E11002" s="5"/>
    </row>
    <row r="11003">
      <c r="A11003" s="5"/>
      <c r="B11003" s="6" t="s">
        <v>10406</v>
      </c>
      <c r="C11003" s="5"/>
      <c r="D11003" s="5"/>
      <c r="E11003" s="5"/>
    </row>
    <row r="11004">
      <c r="A11004" s="5"/>
      <c r="B11004" s="6" t="s">
        <v>10407</v>
      </c>
      <c r="C11004" s="5"/>
      <c r="D11004" s="5"/>
      <c r="E11004" s="5"/>
    </row>
    <row r="11005">
      <c r="A11005" s="5"/>
      <c r="B11005" s="6" t="s">
        <v>10408</v>
      </c>
      <c r="C11005" s="5"/>
      <c r="D11005" s="5"/>
      <c r="E11005" s="5"/>
    </row>
    <row r="11006">
      <c r="A11006" s="5"/>
      <c r="B11006" s="6" t="s">
        <v>10409</v>
      </c>
      <c r="C11006" s="5"/>
      <c r="D11006" s="5"/>
      <c r="E11006" s="5"/>
    </row>
    <row r="11007">
      <c r="A11007" s="5"/>
      <c r="B11007" s="6" t="s">
        <v>10410</v>
      </c>
      <c r="C11007" s="5"/>
      <c r="D11007" s="5"/>
      <c r="E11007" s="5"/>
    </row>
    <row r="11008">
      <c r="A11008" s="5"/>
      <c r="B11008" s="6" t="s">
        <v>10411</v>
      </c>
      <c r="C11008" s="5"/>
      <c r="D11008" s="5"/>
      <c r="E11008" s="5"/>
    </row>
    <row r="11009">
      <c r="A11009" s="5"/>
      <c r="B11009" s="6" t="s">
        <v>10412</v>
      </c>
      <c r="C11009" s="5"/>
      <c r="D11009" s="5"/>
      <c r="E11009" s="5"/>
    </row>
    <row r="11010">
      <c r="A11010" s="5"/>
      <c r="B11010" s="6" t="s">
        <v>10413</v>
      </c>
      <c r="C11010" s="5"/>
      <c r="D11010" s="5"/>
      <c r="E11010" s="5"/>
    </row>
    <row r="11011">
      <c r="A11011" s="5"/>
      <c r="B11011" s="6" t="s">
        <v>10414</v>
      </c>
      <c r="C11011" s="5"/>
      <c r="D11011" s="5"/>
      <c r="E11011" s="5"/>
    </row>
    <row r="11012">
      <c r="A11012" s="5"/>
      <c r="B11012" s="6" t="s">
        <v>10415</v>
      </c>
      <c r="C11012" s="5"/>
      <c r="D11012" s="5"/>
      <c r="E11012" s="5"/>
    </row>
    <row r="11013">
      <c r="A11013" s="5"/>
      <c r="B11013" s="6" t="s">
        <v>10416</v>
      </c>
      <c r="C11013" s="5"/>
      <c r="D11013" s="5"/>
      <c r="E11013" s="5"/>
    </row>
    <row r="11014">
      <c r="A11014" s="5"/>
      <c r="B11014" s="6" t="s">
        <v>10417</v>
      </c>
      <c r="C11014" s="5"/>
      <c r="D11014" s="5"/>
      <c r="E11014" s="5"/>
    </row>
    <row r="11015">
      <c r="A11015" s="5"/>
      <c r="B11015" s="6" t="s">
        <v>10418</v>
      </c>
      <c r="C11015" s="5"/>
      <c r="D11015" s="5"/>
      <c r="E11015" s="5"/>
    </row>
    <row r="11016">
      <c r="A11016" s="5"/>
      <c r="B11016" s="6" t="s">
        <v>10419</v>
      </c>
      <c r="C11016" s="5"/>
      <c r="D11016" s="5"/>
      <c r="E11016" s="5"/>
    </row>
    <row r="11017">
      <c r="A11017" s="5"/>
      <c r="B11017" s="6" t="s">
        <v>10420</v>
      </c>
      <c r="C11017" s="5"/>
      <c r="D11017" s="5"/>
      <c r="E11017" s="5"/>
    </row>
    <row r="11018">
      <c r="A11018" s="5"/>
      <c r="B11018" s="6" t="s">
        <v>10421</v>
      </c>
      <c r="C11018" s="5"/>
      <c r="D11018" s="5"/>
      <c r="E11018" s="5"/>
    </row>
    <row r="11019">
      <c r="A11019" s="5"/>
      <c r="B11019" s="6" t="s">
        <v>10422</v>
      </c>
      <c r="C11019" s="5"/>
      <c r="D11019" s="5"/>
      <c r="E11019" s="5"/>
    </row>
    <row r="11020">
      <c r="A11020" s="3"/>
      <c r="B11020" s="4" t="s">
        <v>10423</v>
      </c>
      <c r="C11020" s="3"/>
      <c r="D11020" s="3"/>
      <c r="E11020" s="3"/>
    </row>
    <row r="11021">
      <c r="A11021" s="5"/>
      <c r="B11021" s="6" t="s">
        <v>10424</v>
      </c>
      <c r="C11021" s="5"/>
      <c r="D11021" s="5"/>
      <c r="E11021" s="5"/>
    </row>
    <row r="11022">
      <c r="A11022" s="5"/>
      <c r="B11022" s="6" t="s">
        <v>10425</v>
      </c>
      <c r="C11022" s="5"/>
      <c r="D11022" s="5"/>
      <c r="E11022" s="5"/>
    </row>
    <row r="11023">
      <c r="A11023" s="5"/>
      <c r="B11023" s="6" t="s">
        <v>10426</v>
      </c>
      <c r="C11023" s="5"/>
      <c r="D11023" s="5"/>
      <c r="E11023" s="5"/>
    </row>
    <row r="11024">
      <c r="A11024" s="5"/>
      <c r="B11024" s="6" t="s">
        <v>10427</v>
      </c>
      <c r="C11024" s="5"/>
      <c r="D11024" s="5"/>
      <c r="E11024" s="5"/>
    </row>
    <row r="11025">
      <c r="A11025" s="5"/>
      <c r="B11025" s="6" t="s">
        <v>10428</v>
      </c>
      <c r="C11025" s="5"/>
      <c r="D11025" s="5"/>
      <c r="E11025" s="5"/>
    </row>
    <row r="11026">
      <c r="A11026" s="5"/>
      <c r="B11026" s="6" t="s">
        <v>10429</v>
      </c>
      <c r="C11026" s="5"/>
      <c r="D11026" s="5"/>
      <c r="E11026" s="5"/>
    </row>
    <row r="11027">
      <c r="A11027" s="3"/>
      <c r="B11027" s="4" t="s">
        <v>10430</v>
      </c>
      <c r="C11027" s="3"/>
      <c r="D11027" s="3"/>
      <c r="E11027" s="3"/>
    </row>
    <row r="11028">
      <c r="A11028" s="5"/>
      <c r="B11028" s="6" t="s">
        <v>10431</v>
      </c>
      <c r="C11028" s="5"/>
      <c r="D11028" s="5"/>
      <c r="E11028" s="5"/>
    </row>
    <row r="11029">
      <c r="A11029" s="5"/>
      <c r="B11029" s="6" t="s">
        <v>10432</v>
      </c>
      <c r="C11029" s="5"/>
      <c r="D11029" s="5"/>
      <c r="E11029" s="5"/>
    </row>
    <row r="11030">
      <c r="A11030" s="5"/>
      <c r="B11030" s="6" t="s">
        <v>10433</v>
      </c>
      <c r="C11030" s="5"/>
      <c r="D11030" s="5"/>
      <c r="E11030" s="5"/>
    </row>
    <row r="11031">
      <c r="A11031" s="5"/>
      <c r="B11031" s="6" t="s">
        <v>10434</v>
      </c>
      <c r="C11031" s="5"/>
      <c r="D11031" s="5"/>
      <c r="E11031" s="5"/>
    </row>
    <row r="11032">
      <c r="A11032" s="5"/>
      <c r="B11032" s="6" t="s">
        <v>10435</v>
      </c>
      <c r="C11032" s="5"/>
      <c r="D11032" s="5"/>
      <c r="E11032" s="5"/>
    </row>
    <row r="11033">
      <c r="A11033" s="5"/>
      <c r="B11033" s="6" t="s">
        <v>10436</v>
      </c>
      <c r="C11033" s="5"/>
      <c r="D11033" s="5"/>
      <c r="E11033" s="5"/>
    </row>
    <row r="11034">
      <c r="A11034" s="5"/>
      <c r="B11034" s="6" t="s">
        <v>10437</v>
      </c>
      <c r="C11034" s="5"/>
      <c r="D11034" s="5"/>
      <c r="E11034" s="5"/>
    </row>
    <row r="11035">
      <c r="A11035" s="5"/>
      <c r="B11035" s="6" t="s">
        <v>10438</v>
      </c>
      <c r="C11035" s="5"/>
      <c r="D11035" s="5"/>
      <c r="E11035" s="5"/>
    </row>
    <row r="11036">
      <c r="A11036" s="5"/>
      <c r="B11036" s="6" t="s">
        <v>10439</v>
      </c>
      <c r="C11036" s="5"/>
      <c r="D11036" s="5"/>
      <c r="E11036" s="5"/>
    </row>
    <row r="11037">
      <c r="A11037" s="5"/>
      <c r="B11037" s="6" t="s">
        <v>10440</v>
      </c>
      <c r="C11037" s="5"/>
      <c r="D11037" s="5"/>
      <c r="E11037" s="5"/>
    </row>
    <row r="11038">
      <c r="A11038" s="5"/>
      <c r="B11038" s="6" t="s">
        <v>10441</v>
      </c>
      <c r="C11038" s="5"/>
      <c r="D11038" s="5"/>
      <c r="E11038" s="5"/>
    </row>
    <row r="11039">
      <c r="A11039" s="5"/>
      <c r="B11039" s="6" t="s">
        <v>10442</v>
      </c>
      <c r="C11039" s="5"/>
      <c r="D11039" s="5"/>
      <c r="E11039" s="5"/>
    </row>
    <row r="11040">
      <c r="A11040" s="5"/>
      <c r="B11040" s="6" t="s">
        <v>10443</v>
      </c>
      <c r="C11040" s="5"/>
      <c r="D11040" s="5"/>
      <c r="E11040" s="5"/>
    </row>
    <row r="11041">
      <c r="A11041" s="5"/>
      <c r="B11041" s="6" t="s">
        <v>10444</v>
      </c>
      <c r="C11041" s="5"/>
      <c r="D11041" s="5"/>
      <c r="E11041" s="5"/>
    </row>
    <row r="11042">
      <c r="A11042" s="5"/>
      <c r="B11042" s="6" t="s">
        <v>10445</v>
      </c>
      <c r="C11042" s="5"/>
      <c r="D11042" s="5"/>
      <c r="E11042" s="5"/>
    </row>
  </sheetData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www.LingerieOpt.ru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Прайс-лсит www.LingerieOpt.ru</dc:title>
  <dc:creator>www.LingerieOpt.ru</dc:creator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